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9"/>
  <workbookPr showInkAnnotation="0" autoCompressPictures="0"/>
  <mc:AlternateContent xmlns:mc="http://schemas.openxmlformats.org/markup-compatibility/2006">
    <mc:Choice Requires="x15">
      <x15ac:absPath xmlns:x15ac="http://schemas.microsoft.com/office/spreadsheetml/2010/11/ac" url="/Users/kristin/Dropbox/1. PhD/8-Thesis/Publications/2-Methods/2. AJE/AJE submission_4/Github/"/>
    </mc:Choice>
  </mc:AlternateContent>
  <xr:revisionPtr revIDLastSave="0" documentId="13_ncr:1_{FF2471FF-3FBC-A444-919D-C99748410785}" xr6:coauthVersionLast="47" xr6:coauthVersionMax="47" xr10:uidLastSave="{00000000-0000-0000-0000-000000000000}"/>
  <bookViews>
    <workbookView xWindow="820" yWindow="500" windowWidth="27980" windowHeight="17180" tabRatio="993" xr2:uid="{00000000-000D-0000-FFFF-FFFF00000000}"/>
  </bookViews>
  <sheets>
    <sheet name="Study characteristics" sheetId="4" r:id="rId1"/>
    <sheet name="QI_codes" sheetId="20" r:id="rId2"/>
    <sheet name="HbA1c" sheetId="1" r:id="rId3"/>
    <sheet name="Map of variables" sheetId="18" r:id="rId4"/>
    <sheet name="Variable definitions" sheetId="19"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203" i="1" l="1"/>
  <c r="H203" i="1" s="1"/>
  <c r="G212" i="1"/>
  <c r="H212" i="1"/>
  <c r="G234" i="1"/>
  <c r="H234" i="1"/>
  <c r="G225" i="1"/>
  <c r="H225" i="1" s="1"/>
  <c r="G227" i="1"/>
  <c r="H227" i="1" s="1"/>
  <c r="G242" i="1"/>
  <c r="H242" i="1"/>
  <c r="G231" i="1"/>
  <c r="H231" i="1"/>
  <c r="G237" i="1"/>
  <c r="H237" i="1" s="1"/>
  <c r="G236" i="1"/>
  <c r="H236" i="1" s="1"/>
  <c r="G189" i="1"/>
  <c r="H189" i="1"/>
  <c r="G226" i="1"/>
  <c r="H226" i="1"/>
  <c r="G220" i="1"/>
  <c r="H220" i="1" s="1"/>
  <c r="G216" i="1"/>
  <c r="H216" i="1" s="1"/>
  <c r="G232" i="1"/>
  <c r="H232" i="1"/>
  <c r="G193" i="1"/>
  <c r="H193" i="1"/>
  <c r="G202" i="1"/>
  <c r="H202" i="1" s="1"/>
  <c r="G207" i="1"/>
  <c r="H207" i="1" s="1"/>
  <c r="G239" i="1"/>
  <c r="H239" i="1"/>
  <c r="G211" i="1"/>
  <c r="H211" i="1"/>
  <c r="G198" i="1"/>
  <c r="H198" i="1" s="1"/>
  <c r="G240" i="1"/>
  <c r="H240" i="1" s="1"/>
  <c r="G219" i="1"/>
  <c r="H219" i="1"/>
  <c r="G201" i="1"/>
  <c r="H201" i="1"/>
  <c r="G224" i="1"/>
  <c r="H224" i="1" s="1"/>
  <c r="G195" i="1"/>
  <c r="H195" i="1" s="1"/>
  <c r="G213" i="1"/>
  <c r="H213" i="1"/>
  <c r="G192" i="1"/>
  <c r="H192" i="1"/>
  <c r="G199" i="1"/>
  <c r="H199" i="1" s="1"/>
  <c r="G218" i="1"/>
  <c r="H218" i="1" s="1"/>
  <c r="G238" i="1"/>
  <c r="H238" i="1"/>
  <c r="G228" i="1"/>
  <c r="H228" i="1"/>
  <c r="G230" i="1"/>
  <c r="H230" i="1" s="1"/>
  <c r="G208" i="1"/>
  <c r="H208" i="1" s="1"/>
  <c r="G217" i="1"/>
  <c r="H217" i="1"/>
  <c r="G190" i="1"/>
  <c r="H190" i="1"/>
  <c r="G223" i="1"/>
  <c r="H223" i="1" s="1"/>
  <c r="G196" i="1"/>
  <c r="H196" i="1" s="1"/>
  <c r="G200" i="1"/>
  <c r="H200" i="1"/>
  <c r="G229" i="1"/>
  <c r="H229" i="1"/>
  <c r="G204" i="1"/>
  <c r="H204" i="1" s="1"/>
  <c r="G241" i="1"/>
  <c r="H241" i="1" s="1"/>
  <c r="G221" i="1"/>
  <c r="H221" i="1"/>
  <c r="G197" i="1"/>
  <c r="H197" i="1"/>
  <c r="G235" i="1"/>
  <c r="H235" i="1" s="1"/>
  <c r="G222" i="1"/>
  <c r="H222" i="1" s="1"/>
  <c r="G191" i="1"/>
  <c r="H191" i="1"/>
  <c r="G214" i="1"/>
  <c r="H214" i="1"/>
  <c r="G205" i="1"/>
  <c r="H205" i="1" s="1"/>
  <c r="G215" i="1"/>
  <c r="H215" i="1" s="1"/>
  <c r="G206" i="1"/>
  <c r="H206" i="1"/>
  <c r="G209" i="1"/>
  <c r="H209" i="1"/>
  <c r="G194" i="1"/>
  <c r="H194" i="1" s="1"/>
  <c r="G233" i="1"/>
  <c r="H233" i="1" s="1"/>
  <c r="G210" i="1"/>
  <c r="H210" i="1"/>
  <c r="G144" i="1"/>
  <c r="G138" i="1"/>
  <c r="G157" i="1"/>
  <c r="G141" i="1"/>
  <c r="G125" i="1"/>
  <c r="G109" i="1"/>
  <c r="G130" i="1"/>
  <c r="G148" i="1"/>
  <c r="G114" i="1"/>
  <c r="G116" i="1"/>
  <c r="G177" i="1"/>
  <c r="G178" i="1"/>
  <c r="G118" i="1"/>
  <c r="G115" i="1"/>
  <c r="G123" i="1"/>
  <c r="G185" i="1"/>
  <c r="G170" i="1"/>
  <c r="G168" i="1"/>
  <c r="G120" i="1"/>
  <c r="G147" i="1"/>
  <c r="G111" i="1"/>
  <c r="G165" i="1"/>
  <c r="G107" i="1"/>
  <c r="G167" i="1"/>
  <c r="G108" i="1"/>
  <c r="G2" i="1"/>
  <c r="G3" i="1"/>
  <c r="G4" i="1"/>
  <c r="G5" i="1"/>
  <c r="G7" i="1"/>
  <c r="G8" i="1"/>
  <c r="G9" i="1"/>
  <c r="G10" i="1"/>
  <c r="G12" i="1"/>
  <c r="G11" i="1"/>
  <c r="G13" i="1"/>
  <c r="G14" i="1"/>
  <c r="G15" i="1"/>
  <c r="G16" i="1"/>
  <c r="G17" i="1"/>
  <c r="G18" i="1"/>
  <c r="G20" i="1"/>
  <c r="G22" i="1"/>
  <c r="G23" i="1"/>
  <c r="G24" i="1"/>
  <c r="G25" i="1"/>
  <c r="G26" i="1"/>
  <c r="G27" i="1"/>
  <c r="G28" i="1"/>
  <c r="G30" i="1"/>
  <c r="G31" i="1"/>
  <c r="G32" i="1"/>
  <c r="G33" i="1"/>
  <c r="G34" i="1"/>
  <c r="G35" i="1"/>
  <c r="G36" i="1"/>
  <c r="G37" i="1"/>
  <c r="G38" i="1"/>
  <c r="G40" i="1"/>
  <c r="G41" i="1"/>
  <c r="G43" i="1"/>
  <c r="G45" i="1"/>
  <c r="G42" i="1"/>
  <c r="G44" i="1"/>
  <c r="G46" i="1"/>
  <c r="G47" i="1"/>
  <c r="G49" i="1"/>
  <c r="G50" i="1"/>
  <c r="G51" i="1"/>
  <c r="G52" i="1"/>
  <c r="G53" i="1"/>
  <c r="G54" i="1"/>
  <c r="G55" i="1"/>
  <c r="G57" i="1"/>
  <c r="G56" i="1"/>
  <c r="G58" i="1"/>
  <c r="G59" i="1"/>
  <c r="G60" i="1"/>
  <c r="G61" i="1"/>
  <c r="G62" i="1"/>
  <c r="G63" i="1"/>
  <c r="G64" i="1"/>
  <c r="G65" i="1"/>
  <c r="G66" i="1"/>
  <c r="G68" i="1"/>
  <c r="G67" i="1"/>
  <c r="G69" i="1"/>
  <c r="G70" i="1"/>
  <c r="G71" i="1"/>
  <c r="G72" i="1"/>
  <c r="G73" i="1"/>
  <c r="G74" i="1"/>
  <c r="G76" i="1"/>
  <c r="G77" i="1"/>
  <c r="G78" i="1"/>
  <c r="G81" i="1"/>
  <c r="G80" i="1"/>
  <c r="G83" i="1"/>
  <c r="G84" i="1"/>
  <c r="G85" i="1"/>
  <c r="G86" i="1"/>
  <c r="G88" i="1"/>
  <c r="G87" i="1"/>
  <c r="G89" i="1"/>
  <c r="G90" i="1"/>
  <c r="G91" i="1"/>
  <c r="G92" i="1"/>
  <c r="G93" i="1"/>
  <c r="G94" i="1"/>
  <c r="G95" i="1"/>
  <c r="G96" i="1"/>
  <c r="G97" i="1"/>
  <c r="G98" i="1"/>
  <c r="G99" i="1"/>
  <c r="G100" i="1"/>
  <c r="G101" i="1"/>
  <c r="G102" i="1"/>
  <c r="G103" i="1"/>
  <c r="G104" i="1"/>
  <c r="G105" i="1"/>
  <c r="G106" i="1"/>
  <c r="G122" i="1"/>
  <c r="G124" i="1"/>
  <c r="G121" i="1"/>
  <c r="G126" i="1"/>
  <c r="AZ133" i="1"/>
  <c r="G133" i="1" s="1"/>
  <c r="G143" i="1"/>
  <c r="G134" i="1"/>
  <c r="G150" i="1"/>
  <c r="G160" i="1"/>
  <c r="G162" i="1"/>
  <c r="G171" i="1"/>
  <c r="G184" i="1"/>
  <c r="G188" i="1"/>
  <c r="G153" i="1"/>
  <c r="G142" i="1"/>
  <c r="G132" i="1"/>
  <c r="G137" i="1"/>
  <c r="G166" i="1"/>
  <c r="G149" i="1"/>
  <c r="G186" i="1"/>
  <c r="G110" i="1"/>
  <c r="G152" i="1"/>
  <c r="G183" i="1"/>
  <c r="G128" i="1"/>
  <c r="G146" i="1"/>
  <c r="G119" i="1"/>
  <c r="G112" i="1"/>
  <c r="G151" i="1"/>
  <c r="G140" i="1"/>
  <c r="G172" i="1"/>
  <c r="G131" i="1"/>
  <c r="G135" i="1"/>
  <c r="G175" i="1"/>
  <c r="G136" i="1"/>
  <c r="G155" i="1"/>
  <c r="G173" i="1"/>
  <c r="G164" i="1"/>
  <c r="G187" i="1"/>
  <c r="G158" i="1"/>
  <c r="G169" i="1"/>
  <c r="G139" i="1"/>
  <c r="G113" i="1"/>
  <c r="G182" i="1"/>
  <c r="G129" i="1"/>
  <c r="G179" i="1"/>
  <c r="G145" i="1"/>
  <c r="G127" i="1"/>
  <c r="G176" i="1"/>
  <c r="G163" i="1"/>
  <c r="G39" i="1"/>
  <c r="G75" i="1"/>
  <c r="G21" i="1"/>
  <c r="G29" i="1"/>
  <c r="G82" i="1"/>
  <c r="G79" i="1"/>
  <c r="G174" i="1"/>
  <c r="G180" i="1"/>
  <c r="G117" i="1"/>
  <c r="G48" i="1"/>
  <c r="G161" i="1"/>
  <c r="G156" i="1"/>
  <c r="G159" i="1"/>
  <c r="G181" i="1"/>
  <c r="T286" i="4"/>
  <c r="Q286" i="4"/>
  <c r="P286" i="4"/>
  <c r="O286" i="4"/>
  <c r="Q280" i="4"/>
  <c r="O280" i="4"/>
  <c r="T279" i="4"/>
  <c r="Q279" i="4"/>
  <c r="P279" i="4"/>
  <c r="O279" i="4"/>
  <c r="T278" i="4"/>
  <c r="Q278" i="4"/>
  <c r="P278" i="4"/>
  <c r="O278" i="4"/>
  <c r="L278" i="4"/>
  <c r="Q277" i="4"/>
  <c r="O277" i="4"/>
  <c r="T120" i="4"/>
  <c r="Q120" i="4"/>
  <c r="P120" i="4"/>
  <c r="O120" i="4"/>
  <c r="Q119" i="4"/>
  <c r="O119" i="4"/>
  <c r="Q118" i="4"/>
  <c r="P118" i="4"/>
  <c r="O118" i="4"/>
  <c r="Q116" i="4"/>
  <c r="Q115" i="4"/>
  <c r="O115" i="4"/>
  <c r="T114" i="4"/>
  <c r="Q114" i="4"/>
  <c r="Q113" i="4"/>
  <c r="O113" i="4"/>
  <c r="Q112" i="4"/>
  <c r="O112" i="4"/>
  <c r="O111" i="4"/>
  <c r="Q109" i="4"/>
  <c r="O109" i="4"/>
  <c r="Q107" i="4"/>
  <c r="O107" i="4"/>
  <c r="T103" i="4"/>
  <c r="Q102" i="4"/>
  <c r="Q101" i="4"/>
  <c r="O101" i="4"/>
  <c r="T99" i="4"/>
  <c r="Q99" i="4"/>
  <c r="P99" i="4"/>
  <c r="O99" i="4"/>
  <c r="T98" i="4"/>
  <c r="Q98" i="4"/>
  <c r="Q97" i="4"/>
  <c r="Q259" i="4"/>
  <c r="Q258" i="4"/>
  <c r="O258" i="4"/>
  <c r="Q94" i="4"/>
  <c r="Q93" i="4"/>
  <c r="P93" i="4"/>
  <c r="O93" i="4"/>
  <c r="Q92" i="4"/>
  <c r="P92" i="4"/>
  <c r="O92" i="4"/>
  <c r="T256" i="4"/>
  <c r="Q255" i="4"/>
  <c r="P255" i="4"/>
  <c r="O255" i="4"/>
  <c r="Q91" i="4"/>
  <c r="O91" i="4"/>
  <c r="Q90" i="4"/>
  <c r="T89" i="4"/>
  <c r="Q89" i="4"/>
  <c r="P89" i="4"/>
  <c r="O89" i="4"/>
  <c r="Q253" i="4"/>
  <c r="P253" i="4"/>
  <c r="O253" i="4"/>
  <c r="T252" i="4"/>
  <c r="Q252" i="4"/>
  <c r="O252" i="4"/>
  <c r="Q87" i="4"/>
  <c r="P87" i="4"/>
  <c r="O87" i="4"/>
  <c r="Q86" i="4"/>
  <c r="P86" i="4"/>
  <c r="O86" i="4"/>
  <c r="Q85" i="4"/>
  <c r="P85" i="4"/>
  <c r="O85" i="4"/>
  <c r="Q84" i="4"/>
  <c r="O84" i="4"/>
  <c r="Q83" i="4"/>
  <c r="P83" i="4"/>
  <c r="T82" i="4"/>
  <c r="Q82" i="4"/>
  <c r="O82" i="4"/>
  <c r="Q81" i="4"/>
  <c r="O81" i="4"/>
  <c r="Q80" i="4"/>
  <c r="Q78" i="4"/>
  <c r="P78" i="4"/>
  <c r="O78" i="4"/>
  <c r="Q76" i="4"/>
  <c r="P76" i="4"/>
  <c r="O76" i="4"/>
  <c r="Q75" i="4"/>
  <c r="P75" i="4"/>
  <c r="O75" i="4"/>
  <c r="Q74" i="4"/>
  <c r="Q73" i="4"/>
  <c r="O73" i="4"/>
  <c r="T72" i="4"/>
  <c r="AD71" i="4"/>
  <c r="T71" i="4"/>
  <c r="Q71" i="4"/>
  <c r="O71" i="4"/>
  <c r="T70" i="4"/>
  <c r="Q69" i="4"/>
  <c r="Q68" i="4"/>
  <c r="P68" i="4"/>
  <c r="O68" i="4"/>
  <c r="T67" i="4"/>
  <c r="Q67" i="4"/>
  <c r="P67" i="4"/>
  <c r="O67" i="4"/>
  <c r="T66" i="4"/>
  <c r="Q66" i="4"/>
  <c r="P66" i="4"/>
  <c r="O66" i="4"/>
  <c r="T65" i="4"/>
  <c r="Q64" i="4"/>
  <c r="P64" i="4"/>
  <c r="O64" i="4"/>
  <c r="Q63" i="4"/>
  <c r="P63" i="4"/>
  <c r="O63" i="4"/>
  <c r="Q62" i="4"/>
  <c r="P62" i="4"/>
  <c r="O62" i="4"/>
  <c r="Q61" i="4"/>
  <c r="P61" i="4"/>
  <c r="O61" i="4"/>
  <c r="Q60" i="4"/>
  <c r="O60" i="4"/>
  <c r="Q59" i="4"/>
  <c r="T58" i="4"/>
  <c r="Q58" i="4"/>
  <c r="P58" i="4"/>
  <c r="O58" i="4"/>
  <c r="T57" i="4"/>
  <c r="Q57" i="4"/>
  <c r="P57" i="4"/>
  <c r="O57" i="4"/>
  <c r="T56" i="4"/>
  <c r="Q250" i="4"/>
  <c r="P250" i="4"/>
  <c r="O250" i="4"/>
  <c r="L250" i="4"/>
  <c r="Q55" i="4"/>
  <c r="P55" i="4"/>
  <c r="O55" i="4"/>
  <c r="Q54" i="4"/>
  <c r="P54" i="4"/>
  <c r="O54" i="4"/>
  <c r="Q249" i="4"/>
  <c r="P249" i="4"/>
  <c r="O249" i="4"/>
  <c r="Q52" i="4"/>
  <c r="P52" i="4"/>
  <c r="O52" i="4"/>
  <c r="Q51" i="4"/>
  <c r="L51" i="4"/>
  <c r="K51" i="4"/>
  <c r="Q50" i="4"/>
  <c r="Q49" i="4"/>
  <c r="P49" i="4"/>
  <c r="O49" i="4"/>
  <c r="Q48" i="4"/>
  <c r="P48" i="4"/>
  <c r="O48" i="4"/>
  <c r="T47" i="4"/>
  <c r="Q47" i="4"/>
  <c r="P47" i="4"/>
  <c r="O47" i="4"/>
  <c r="Q46" i="4"/>
  <c r="P46" i="4"/>
  <c r="O46" i="4"/>
  <c r="Q45" i="4"/>
  <c r="P45" i="4"/>
  <c r="O45" i="4"/>
  <c r="Q44" i="4"/>
  <c r="O44" i="4"/>
  <c r="Q43" i="4"/>
  <c r="P43" i="4"/>
  <c r="O43" i="4"/>
  <c r="K43" i="4"/>
  <c r="Q42" i="4"/>
  <c r="P42" i="4"/>
  <c r="O42" i="4"/>
  <c r="Q41" i="4"/>
  <c r="P41" i="4"/>
  <c r="O41" i="4"/>
  <c r="Q40" i="4"/>
  <c r="Q248" i="4"/>
  <c r="P248" i="4"/>
  <c r="O248" i="4"/>
  <c r="Q37" i="4"/>
  <c r="Q36" i="4"/>
  <c r="Q35" i="4"/>
  <c r="T31" i="4"/>
  <c r="P31" i="4"/>
  <c r="T30" i="4"/>
  <c r="Q30" i="4"/>
  <c r="O30" i="4"/>
  <c r="K30" i="4"/>
  <c r="T29" i="4"/>
  <c r="Q29" i="4"/>
  <c r="P29" i="4"/>
  <c r="O29" i="4"/>
  <c r="T28" i="4"/>
  <c r="O28" i="4"/>
  <c r="Q27" i="4"/>
  <c r="T26" i="4"/>
  <c r="Q26" i="4"/>
  <c r="Q25" i="4"/>
  <c r="Q24" i="4"/>
  <c r="Q23" i="4"/>
  <c r="O23" i="4"/>
  <c r="O246" i="4"/>
  <c r="L22" i="4"/>
  <c r="Q21" i="4"/>
  <c r="O21" i="4"/>
  <c r="Q20" i="4"/>
  <c r="O20" i="4"/>
  <c r="P19" i="4"/>
  <c r="O19" i="4"/>
  <c r="Q18" i="4"/>
  <c r="O18" i="4"/>
  <c r="L18" i="4"/>
  <c r="O245" i="4"/>
  <c r="Q17" i="4"/>
  <c r="O17" i="4"/>
  <c r="Q16" i="4"/>
  <c r="O16" i="4"/>
  <c r="Q15" i="4"/>
  <c r="O15" i="4"/>
  <c r="T14" i="4"/>
  <c r="L14" i="4"/>
  <c r="T12" i="4"/>
  <c r="Q12" i="4"/>
  <c r="O12" i="4"/>
  <c r="Q11" i="4"/>
  <c r="O11" i="4"/>
  <c r="Q10" i="4"/>
  <c r="O10" i="4"/>
  <c r="AD9" i="4"/>
  <c r="AC9" i="4"/>
  <c r="Q9" i="4"/>
  <c r="O9" i="4"/>
  <c r="Q5" i="4"/>
  <c r="O4" i="4"/>
  <c r="T3" i="4"/>
  <c r="Q3" i="4"/>
  <c r="P2" i="4"/>
  <c r="O2" i="4"/>
  <c r="BW153" i="1"/>
  <c r="BC128" i="1"/>
  <c r="BP131" i="1"/>
  <c r="BP158" i="1"/>
  <c r="BC158" i="1"/>
  <c r="AZ19" i="1"/>
  <c r="AY19" i="1"/>
  <c r="G19" i="1" s="1"/>
  <c r="BP109" i="1"/>
  <c r="BC109" i="1"/>
  <c r="AZ6" i="1"/>
  <c r="AY6" i="1"/>
  <c r="G6" i="1" s="1"/>
  <c r="V6" i="1"/>
  <c r="U6" i="1"/>
  <c r="AZ154" i="1"/>
  <c r="AY154" i="1"/>
  <c r="G154" i="1" s="1"/>
  <c r="BC2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Mish</author>
    <author>Andrea Tricco</author>
    <author>mkarkhaneh</author>
    <author>Kristin Danko</author>
    <author>Natasha Krahn</author>
    <author>Avtar Lal</author>
    <author>Noah Ivers</author>
    <author>kdanko</author>
    <author>Quach, Pauline</author>
    <author>pauline.quach</author>
  </authors>
  <commentList>
    <comment ref="E2" authorId="0" shapeId="0" xr:uid="{00000000-0006-0000-0600-000001000000}">
      <text>
        <r>
          <rPr>
            <b/>
            <sz val="9"/>
            <color indexed="81"/>
            <rFont val="Tahoma"/>
            <family val="2"/>
          </rPr>
          <t>Mostafa:</t>
        </r>
        <r>
          <rPr>
            <sz val="9"/>
            <color indexed="81"/>
            <rFont val="Tahoma"/>
            <family val="2"/>
          </rPr>
          <t xml:space="preserve">
Obtained email from other article by Ahring KK; was not available in this article</t>
        </r>
      </text>
    </comment>
    <comment ref="E3" authorId="0" shapeId="0" xr:uid="{00000000-0006-0000-0600-000002000000}">
      <text>
        <r>
          <rPr>
            <b/>
            <sz val="9"/>
            <color indexed="81"/>
            <rFont val="Tahoma"/>
            <family val="2"/>
          </rPr>
          <t>Mostafa:</t>
        </r>
        <r>
          <rPr>
            <sz val="9"/>
            <color indexed="81"/>
            <rFont val="Tahoma"/>
            <family val="2"/>
          </rPr>
          <t xml:space="preserve">
(1) "Is there a relationship between early statin compliance and a reduction in healthcare utilization?"; 2010
(2) "Evaluation of a depression health management program to improve outcomes in first or recurrent episode depression."; 2003</t>
        </r>
      </text>
    </comment>
    <comment ref="M4" authorId="1" shapeId="0" xr:uid="{00000000-0006-0000-0600-000003000000}">
      <text>
        <r>
          <rPr>
            <b/>
            <sz val="9"/>
            <color indexed="81"/>
            <rFont val="Verdana"/>
            <family val="2"/>
          </rPr>
          <t>Andrea Tricco:</t>
        </r>
        <r>
          <rPr>
            <sz val="9"/>
            <color indexed="81"/>
            <rFont val="Verdana"/>
            <family val="2"/>
          </rPr>
          <t xml:space="preserve">
Year of publication
</t>
        </r>
      </text>
    </comment>
    <comment ref="E5" authorId="0" shapeId="0" xr:uid="{00000000-0006-0000-0600-000004000000}">
      <text>
        <r>
          <rPr>
            <b/>
            <sz val="9"/>
            <color indexed="81"/>
            <rFont val="Tahoma"/>
            <family val="2"/>
          </rPr>
          <t xml:space="preserve">Mostafa:
</t>
        </r>
        <r>
          <rPr>
            <sz val="9"/>
            <color indexed="81"/>
            <rFont val="Tahoma"/>
            <family val="2"/>
          </rPr>
          <t>(1) Fetal Exposure to Maternal Type 1 Diabetes Is Associated With Renal Dysfunction at Adult Age; 2010
Marre referred to as corresponding author in original article</t>
        </r>
      </text>
    </comment>
    <comment ref="M5" authorId="1" shapeId="0" xr:uid="{00000000-0006-0000-0600-000005000000}">
      <text>
        <r>
          <rPr>
            <b/>
            <sz val="9"/>
            <color indexed="81"/>
            <rFont val="Verdana"/>
            <family val="2"/>
          </rPr>
          <t>Andrea Tricco:</t>
        </r>
        <r>
          <rPr>
            <sz val="9"/>
            <color indexed="81"/>
            <rFont val="Verdana"/>
            <family val="2"/>
          </rPr>
          <t xml:space="preserve">
Year of publication
</t>
        </r>
      </text>
    </comment>
    <comment ref="AC5" authorId="2" shapeId="0" xr:uid="{00000000-0006-0000-0600-000006000000}">
      <text>
        <r>
          <rPr>
            <b/>
            <sz val="8"/>
            <color indexed="81"/>
            <rFont val="Tahoma"/>
            <family val="2"/>
          </rPr>
          <t>mkarkhaneh:</t>
        </r>
        <r>
          <rPr>
            <sz val="8"/>
            <color indexed="81"/>
            <rFont val="Tahoma"/>
            <family val="2"/>
          </rPr>
          <t xml:space="preserve">
it was a cross-over study so patients were in both computerized and conventional booklets for 3 months in turn</t>
        </r>
      </text>
    </comment>
    <comment ref="AD5" authorId="2" shapeId="0" xr:uid="{00000000-0006-0000-0600-000007000000}">
      <text>
        <r>
          <rPr>
            <b/>
            <sz val="8"/>
            <color indexed="81"/>
            <rFont val="Tahoma"/>
            <family val="2"/>
          </rPr>
          <t>mkarkhaneh:</t>
        </r>
        <r>
          <rPr>
            <sz val="8"/>
            <color indexed="81"/>
            <rFont val="Tahoma"/>
            <family val="2"/>
          </rPr>
          <t xml:space="preserve">
it was a cross-over study so patients were in both computerized and conventional booklets for 3 months in turn</t>
        </r>
      </text>
    </comment>
    <comment ref="A7" authorId="3" shapeId="0" xr:uid="{00000000-0006-0000-0600-000008000000}">
      <text>
        <r>
          <rPr>
            <b/>
            <sz val="9"/>
            <color indexed="81"/>
            <rFont val="Verdana"/>
            <family val="2"/>
          </rPr>
          <t>Kristin Danko:</t>
        </r>
        <r>
          <rPr>
            <sz val="9"/>
            <color indexed="81"/>
            <rFont val="Verdana"/>
            <family val="2"/>
          </rPr>
          <t xml:space="preserve">
confirmed different from Clancy 5558 - different recruitment periods</t>
        </r>
      </text>
    </comment>
    <comment ref="A9" authorId="1" shapeId="0" xr:uid="{00000000-0006-0000-0600-000009000000}">
      <text>
        <r>
          <rPr>
            <b/>
            <sz val="9"/>
            <color indexed="81"/>
            <rFont val="Verdana"/>
            <family val="2"/>
          </rPr>
          <t>Andrea Tricco:</t>
        </r>
        <r>
          <rPr>
            <sz val="9"/>
            <color indexed="81"/>
            <rFont val="Verdana"/>
            <family val="2"/>
          </rPr>
          <t xml:space="preserve">
This study needs to be looked at b/c many of the outcomes do not have baseline info
</t>
        </r>
      </text>
    </comment>
    <comment ref="K9" authorId="3" shapeId="0" xr:uid="{00000000-0006-0000-0600-00000A000000}">
      <text>
        <r>
          <rPr>
            <b/>
            <sz val="9"/>
            <color indexed="81"/>
            <rFont val="Verdana"/>
            <family val="2"/>
          </rPr>
          <t>Kristin Danko:</t>
        </r>
        <r>
          <rPr>
            <sz val="9"/>
            <color indexed="81"/>
            <rFont val="Verdana"/>
            <family val="2"/>
          </rPr>
          <t xml:space="preserve">
b/c this was the number analyzed, not the institutions (n=311)</t>
        </r>
      </text>
    </comment>
    <comment ref="E10" authorId="0" shapeId="0" xr:uid="{00000000-0006-0000-0600-00000B000000}">
      <text>
        <r>
          <rPr>
            <b/>
            <sz val="9"/>
            <color indexed="81"/>
            <rFont val="Tahoma"/>
            <family val="2"/>
          </rPr>
          <t>Mostafa:</t>
        </r>
        <r>
          <rPr>
            <sz val="9"/>
            <color indexed="81"/>
            <rFont val="Tahoma"/>
            <family val="2"/>
          </rPr>
          <t xml:space="preserve">
Confirmed via 2 articles:
(1) "The evidence for medical nutrition therapy for type 1 and type 2 diabetes in adults"; 2010
(2) "Evidence-based nutrition practice guidelines for diabetes and scope and standards of practice"; 2008</t>
        </r>
      </text>
    </comment>
    <comment ref="M11" authorId="1" shapeId="0" xr:uid="{00000000-0006-0000-0600-00000C000000}">
      <text>
        <r>
          <rPr>
            <b/>
            <sz val="9"/>
            <color indexed="81"/>
            <rFont val="Verdana"/>
            <family val="2"/>
          </rPr>
          <t>Andrea Tricco:</t>
        </r>
        <r>
          <rPr>
            <sz val="9"/>
            <color indexed="81"/>
            <rFont val="Verdana"/>
            <family val="2"/>
          </rPr>
          <t xml:space="preserve">
Yr of publication
</t>
        </r>
      </text>
    </comment>
    <comment ref="A12" authorId="1" shapeId="0" xr:uid="{00000000-0006-0000-0600-00000D000000}">
      <text>
        <r>
          <rPr>
            <b/>
            <sz val="9"/>
            <color indexed="81"/>
            <rFont val="Verdana"/>
            <family val="2"/>
          </rPr>
          <t>Andrea Tricco:</t>
        </r>
        <r>
          <rPr>
            <sz val="9"/>
            <color indexed="81"/>
            <rFont val="Verdana"/>
            <family val="2"/>
          </rPr>
          <t xml:space="preserve">
Randomizes 14 centres and then adds in a 15th centre into the interventino group - will exclude in sensitivity analysis
</t>
        </r>
      </text>
    </comment>
    <comment ref="M12" authorId="1" shapeId="0" xr:uid="{00000000-0006-0000-0600-00000E000000}">
      <text>
        <r>
          <rPr>
            <b/>
            <sz val="9"/>
            <color rgb="FF000000"/>
            <rFont val="Verdana"/>
            <family val="2"/>
          </rPr>
          <t>Andrea Tricco:</t>
        </r>
        <r>
          <rPr>
            <sz val="9"/>
            <color rgb="FF000000"/>
            <rFont val="Verdana"/>
            <family val="2"/>
          </rPr>
          <t xml:space="preserve">
</t>
        </r>
        <r>
          <rPr>
            <sz val="9"/>
            <color rgb="FF000000"/>
            <rFont val="Verdana"/>
            <family val="2"/>
          </rPr>
          <t xml:space="preserve">
</t>
        </r>
        <r>
          <rPr>
            <sz val="9"/>
            <color rgb="FF000000"/>
            <rFont val="Verdana"/>
            <family val="2"/>
          </rPr>
          <t xml:space="preserve">Yr of publication
</t>
        </r>
      </text>
    </comment>
    <comment ref="E13" authorId="0" shapeId="0" xr:uid="{00000000-0006-0000-0600-00000F000000}">
      <text>
        <r>
          <rPr>
            <b/>
            <sz val="9"/>
            <color indexed="81"/>
            <rFont val="Tahoma"/>
            <family val="2"/>
          </rPr>
          <t>Mostafa:</t>
        </r>
        <r>
          <rPr>
            <sz val="9"/>
            <color indexed="81"/>
            <rFont val="Tahoma"/>
            <family val="2"/>
          </rPr>
          <t xml:space="preserve">
(1) "Growth and dissolution of CdS nanoparticles in glass"; 1999
cannot quite track down either author…
Have found a few matching last names, but author affiliation does not match
Pauline concurs</t>
        </r>
      </text>
    </comment>
    <comment ref="M13" authorId="1" shapeId="0" xr:uid="{00000000-0006-0000-0600-000010000000}">
      <text>
        <r>
          <rPr>
            <b/>
            <sz val="9"/>
            <color indexed="81"/>
            <rFont val="Verdana"/>
            <family val="2"/>
          </rPr>
          <t>Andrea Tricco:</t>
        </r>
        <r>
          <rPr>
            <sz val="9"/>
            <color indexed="81"/>
            <rFont val="Verdana"/>
            <family val="2"/>
          </rPr>
          <t xml:space="preserve">
Yr of publication
</t>
        </r>
      </text>
    </comment>
    <comment ref="E14" authorId="0" shapeId="0" xr:uid="{00000000-0006-0000-0600-000011000000}">
      <text>
        <r>
          <rPr>
            <b/>
            <sz val="9"/>
            <color indexed="81"/>
            <rFont val="Tahoma"/>
            <family val="2"/>
          </rPr>
          <t>Mostafa:</t>
        </r>
        <r>
          <rPr>
            <sz val="9"/>
            <color indexed="81"/>
            <rFont val="Tahoma"/>
            <family val="2"/>
          </rPr>
          <t xml:space="preserve">
(1) "Implementing clinical guidelines in the treatment of hypertension in general practice"; 1998</t>
        </r>
      </text>
    </comment>
    <comment ref="E15" authorId="0" shapeId="0" xr:uid="{00000000-0006-0000-0600-000012000000}">
      <text>
        <r>
          <rPr>
            <b/>
            <sz val="9"/>
            <color indexed="81"/>
            <rFont val="Tahoma"/>
            <family val="2"/>
          </rPr>
          <t>Mostafa:</t>
        </r>
        <r>
          <rPr>
            <sz val="9"/>
            <color indexed="81"/>
            <rFont val="Tahoma"/>
            <family val="2"/>
          </rPr>
          <t xml:space="preserve">
(1) "Long-term complications and mortality in young-onset diabetes: type 2 diabetes is more hazardous and lethal than type 1 diabetes"; 2013
Could only match for 3rd author, although Hoskins is corresponding</t>
        </r>
      </text>
    </comment>
    <comment ref="M15" authorId="1" shapeId="0" xr:uid="{00000000-0006-0000-0600-000013000000}">
      <text>
        <r>
          <rPr>
            <b/>
            <sz val="9"/>
            <color indexed="81"/>
            <rFont val="Verdana"/>
            <family val="2"/>
          </rPr>
          <t>Andrea Tricco:</t>
        </r>
        <r>
          <rPr>
            <sz val="9"/>
            <color indexed="81"/>
            <rFont val="Verdana"/>
            <family val="2"/>
          </rPr>
          <t xml:space="preserve">
Yr of publication
</t>
        </r>
      </text>
    </comment>
    <comment ref="AB15" authorId="2" shapeId="0" xr:uid="{00000000-0006-0000-0600-000014000000}">
      <text>
        <r>
          <rPr>
            <b/>
            <sz val="8"/>
            <color indexed="81"/>
            <rFont val="Tahoma"/>
            <family val="2"/>
          </rPr>
          <t>mkarkhaneh:</t>
        </r>
        <r>
          <rPr>
            <sz val="8"/>
            <color indexed="81"/>
            <rFont val="Tahoma"/>
            <family val="2"/>
          </rPr>
          <t xml:space="preserve">
it says "a research nurse was assigned to liaise with patient and doctor" this would counteract with GPs who referred patient to clinic were not informed regarding trial</t>
        </r>
      </text>
    </comment>
    <comment ref="E16" authorId="0" shapeId="0" xr:uid="{00000000-0006-0000-0600-000015000000}">
      <text>
        <r>
          <rPr>
            <b/>
            <sz val="9"/>
            <color indexed="81"/>
            <rFont val="Tahoma"/>
            <family val="2"/>
          </rPr>
          <t>Mostafa:</t>
        </r>
        <r>
          <rPr>
            <sz val="9"/>
            <color indexed="81"/>
            <rFont val="Tahoma"/>
            <family val="2"/>
          </rPr>
          <t xml:space="preserve">
(1) "Dialogue and interchange across the primary/secondary interface: piloting SpR secondment to a general practice diabetic clinic"; 2001
Matched for author affiliation</t>
        </r>
      </text>
    </comment>
    <comment ref="E17" authorId="0" shapeId="0" xr:uid="{00000000-0006-0000-0600-000016000000}">
      <text>
        <r>
          <rPr>
            <b/>
            <sz val="9"/>
            <color indexed="81"/>
            <rFont val="Tahoma"/>
            <family val="2"/>
          </rPr>
          <t>Mostafa:</t>
        </r>
        <r>
          <rPr>
            <sz val="9"/>
            <color indexed="81"/>
            <rFont val="Tahoma"/>
            <family val="2"/>
          </rPr>
          <t xml:space="preserve">
(1) "Feasibility of group lifestyle intervention for diabetes prevention in Arab Americans"; 2011
Matched for author affiliation</t>
        </r>
      </text>
    </comment>
    <comment ref="M17" authorId="1" shapeId="0" xr:uid="{00000000-0006-0000-0600-000017000000}">
      <text>
        <r>
          <rPr>
            <b/>
            <sz val="9"/>
            <color indexed="81"/>
            <rFont val="Verdana"/>
            <family val="2"/>
          </rPr>
          <t>Andrea Tricco:</t>
        </r>
        <r>
          <rPr>
            <sz val="9"/>
            <color indexed="81"/>
            <rFont val="Verdana"/>
            <family val="2"/>
          </rPr>
          <t xml:space="preserve">
Yr of publication
</t>
        </r>
      </text>
    </comment>
    <comment ref="E19" authorId="0" shapeId="0" xr:uid="{00000000-0006-0000-0600-000018000000}">
      <text>
        <r>
          <rPr>
            <b/>
            <sz val="9"/>
            <color indexed="81"/>
            <rFont val="Tahoma"/>
            <family val="2"/>
          </rPr>
          <t>Mostafa:</t>
        </r>
        <r>
          <rPr>
            <sz val="9"/>
            <color indexed="81"/>
            <rFont val="Tahoma"/>
            <family val="2"/>
          </rPr>
          <t xml:space="preserve">
(1) "2006-2007 American Diabetes Association Nutrition Recommendations: issues for practice translation"; 2007
Although the first author is corresponding, could only track down last author's email</t>
        </r>
      </text>
    </comment>
    <comment ref="K19" authorId="1" shapeId="0" xr:uid="{00000000-0006-0000-0600-000019000000}">
      <text>
        <r>
          <rPr>
            <b/>
            <sz val="9"/>
            <color indexed="81"/>
            <rFont val="Verdana"/>
            <family val="2"/>
          </rPr>
          <t>Andrea Tricco:</t>
        </r>
        <r>
          <rPr>
            <sz val="9"/>
            <color indexed="81"/>
            <rFont val="Verdana"/>
            <family val="2"/>
          </rPr>
          <t xml:space="preserve">
NR so this is the # of dieticians
</t>
        </r>
      </text>
    </comment>
    <comment ref="E20" authorId="0" shapeId="0" xr:uid="{00000000-0006-0000-0600-00001A000000}">
      <text>
        <r>
          <rPr>
            <b/>
            <sz val="9"/>
            <color indexed="81"/>
            <rFont val="Tahoma"/>
            <family val="2"/>
          </rPr>
          <t>Mostafa:</t>
        </r>
        <r>
          <rPr>
            <sz val="9"/>
            <color indexed="81"/>
            <rFont val="Tahoma"/>
            <family val="2"/>
          </rPr>
          <t xml:space="preserve">
Currently haven't been able to track down emails of any of the three authors
Pauline concurs</t>
        </r>
      </text>
    </comment>
    <comment ref="M20" authorId="1" shapeId="0" xr:uid="{00000000-0006-0000-0600-00001B000000}">
      <text>
        <r>
          <rPr>
            <b/>
            <sz val="9"/>
            <color indexed="81"/>
            <rFont val="Verdana"/>
            <family val="2"/>
          </rPr>
          <t>Andrea Tricco:</t>
        </r>
        <r>
          <rPr>
            <sz val="9"/>
            <color indexed="81"/>
            <rFont val="Verdana"/>
            <family val="2"/>
          </rPr>
          <t xml:space="preserve">
Year of publication
</t>
        </r>
      </text>
    </comment>
    <comment ref="E22" authorId="0" shapeId="0" xr:uid="{00000000-0006-0000-0600-00001C000000}">
      <text>
        <r>
          <rPr>
            <b/>
            <sz val="9"/>
            <color indexed="81"/>
            <rFont val="Tahoma"/>
            <family val="2"/>
          </rPr>
          <t>Mostafa:
(1) "Detection of radiographic joint space narrowing in subjects with knee osteoarthritis: longitudinal comparison of the metatarsophalangeal and semiflexed anteroposterior views"; 2003
Matched for affiliation</t>
        </r>
      </text>
    </comment>
    <comment ref="O22" authorId="1" shapeId="0" xr:uid="{00000000-0006-0000-0600-00001D000000}">
      <text>
        <r>
          <rPr>
            <b/>
            <sz val="9"/>
            <color indexed="81"/>
            <rFont val="Verdana"/>
            <family val="2"/>
          </rPr>
          <t>Andrea Tricco:</t>
        </r>
        <r>
          <rPr>
            <sz val="9"/>
            <color indexed="81"/>
            <rFont val="Verdana"/>
            <family val="2"/>
          </rPr>
          <t xml:space="preserve">
Median</t>
        </r>
      </text>
    </comment>
    <comment ref="M24" authorId="1" shapeId="0" xr:uid="{00000000-0006-0000-0600-00001E000000}">
      <text>
        <r>
          <rPr>
            <b/>
            <sz val="9"/>
            <color indexed="81"/>
            <rFont val="Verdana"/>
            <family val="2"/>
          </rPr>
          <t>Andrea Tricco:</t>
        </r>
        <r>
          <rPr>
            <sz val="9"/>
            <color indexed="81"/>
            <rFont val="Verdana"/>
            <family val="2"/>
          </rPr>
          <t xml:space="preserve">
yr of publication
</t>
        </r>
      </text>
    </comment>
    <comment ref="A27" authorId="4" shapeId="0" xr:uid="{00000000-0006-0000-0600-00001F000000}">
      <text>
        <r>
          <rPr>
            <b/>
            <sz val="8"/>
            <color indexed="81"/>
            <rFont val="Tahoma"/>
            <family val="2"/>
          </rPr>
          <t>Natasha Krahn:</t>
        </r>
        <r>
          <rPr>
            <sz val="8"/>
            <color indexed="81"/>
            <rFont val="Tahoma"/>
            <family val="2"/>
          </rPr>
          <t xml:space="preserve">
Study 1 only</t>
        </r>
      </text>
    </comment>
    <comment ref="E27" authorId="0" shapeId="0" xr:uid="{00000000-0006-0000-0600-000020000000}">
      <text>
        <r>
          <rPr>
            <b/>
            <sz val="9"/>
            <color indexed="81"/>
            <rFont val="Tahoma"/>
            <family val="2"/>
          </rPr>
          <t>Mostafa:</t>
        </r>
        <r>
          <rPr>
            <sz val="9"/>
            <color indexed="81"/>
            <rFont val="Tahoma"/>
            <family val="2"/>
          </rPr>
          <t xml:space="preserve">
Cannot seem to track down any of the authors so far...
Pauline: deceased 2007, other authors could not be found</t>
        </r>
      </text>
    </comment>
    <comment ref="F27" authorId="0" shapeId="0" xr:uid="{00000000-0006-0000-0600-000021000000}">
      <text>
        <r>
          <rPr>
            <b/>
            <sz val="9"/>
            <color indexed="81"/>
            <rFont val="Tahoma"/>
            <family val="2"/>
          </rPr>
          <t>Mostafa:</t>
        </r>
        <r>
          <rPr>
            <sz val="9"/>
            <color indexed="81"/>
            <rFont val="Tahoma"/>
            <family val="2"/>
          </rPr>
          <t xml:space="preserve">
Last author is corresponding</t>
        </r>
      </text>
    </comment>
    <comment ref="J27" authorId="1" shapeId="0" xr:uid="{00000000-0006-0000-0600-000022000000}">
      <text>
        <r>
          <rPr>
            <b/>
            <sz val="9"/>
            <color indexed="81"/>
            <rFont val="Verdana"/>
            <family val="2"/>
          </rPr>
          <t>Andrea Tricco:</t>
        </r>
        <r>
          <rPr>
            <sz val="9"/>
            <color indexed="81"/>
            <rFont val="Verdana"/>
            <family val="2"/>
          </rPr>
          <t xml:space="preserve">
Should be moved below</t>
        </r>
      </text>
    </comment>
    <comment ref="O27" authorId="4" shapeId="0" xr:uid="{00000000-0006-0000-0600-000023000000}">
      <text>
        <r>
          <rPr>
            <b/>
            <sz val="8"/>
            <color indexed="81"/>
            <rFont val="Tahoma"/>
            <family val="2"/>
          </rPr>
          <t>Natasha Krahn:</t>
        </r>
        <r>
          <rPr>
            <sz val="8"/>
            <color indexed="81"/>
            <rFont val="Tahoma"/>
            <family val="2"/>
          </rPr>
          <t xml:space="preserve">
median</t>
        </r>
      </text>
    </comment>
    <comment ref="P27" authorId="4" shapeId="0" xr:uid="{00000000-0006-0000-0600-000024000000}">
      <text>
        <r>
          <rPr>
            <b/>
            <sz val="8"/>
            <color indexed="81"/>
            <rFont val="Tahoma"/>
            <family val="2"/>
          </rPr>
          <t>Natasha Krahn:</t>
        </r>
        <r>
          <rPr>
            <sz val="8"/>
            <color indexed="81"/>
            <rFont val="Tahoma"/>
            <family val="2"/>
          </rPr>
          <t xml:space="preserve">
range</t>
        </r>
      </text>
    </comment>
    <comment ref="E28" authorId="0" shapeId="0" xr:uid="{00000000-0006-0000-0600-000025000000}">
      <text>
        <r>
          <rPr>
            <b/>
            <sz val="9"/>
            <color indexed="81"/>
            <rFont val="Tahoma"/>
            <family val="2"/>
          </rPr>
          <t>Mostafa:</t>
        </r>
        <r>
          <rPr>
            <sz val="9"/>
            <color indexed="81"/>
            <rFont val="Tahoma"/>
            <family val="2"/>
          </rPr>
          <t xml:space="preserve">
Having a lot of troiuble with this one
Pauline concurs</t>
        </r>
      </text>
    </comment>
    <comment ref="E29" authorId="0" shapeId="0" xr:uid="{00000000-0006-0000-0600-000026000000}">
      <text>
        <r>
          <rPr>
            <b/>
            <sz val="9"/>
            <color indexed="81"/>
            <rFont val="Tahoma"/>
            <family val="2"/>
          </rPr>
          <t>Mostafa:</t>
        </r>
        <r>
          <rPr>
            <sz val="9"/>
            <color indexed="81"/>
            <rFont val="Tahoma"/>
            <family val="2"/>
          </rPr>
          <t xml:space="preserve">
(1) "Reduced progression of diabetic retinopathy after islet cell transplantation compared with intensive medical therapy"; 2008
Matched for by affiliation</t>
        </r>
      </text>
    </comment>
    <comment ref="M29" authorId="1" shapeId="0" xr:uid="{00000000-0006-0000-0600-000027000000}">
      <text>
        <r>
          <rPr>
            <b/>
            <sz val="9"/>
            <color indexed="81"/>
            <rFont val="Verdana"/>
            <family val="2"/>
          </rPr>
          <t>Andrea Tricco:</t>
        </r>
        <r>
          <rPr>
            <sz val="9"/>
            <color indexed="81"/>
            <rFont val="Verdana"/>
            <family val="2"/>
          </rPr>
          <t xml:space="preserve">
yr of publication
</t>
        </r>
      </text>
    </comment>
    <comment ref="M30" authorId="1" shapeId="0" xr:uid="{00000000-0006-0000-0600-000028000000}">
      <text>
        <r>
          <rPr>
            <b/>
            <sz val="9"/>
            <color indexed="81"/>
            <rFont val="Verdana"/>
            <family val="2"/>
          </rPr>
          <t>Andrea Tricco:</t>
        </r>
        <r>
          <rPr>
            <sz val="9"/>
            <color indexed="81"/>
            <rFont val="Verdana"/>
            <family val="2"/>
          </rPr>
          <t xml:space="preserve">
yr of publication
</t>
        </r>
      </text>
    </comment>
    <comment ref="E31" authorId="0" shapeId="0" xr:uid="{00000000-0006-0000-0600-000029000000}">
      <text>
        <r>
          <rPr>
            <b/>
            <sz val="9"/>
            <color indexed="81"/>
            <rFont val="Tahoma"/>
            <family val="2"/>
          </rPr>
          <t>Mostafa:</t>
        </r>
        <r>
          <rPr>
            <sz val="9"/>
            <color indexed="81"/>
            <rFont val="Tahoma"/>
            <family val="2"/>
          </rPr>
          <t xml:space="preserve">
Found from his CV online</t>
        </r>
      </text>
    </comment>
    <comment ref="M31" authorId="1" shapeId="0" xr:uid="{00000000-0006-0000-0600-00002A000000}">
      <text>
        <r>
          <rPr>
            <b/>
            <sz val="9"/>
            <color indexed="81"/>
            <rFont val="Verdana"/>
            <family val="2"/>
          </rPr>
          <t>Andrea Tricco:</t>
        </r>
        <r>
          <rPr>
            <sz val="9"/>
            <color indexed="81"/>
            <rFont val="Verdana"/>
            <family val="2"/>
          </rPr>
          <t xml:space="preserve">
yr of publication
</t>
        </r>
      </text>
    </comment>
    <comment ref="A32" authorId="4" shapeId="0" xr:uid="{00000000-0006-0000-0600-00002B000000}">
      <text>
        <r>
          <rPr>
            <b/>
            <sz val="8"/>
            <color indexed="81"/>
            <rFont val="Tahoma"/>
            <family val="2"/>
          </rPr>
          <t>Natasha Krahn:</t>
        </r>
        <r>
          <rPr>
            <sz val="8"/>
            <color indexed="81"/>
            <rFont val="Tahoma"/>
            <family val="2"/>
          </rPr>
          <t xml:space="preserve">
Site 2 data</t>
        </r>
      </text>
    </comment>
    <comment ref="D32" authorId="0" shapeId="0" xr:uid="{00000000-0006-0000-0600-00002C000000}">
      <text>
        <r>
          <rPr>
            <b/>
            <sz val="9"/>
            <color indexed="81"/>
            <rFont val="Tahoma"/>
            <family val="2"/>
          </rPr>
          <t>Mostafa:</t>
        </r>
        <r>
          <rPr>
            <sz val="9"/>
            <color indexed="81"/>
            <rFont val="Tahoma"/>
            <family val="2"/>
          </rPr>
          <t xml:space="preserve">
Double-check Journal name...</t>
        </r>
      </text>
    </comment>
    <comment ref="E32" authorId="0" shapeId="0" xr:uid="{00000000-0006-0000-0600-00002D000000}">
      <text>
        <r>
          <rPr>
            <b/>
            <sz val="9"/>
            <color indexed="81"/>
            <rFont val="Tahoma"/>
            <family val="2"/>
          </rPr>
          <t>Mostafa:</t>
        </r>
        <r>
          <rPr>
            <sz val="9"/>
            <color indexed="81"/>
            <rFont val="Tahoma"/>
            <family val="2"/>
          </rPr>
          <t xml:space="preserve">
Strange email, but I checked two different pubmed sources</t>
        </r>
      </text>
    </comment>
    <comment ref="M32" authorId="1" shapeId="0" xr:uid="{00000000-0006-0000-0600-00002E000000}">
      <text>
        <r>
          <rPr>
            <b/>
            <sz val="9"/>
            <color indexed="81"/>
            <rFont val="Verdana"/>
            <family val="2"/>
          </rPr>
          <t>Andrea Tricco:</t>
        </r>
        <r>
          <rPr>
            <sz val="9"/>
            <color indexed="81"/>
            <rFont val="Verdana"/>
            <family val="2"/>
          </rPr>
          <t xml:space="preserve">
yr of publication
</t>
        </r>
      </text>
    </comment>
    <comment ref="M35" authorId="1" shapeId="0" xr:uid="{00000000-0006-0000-0600-00002F000000}">
      <text>
        <r>
          <rPr>
            <b/>
            <sz val="9"/>
            <color indexed="81"/>
            <rFont val="Verdana"/>
            <family val="2"/>
          </rPr>
          <t>Andrea Tricco:</t>
        </r>
        <r>
          <rPr>
            <sz val="9"/>
            <color indexed="81"/>
            <rFont val="Verdana"/>
            <family val="2"/>
          </rPr>
          <t xml:space="preserve">
yr of publication
</t>
        </r>
      </text>
    </comment>
    <comment ref="M36" authorId="4" shapeId="0" xr:uid="{00000000-0006-0000-0600-000030000000}">
      <text>
        <r>
          <rPr>
            <b/>
            <sz val="8"/>
            <color indexed="81"/>
            <rFont val="Tahoma"/>
            <family val="2"/>
          </rPr>
          <t>Natasha Krahn:</t>
        </r>
        <r>
          <rPr>
            <sz val="8"/>
            <color indexed="81"/>
            <rFont val="Tahoma"/>
            <family val="2"/>
          </rPr>
          <t xml:space="preserve">
enrolment period</t>
        </r>
      </text>
    </comment>
    <comment ref="M39" authorId="1" shapeId="0" xr:uid="{00000000-0006-0000-0600-000031000000}">
      <text>
        <r>
          <rPr>
            <b/>
            <sz val="9"/>
            <color indexed="81"/>
            <rFont val="Verdana"/>
            <family val="2"/>
          </rPr>
          <t>Andrea Tricco:</t>
        </r>
        <r>
          <rPr>
            <sz val="9"/>
            <color indexed="81"/>
            <rFont val="Verdana"/>
            <family val="2"/>
          </rPr>
          <t xml:space="preserve">
yr of publication
</t>
        </r>
      </text>
    </comment>
    <comment ref="M40" authorId="4" shapeId="0" xr:uid="{00000000-0006-0000-0600-000032000000}">
      <text>
        <r>
          <rPr>
            <b/>
            <sz val="8"/>
            <color indexed="81"/>
            <rFont val="Tahoma"/>
            <family val="2"/>
          </rPr>
          <t>Natasha Krahn:</t>
        </r>
        <r>
          <rPr>
            <sz val="8"/>
            <color indexed="81"/>
            <rFont val="Tahoma"/>
            <family val="2"/>
          </rPr>
          <t xml:space="preserve">
enrolment period</t>
        </r>
      </text>
    </comment>
    <comment ref="M42" authorId="1" shapeId="0" xr:uid="{00000000-0006-0000-0600-000033000000}">
      <text>
        <r>
          <rPr>
            <b/>
            <sz val="9"/>
            <color indexed="81"/>
            <rFont val="Verdana"/>
            <family val="2"/>
          </rPr>
          <t>Andrea Tricco:</t>
        </r>
        <r>
          <rPr>
            <sz val="9"/>
            <color indexed="81"/>
            <rFont val="Verdana"/>
            <family val="2"/>
          </rPr>
          <t xml:space="preserve">
yr of publication
</t>
        </r>
      </text>
    </comment>
    <comment ref="M45" authorId="4" shapeId="0" xr:uid="{00000000-0006-0000-0600-000034000000}">
      <text>
        <r>
          <rPr>
            <b/>
            <sz val="8"/>
            <color indexed="81"/>
            <rFont val="Tahoma"/>
            <family val="2"/>
          </rPr>
          <t>Natasha Krahn:</t>
        </r>
        <r>
          <rPr>
            <sz val="8"/>
            <color indexed="81"/>
            <rFont val="Tahoma"/>
            <family val="2"/>
          </rPr>
          <t xml:space="preserve">
enrolment period</t>
        </r>
      </text>
    </comment>
    <comment ref="M46" authorId="1" shapeId="0" xr:uid="{00000000-0006-0000-0600-000035000000}">
      <text>
        <r>
          <rPr>
            <b/>
            <sz val="9"/>
            <color indexed="81"/>
            <rFont val="Verdana"/>
            <family val="2"/>
          </rPr>
          <t>Andrea Tricco:</t>
        </r>
        <r>
          <rPr>
            <sz val="9"/>
            <color indexed="81"/>
            <rFont val="Verdana"/>
            <family val="2"/>
          </rPr>
          <t xml:space="preserve">
yr of publication
</t>
        </r>
      </text>
    </comment>
    <comment ref="M47" authorId="1" shapeId="0" xr:uid="{00000000-0006-0000-0600-000036000000}">
      <text>
        <r>
          <rPr>
            <b/>
            <sz val="9"/>
            <color indexed="81"/>
            <rFont val="Verdana"/>
            <family val="2"/>
          </rPr>
          <t>Andrea Tricco:</t>
        </r>
        <r>
          <rPr>
            <sz val="9"/>
            <color indexed="81"/>
            <rFont val="Verdana"/>
            <family val="2"/>
          </rPr>
          <t xml:space="preserve">
yr of publication
</t>
        </r>
      </text>
    </comment>
    <comment ref="M48" authorId="1" shapeId="0" xr:uid="{00000000-0006-0000-0600-000037000000}">
      <text>
        <r>
          <rPr>
            <b/>
            <sz val="9"/>
            <color indexed="81"/>
            <rFont val="Verdana"/>
            <family val="2"/>
          </rPr>
          <t>Andrea Tricco:</t>
        </r>
        <r>
          <rPr>
            <sz val="9"/>
            <color indexed="81"/>
            <rFont val="Verdana"/>
            <family val="2"/>
          </rPr>
          <t xml:space="preserve">
yr of publication
</t>
        </r>
      </text>
    </comment>
    <comment ref="A50" authorId="5" shapeId="0" xr:uid="{00000000-0006-0000-0600-000038000000}">
      <text>
        <r>
          <rPr>
            <b/>
            <sz val="9"/>
            <color indexed="81"/>
            <rFont val="Tahoma"/>
            <family val="2"/>
          </rPr>
          <t>Avtar Lal:</t>
        </r>
        <r>
          <rPr>
            <sz val="9"/>
            <color indexed="81"/>
            <rFont val="Tahoma"/>
            <family val="2"/>
          </rPr>
          <t xml:space="preserve">
Study participant data only</t>
        </r>
      </text>
    </comment>
    <comment ref="O51" authorId="4" shapeId="0" xr:uid="{00000000-0006-0000-0600-000039000000}">
      <text>
        <r>
          <rPr>
            <b/>
            <sz val="8"/>
            <color indexed="81"/>
            <rFont val="Tahoma"/>
            <family val="2"/>
          </rPr>
          <t>Natasha Krahn:</t>
        </r>
        <r>
          <rPr>
            <sz val="8"/>
            <color indexed="81"/>
            <rFont val="Tahoma"/>
            <family val="2"/>
          </rPr>
          <t xml:space="preserve">
medians</t>
        </r>
      </text>
    </comment>
    <comment ref="P51" authorId="4" shapeId="0" xr:uid="{00000000-0006-0000-0600-00003A000000}">
      <text>
        <r>
          <rPr>
            <b/>
            <sz val="8"/>
            <color indexed="81"/>
            <rFont val="Tahoma"/>
            <family val="2"/>
          </rPr>
          <t>Natasha Krahn:</t>
        </r>
        <r>
          <rPr>
            <sz val="8"/>
            <color indexed="81"/>
            <rFont val="Tahoma"/>
            <family val="2"/>
          </rPr>
          <t xml:space="preserve">
range</t>
        </r>
      </text>
    </comment>
    <comment ref="AD51" authorId="1" shapeId="0" xr:uid="{00000000-0006-0000-0600-00003B000000}">
      <text>
        <r>
          <rPr>
            <b/>
            <sz val="9"/>
            <color indexed="81"/>
            <rFont val="Verdana"/>
            <family val="2"/>
          </rPr>
          <t>Andrea Tricco:</t>
        </r>
        <r>
          <rPr>
            <sz val="9"/>
            <color indexed="81"/>
            <rFont val="Verdana"/>
            <family val="2"/>
          </rPr>
          <t xml:space="preserve">
Median follow-up is 21 months
</t>
        </r>
      </text>
    </comment>
    <comment ref="M52" authorId="1" shapeId="0" xr:uid="{00000000-0006-0000-0600-00003C000000}">
      <text>
        <r>
          <rPr>
            <b/>
            <sz val="9"/>
            <color indexed="81"/>
            <rFont val="Verdana"/>
            <family val="2"/>
          </rPr>
          <t>Andrea Tricco:</t>
        </r>
        <r>
          <rPr>
            <sz val="9"/>
            <color indexed="81"/>
            <rFont val="Verdana"/>
            <family val="2"/>
          </rPr>
          <t xml:space="preserve">
yr of publication
</t>
        </r>
      </text>
    </comment>
    <comment ref="A54" authorId="1" shapeId="0" xr:uid="{00000000-0006-0000-0600-00003D000000}">
      <text>
        <r>
          <rPr>
            <b/>
            <sz val="9"/>
            <color indexed="81"/>
            <rFont val="Verdana"/>
            <family val="2"/>
          </rPr>
          <t>Andrea Tricco:</t>
        </r>
        <r>
          <rPr>
            <sz val="9"/>
            <color indexed="81"/>
            <rFont val="Verdana"/>
            <family val="2"/>
          </rPr>
          <t xml:space="preserve">
Will take out in sensitivity analysis - can't figure out companion reports</t>
        </r>
      </text>
    </comment>
    <comment ref="M55" authorId="4" shapeId="0" xr:uid="{00000000-0006-0000-0600-00003E000000}">
      <text>
        <r>
          <rPr>
            <b/>
            <sz val="8"/>
            <color indexed="81"/>
            <rFont val="Tahoma"/>
            <family val="2"/>
          </rPr>
          <t>Natasha Krahn:</t>
        </r>
        <r>
          <rPr>
            <sz val="8"/>
            <color indexed="81"/>
            <rFont val="Tahoma"/>
            <family val="2"/>
          </rPr>
          <t xml:space="preserve">
enrolment period</t>
        </r>
      </text>
    </comment>
    <comment ref="AC56" authorId="4" shapeId="0" xr:uid="{00000000-0006-0000-0600-00003F000000}">
      <text>
        <r>
          <rPr>
            <b/>
            <sz val="8"/>
            <color indexed="81"/>
            <rFont val="Tahoma"/>
            <family val="2"/>
          </rPr>
          <t>Natasha Krahn:</t>
        </r>
        <r>
          <rPr>
            <sz val="8"/>
            <color indexed="81"/>
            <rFont val="Tahoma"/>
            <family val="2"/>
          </rPr>
          <t xml:space="preserve">
assuming academic year Sept-Jun (10 months)</t>
        </r>
      </text>
    </comment>
    <comment ref="M57" authorId="1" shapeId="0" xr:uid="{00000000-0006-0000-0600-000040000000}">
      <text>
        <r>
          <rPr>
            <b/>
            <sz val="9"/>
            <color indexed="81"/>
            <rFont val="Verdana"/>
            <family val="2"/>
          </rPr>
          <t>Andrea Tricco:</t>
        </r>
        <r>
          <rPr>
            <sz val="9"/>
            <color indexed="81"/>
            <rFont val="Verdana"/>
            <family val="2"/>
          </rPr>
          <t xml:space="preserve">
yr of publication
</t>
        </r>
      </text>
    </comment>
    <comment ref="M58" authorId="1" shapeId="0" xr:uid="{00000000-0006-0000-0600-000041000000}">
      <text>
        <r>
          <rPr>
            <b/>
            <sz val="9"/>
            <color indexed="81"/>
            <rFont val="Verdana"/>
            <family val="2"/>
          </rPr>
          <t>Andrea Tricco:</t>
        </r>
        <r>
          <rPr>
            <sz val="9"/>
            <color indexed="81"/>
            <rFont val="Verdana"/>
            <family val="2"/>
          </rPr>
          <t xml:space="preserve">
yr of publication
</t>
        </r>
      </text>
    </comment>
    <comment ref="J59" authorId="1" shapeId="0" xr:uid="{00000000-0006-0000-0600-000042000000}">
      <text>
        <r>
          <rPr>
            <b/>
            <sz val="9"/>
            <color indexed="81"/>
            <rFont val="Verdana"/>
            <family val="2"/>
          </rPr>
          <t>Andrea Tricco:</t>
        </r>
        <r>
          <rPr>
            <sz val="9"/>
            <color indexed="81"/>
            <rFont val="Verdana"/>
            <family val="2"/>
          </rPr>
          <t xml:space="preserve">
Should be moved below</t>
        </r>
      </text>
    </comment>
    <comment ref="M59" authorId="1" shapeId="0" xr:uid="{00000000-0006-0000-0600-000043000000}">
      <text>
        <r>
          <rPr>
            <b/>
            <sz val="9"/>
            <color indexed="81"/>
            <rFont val="Verdana"/>
            <family val="2"/>
          </rPr>
          <t>Andrea Tricco:</t>
        </r>
        <r>
          <rPr>
            <sz val="9"/>
            <color indexed="81"/>
            <rFont val="Verdana"/>
            <family val="2"/>
          </rPr>
          <t xml:space="preserve">
yr of publication
</t>
        </r>
      </text>
    </comment>
    <comment ref="AC59" authorId="4" shapeId="0" xr:uid="{00000000-0006-0000-0600-000044000000}">
      <text>
        <r>
          <rPr>
            <b/>
            <sz val="8"/>
            <color indexed="81"/>
            <rFont val="Tahoma"/>
            <family val="2"/>
          </rPr>
          <t>Natasha Krahn:</t>
        </r>
        <r>
          <rPr>
            <sz val="8"/>
            <color indexed="81"/>
            <rFont val="Tahoma"/>
            <family val="2"/>
          </rPr>
          <t xml:space="preserve">
first cross-over period happened at 6 mo</t>
        </r>
      </text>
    </comment>
    <comment ref="M60" authorId="4" shapeId="0" xr:uid="{00000000-0006-0000-0600-000045000000}">
      <text>
        <r>
          <rPr>
            <b/>
            <sz val="8"/>
            <color indexed="81"/>
            <rFont val="Tahoma"/>
            <family val="2"/>
          </rPr>
          <t>Natasha Krahn:</t>
        </r>
        <r>
          <rPr>
            <sz val="8"/>
            <color indexed="81"/>
            <rFont val="Tahoma"/>
            <family val="2"/>
          </rPr>
          <t xml:space="preserve">
enrolment period</t>
        </r>
      </text>
    </comment>
    <comment ref="M61" authorId="4" shapeId="0" xr:uid="{00000000-0006-0000-0600-000046000000}">
      <text>
        <r>
          <rPr>
            <b/>
            <sz val="8"/>
            <color indexed="81"/>
            <rFont val="Tahoma"/>
            <family val="2"/>
          </rPr>
          <t>Natasha Krahn:</t>
        </r>
        <r>
          <rPr>
            <sz val="8"/>
            <color indexed="81"/>
            <rFont val="Tahoma"/>
            <family val="2"/>
          </rPr>
          <t xml:space="preserve">
enrolment period</t>
        </r>
      </text>
    </comment>
    <comment ref="M65" authorId="3" shapeId="0" xr:uid="{00000000-0006-0000-0600-000047000000}">
      <text>
        <r>
          <rPr>
            <b/>
            <sz val="9"/>
            <color indexed="81"/>
            <rFont val="Calibri"/>
            <family val="2"/>
          </rPr>
          <t>Kristin Danko:</t>
        </r>
        <r>
          <rPr>
            <sz val="9"/>
            <color indexed="81"/>
            <rFont val="Calibri"/>
            <family val="2"/>
          </rPr>
          <t xml:space="preserve">
missing, found in report study started 2001, outcomes 12 months so imputed, however don't know when last recruited so put year publication 2006</t>
        </r>
      </text>
    </comment>
    <comment ref="M67" authorId="1" shapeId="0" xr:uid="{00000000-0006-0000-0600-000048000000}">
      <text>
        <r>
          <rPr>
            <b/>
            <sz val="9"/>
            <color indexed="81"/>
            <rFont val="Verdana"/>
            <family val="2"/>
          </rPr>
          <t>Andrea Tricco:</t>
        </r>
        <r>
          <rPr>
            <sz val="9"/>
            <color indexed="81"/>
            <rFont val="Verdana"/>
            <family val="2"/>
          </rPr>
          <t xml:space="preserve">
yr of publication
</t>
        </r>
      </text>
    </comment>
    <comment ref="M68" authorId="4" shapeId="0" xr:uid="{00000000-0006-0000-0600-000049000000}">
      <text>
        <r>
          <rPr>
            <b/>
            <sz val="8"/>
            <color indexed="81"/>
            <rFont val="Tahoma"/>
            <family val="2"/>
          </rPr>
          <t>Natasha Krahn:</t>
        </r>
        <r>
          <rPr>
            <sz val="8"/>
            <color indexed="81"/>
            <rFont val="Tahoma"/>
            <family val="2"/>
          </rPr>
          <t xml:space="preserve">
randomization period</t>
        </r>
      </text>
    </comment>
    <comment ref="K70" authorId="3" shapeId="0" xr:uid="{00000000-0006-0000-0600-00004A000000}">
      <text>
        <r>
          <rPr>
            <b/>
            <sz val="9"/>
            <color indexed="81"/>
            <rFont val="Verdana"/>
            <family val="2"/>
          </rPr>
          <t>Kristin Danko:</t>
        </r>
        <r>
          <rPr>
            <sz val="9"/>
            <color indexed="81"/>
            <rFont val="Verdana"/>
            <family val="2"/>
          </rPr>
          <t xml:space="preserve">
changed to # randomized (Figure 1) consistent with patient n in study characteristics; n clusters analysed reported in outcome sheets</t>
        </r>
      </text>
    </comment>
    <comment ref="L70" authorId="3" shapeId="0" xr:uid="{00000000-0006-0000-0600-00004B000000}">
      <text>
        <r>
          <rPr>
            <b/>
            <sz val="9"/>
            <color indexed="81"/>
            <rFont val="Verdana"/>
            <family val="2"/>
          </rPr>
          <t>Kristin Danko:</t>
        </r>
        <r>
          <rPr>
            <sz val="9"/>
            <color indexed="81"/>
            <rFont val="Verdana"/>
            <family val="2"/>
          </rPr>
          <t xml:space="preserve">
changed to # randomized (Figure 1) consistent with patient n in study characteristics; n clusters analysed reported in outcome sheets</t>
        </r>
      </text>
    </comment>
    <comment ref="L71" authorId="5" shapeId="0" xr:uid="{00000000-0006-0000-0600-00004C000000}">
      <text>
        <r>
          <rPr>
            <b/>
            <sz val="9"/>
            <color indexed="81"/>
            <rFont val="Tahoma"/>
            <family val="2"/>
          </rPr>
          <t>Avtar Lal:</t>
        </r>
        <r>
          <rPr>
            <sz val="9"/>
            <color indexed="81"/>
            <rFont val="Tahoma"/>
            <family val="2"/>
          </rPr>
          <t xml:space="preserve">
Clinic staff</t>
        </r>
      </text>
    </comment>
    <comment ref="M71" authorId="1" shapeId="0" xr:uid="{00000000-0006-0000-0600-00004D000000}">
      <text>
        <r>
          <rPr>
            <b/>
            <sz val="9"/>
            <color indexed="81"/>
            <rFont val="Verdana"/>
            <family val="2"/>
          </rPr>
          <t>Andrea Tricco:</t>
        </r>
        <r>
          <rPr>
            <sz val="9"/>
            <color indexed="81"/>
            <rFont val="Verdana"/>
            <family val="2"/>
          </rPr>
          <t xml:space="preserve">
yr of publication
</t>
        </r>
      </text>
    </comment>
    <comment ref="P73" authorId="2" shapeId="0" xr:uid="{00000000-0006-0000-0600-00004E000000}">
      <text>
        <r>
          <rPr>
            <b/>
            <sz val="8"/>
            <color indexed="81"/>
            <rFont val="Tahoma"/>
            <family val="2"/>
          </rPr>
          <t>mkarkhaneh:</t>
        </r>
        <r>
          <rPr>
            <sz val="8"/>
            <color indexed="81"/>
            <rFont val="Tahoma"/>
            <family val="2"/>
          </rPr>
          <t xml:space="preserve">
by formula </t>
        </r>
      </text>
    </comment>
    <comment ref="M74" authorId="1" shapeId="0" xr:uid="{00000000-0006-0000-0600-00004F000000}">
      <text>
        <r>
          <rPr>
            <b/>
            <sz val="9"/>
            <color indexed="81"/>
            <rFont val="Verdana"/>
            <family val="2"/>
          </rPr>
          <t>Andrea Tricco:</t>
        </r>
        <r>
          <rPr>
            <sz val="9"/>
            <color indexed="81"/>
            <rFont val="Verdana"/>
            <family val="2"/>
          </rPr>
          <t xml:space="preserve">
yr of publication
</t>
        </r>
      </text>
    </comment>
    <comment ref="AD74" authorId="1" shapeId="0" xr:uid="{00000000-0006-0000-0600-000050000000}">
      <text>
        <r>
          <rPr>
            <b/>
            <sz val="9"/>
            <color indexed="81"/>
            <rFont val="Verdana"/>
            <family val="2"/>
          </rPr>
          <t>Andrea Tricco:</t>
        </r>
        <r>
          <rPr>
            <sz val="9"/>
            <color indexed="81"/>
            <rFont val="Verdana"/>
            <family val="2"/>
          </rPr>
          <t xml:space="preserve">
HbA1c assessed again at 12 weeks
</t>
        </r>
      </text>
    </comment>
    <comment ref="M76" authorId="1" shapeId="0" xr:uid="{00000000-0006-0000-0600-000051000000}">
      <text>
        <r>
          <rPr>
            <b/>
            <sz val="9"/>
            <color indexed="81"/>
            <rFont val="Verdana"/>
            <family val="2"/>
          </rPr>
          <t>Andrea Tricco:</t>
        </r>
        <r>
          <rPr>
            <sz val="9"/>
            <color indexed="81"/>
            <rFont val="Verdana"/>
            <family val="2"/>
          </rPr>
          <t xml:space="preserve">
yr of publication
</t>
        </r>
      </text>
    </comment>
    <comment ref="M79" authorId="4" shapeId="0" xr:uid="{00000000-0006-0000-0600-000052000000}">
      <text>
        <r>
          <rPr>
            <b/>
            <sz val="8"/>
            <color indexed="81"/>
            <rFont val="Tahoma"/>
            <family val="2"/>
          </rPr>
          <t>Natasha Krahn:</t>
        </r>
        <r>
          <rPr>
            <sz val="8"/>
            <color indexed="81"/>
            <rFont val="Tahoma"/>
            <family val="2"/>
          </rPr>
          <t xml:space="preserve">
enrolment period</t>
        </r>
      </text>
    </comment>
    <comment ref="M80" authorId="1" shapeId="0" xr:uid="{00000000-0006-0000-0600-000053000000}">
      <text>
        <r>
          <rPr>
            <b/>
            <sz val="9"/>
            <color indexed="81"/>
            <rFont val="Verdana"/>
            <family val="2"/>
          </rPr>
          <t>Andrea Tricco:</t>
        </r>
        <r>
          <rPr>
            <sz val="9"/>
            <color indexed="81"/>
            <rFont val="Verdana"/>
            <family val="2"/>
          </rPr>
          <t xml:space="preserve">
yr of publication
</t>
        </r>
      </text>
    </comment>
    <comment ref="O80" authorId="4" shapeId="0" xr:uid="{00000000-0006-0000-0600-000054000000}">
      <text>
        <r>
          <rPr>
            <b/>
            <sz val="8"/>
            <color indexed="81"/>
            <rFont val="Tahoma"/>
            <family val="2"/>
          </rPr>
          <t>Natasha Krahn:</t>
        </r>
        <r>
          <rPr>
            <sz val="8"/>
            <color indexed="81"/>
            <rFont val="Tahoma"/>
            <family val="2"/>
          </rPr>
          <t xml:space="preserve">
nr how many subjects in each group</t>
        </r>
      </text>
    </comment>
    <comment ref="P80" authorId="4" shapeId="0" xr:uid="{00000000-0006-0000-0600-000055000000}">
      <text>
        <r>
          <rPr>
            <b/>
            <sz val="8"/>
            <color indexed="81"/>
            <rFont val="Tahoma"/>
            <family val="2"/>
          </rPr>
          <t>Natasha Krahn:</t>
        </r>
        <r>
          <rPr>
            <sz val="8"/>
            <color indexed="81"/>
            <rFont val="Tahoma"/>
            <family val="2"/>
          </rPr>
          <t xml:space="preserve">
nr how many subjects in each group</t>
        </r>
      </text>
    </comment>
    <comment ref="B82" authorId="1" shapeId="0" xr:uid="{00000000-0006-0000-0600-000056000000}">
      <text>
        <r>
          <rPr>
            <b/>
            <sz val="9"/>
            <color indexed="81"/>
            <rFont val="Verdana"/>
            <family val="2"/>
          </rPr>
          <t>Andrea Tricco:</t>
        </r>
        <r>
          <rPr>
            <sz val="9"/>
            <color indexed="81"/>
            <rFont val="Verdana"/>
            <family val="2"/>
          </rPr>
          <t xml:space="preserve">
Was RefID 7493</t>
        </r>
      </text>
    </comment>
    <comment ref="AD83" authorId="4" shapeId="0" xr:uid="{00000000-0006-0000-0600-000057000000}">
      <text>
        <r>
          <rPr>
            <b/>
            <sz val="8"/>
            <color indexed="81"/>
            <rFont val="Tahoma"/>
            <family val="2"/>
          </rPr>
          <t>Natasha Krahn:</t>
        </r>
        <r>
          <rPr>
            <sz val="8"/>
            <color indexed="81"/>
            <rFont val="Tahoma"/>
            <family val="2"/>
          </rPr>
          <t xml:space="preserve">
mean, SD +-2</t>
        </r>
      </text>
    </comment>
    <comment ref="M84" authorId="1" shapeId="0" xr:uid="{00000000-0006-0000-0600-000058000000}">
      <text>
        <r>
          <rPr>
            <b/>
            <sz val="9"/>
            <color indexed="81"/>
            <rFont val="Verdana"/>
            <family val="2"/>
          </rPr>
          <t>Andrea Tricco:</t>
        </r>
        <r>
          <rPr>
            <sz val="9"/>
            <color indexed="81"/>
            <rFont val="Verdana"/>
            <family val="2"/>
          </rPr>
          <t xml:space="preserve">
yr of publication
</t>
        </r>
      </text>
    </comment>
    <comment ref="P84" authorId="4" shapeId="0" xr:uid="{00000000-0006-0000-0600-000059000000}">
      <text>
        <r>
          <rPr>
            <b/>
            <sz val="8"/>
            <color indexed="81"/>
            <rFont val="Tahoma"/>
            <family val="2"/>
          </rPr>
          <t>Natasha Krahn:</t>
        </r>
        <r>
          <rPr>
            <sz val="8"/>
            <color indexed="81"/>
            <rFont val="Tahoma"/>
            <family val="2"/>
          </rPr>
          <t xml:space="preserve">
IQR</t>
        </r>
      </text>
    </comment>
    <comment ref="A86" authorId="1" shapeId="0" xr:uid="{00000000-0006-0000-0600-00005A000000}">
      <text>
        <r>
          <rPr>
            <b/>
            <sz val="9"/>
            <color indexed="81"/>
            <rFont val="Verdana"/>
            <family val="2"/>
          </rPr>
          <t>Andrea Tricco:</t>
        </r>
        <r>
          <rPr>
            <sz val="9"/>
            <color indexed="81"/>
            <rFont val="Verdana"/>
            <family val="2"/>
          </rPr>
          <t xml:space="preserve">
Will take out in sensitivity analysis - can't figure out companion reports</t>
        </r>
      </text>
    </comment>
    <comment ref="AD87" authorId="4" shapeId="0" xr:uid="{00000000-0006-0000-0600-00005B000000}">
      <text>
        <r>
          <rPr>
            <b/>
            <sz val="8"/>
            <color indexed="81"/>
            <rFont val="Tahoma"/>
            <family val="2"/>
          </rPr>
          <t>Natasha Krahn:</t>
        </r>
        <r>
          <rPr>
            <sz val="8"/>
            <color indexed="81"/>
            <rFont val="Tahoma"/>
            <family val="2"/>
          </rPr>
          <t xml:space="preserve">
mean</t>
        </r>
      </text>
    </comment>
    <comment ref="AD89" authorId="1" shapeId="0" xr:uid="{00000000-0006-0000-0600-00005C000000}">
      <text>
        <r>
          <rPr>
            <b/>
            <sz val="9"/>
            <color indexed="81"/>
            <rFont val="Verdana"/>
            <family val="2"/>
          </rPr>
          <t>Andrea Tricco:</t>
        </r>
        <r>
          <rPr>
            <sz val="9"/>
            <color indexed="81"/>
            <rFont val="Verdana"/>
            <family val="2"/>
          </rPr>
          <t xml:space="preserve">
HbA1c</t>
        </r>
      </text>
    </comment>
    <comment ref="A90" authorId="3" shapeId="0" xr:uid="{00000000-0006-0000-0600-00005D000000}">
      <text>
        <r>
          <rPr>
            <b/>
            <sz val="9"/>
            <color indexed="81"/>
            <rFont val="Verdana"/>
            <family val="2"/>
          </rPr>
          <t>Kristin Danko:</t>
        </r>
        <r>
          <rPr>
            <sz val="9"/>
            <color indexed="81"/>
            <rFont val="Verdana"/>
            <family val="2"/>
          </rPr>
          <t xml:space="preserve">
Project sugar 1 (other Gary article 8144 is Project sugar 2)</t>
        </r>
      </text>
    </comment>
    <comment ref="P91" authorId="2" shapeId="0" xr:uid="{00000000-0006-0000-0600-00005E000000}">
      <text>
        <r>
          <rPr>
            <b/>
            <sz val="8"/>
            <color indexed="81"/>
            <rFont val="Tahoma"/>
            <family val="2"/>
          </rPr>
          <t>mkarkhaneh:</t>
        </r>
        <r>
          <rPr>
            <sz val="8"/>
            <color indexed="81"/>
            <rFont val="Tahoma"/>
            <family val="2"/>
          </rPr>
          <t xml:space="preserve">
by formula</t>
        </r>
      </text>
    </comment>
    <comment ref="M95" authorId="1" shapeId="0" xr:uid="{00000000-0006-0000-0600-00005F000000}">
      <text>
        <r>
          <rPr>
            <b/>
            <sz val="9"/>
            <color indexed="81"/>
            <rFont val="Verdana"/>
            <family val="2"/>
          </rPr>
          <t>Andrea Tricco:</t>
        </r>
        <r>
          <rPr>
            <sz val="9"/>
            <color indexed="81"/>
            <rFont val="Verdana"/>
            <family val="2"/>
          </rPr>
          <t xml:space="preserve">
yr of publication
</t>
        </r>
      </text>
    </comment>
    <comment ref="F96" authorId="0" shapeId="0" xr:uid="{00000000-0006-0000-0600-000060000000}">
      <text>
        <r>
          <rPr>
            <b/>
            <sz val="9"/>
            <color indexed="81"/>
            <rFont val="Tahoma"/>
            <family val="2"/>
          </rPr>
          <t>Mostafa:</t>
        </r>
        <r>
          <rPr>
            <sz val="9"/>
            <color indexed="81"/>
            <rFont val="Tahoma"/>
            <family val="2"/>
          </rPr>
          <t xml:space="preserve">
Although they list "O'Hare" under correspendence, the email they provide is "neil.raymond@..." which corresponds to the second author</t>
        </r>
      </text>
    </comment>
    <comment ref="M96" authorId="4" shapeId="0" xr:uid="{00000000-0006-0000-0600-000061000000}">
      <text>
        <r>
          <rPr>
            <b/>
            <sz val="8"/>
            <color indexed="81"/>
            <rFont val="Tahoma"/>
            <family val="2"/>
          </rPr>
          <t>Natasha Krahn:</t>
        </r>
        <r>
          <rPr>
            <sz val="8"/>
            <color indexed="81"/>
            <rFont val="Tahoma"/>
            <family val="2"/>
          </rPr>
          <t xml:space="preserve">
baseline data collection</t>
        </r>
      </text>
    </comment>
    <comment ref="M98" authorId="1" shapeId="0" xr:uid="{00000000-0006-0000-0600-000062000000}">
      <text>
        <r>
          <rPr>
            <b/>
            <sz val="9"/>
            <color indexed="81"/>
            <rFont val="Verdana"/>
            <family val="2"/>
          </rPr>
          <t>Andrea Tricco:</t>
        </r>
        <r>
          <rPr>
            <sz val="9"/>
            <color indexed="81"/>
            <rFont val="Verdana"/>
            <family val="2"/>
          </rPr>
          <t xml:space="preserve">
yr of publication
</t>
        </r>
      </text>
    </comment>
    <comment ref="B103" authorId="3" shapeId="0" xr:uid="{00000000-0006-0000-0600-000063000000}">
      <text>
        <r>
          <rPr>
            <b/>
            <sz val="9"/>
            <color indexed="81"/>
            <rFont val="Verdana"/>
            <family val="2"/>
          </rPr>
          <t>Kristin Danko:</t>
        </r>
        <r>
          <rPr>
            <sz val="9"/>
            <color indexed="81"/>
            <rFont val="Verdana"/>
            <family val="2"/>
          </rPr>
          <t xml:space="preserve">
co-pub 9034 in update - very clear reporting </t>
        </r>
      </text>
    </comment>
    <comment ref="M105" authorId="6" shapeId="0" xr:uid="{00000000-0006-0000-0600-000064000000}">
      <text>
        <r>
          <rPr>
            <b/>
            <sz val="9"/>
            <color indexed="81"/>
            <rFont val="Tahoma"/>
            <family val="2"/>
          </rPr>
          <t>Noah Ivers:</t>
        </r>
        <r>
          <rPr>
            <sz val="9"/>
            <color indexed="81"/>
            <rFont val="Tahoma"/>
            <family val="2"/>
          </rPr>
          <t xml:space="preserve">
pub year</t>
        </r>
      </text>
    </comment>
    <comment ref="M107" authorId="6" shapeId="0" xr:uid="{00000000-0006-0000-0600-000065000000}">
      <text>
        <r>
          <rPr>
            <b/>
            <sz val="9"/>
            <color indexed="81"/>
            <rFont val="Tahoma"/>
            <family val="2"/>
          </rPr>
          <t>Noah Ivers:</t>
        </r>
        <r>
          <rPr>
            <sz val="9"/>
            <color indexed="81"/>
            <rFont val="Tahoma"/>
            <family val="2"/>
          </rPr>
          <t xml:space="preserve">
pub year</t>
        </r>
      </text>
    </comment>
    <comment ref="F108" authorId="0" shapeId="0" xr:uid="{00000000-0006-0000-0600-000066000000}">
      <text>
        <r>
          <rPr>
            <b/>
            <sz val="9"/>
            <color indexed="81"/>
            <rFont val="Tahoma"/>
            <family val="2"/>
          </rPr>
          <t>Mostafa:</t>
        </r>
        <r>
          <rPr>
            <sz val="9"/>
            <color indexed="81"/>
            <rFont val="Tahoma"/>
            <family val="2"/>
          </rPr>
          <t xml:space="preserve">
Referring to "Kim MT"; the first author</t>
        </r>
      </text>
    </comment>
    <comment ref="M108" authorId="6" shapeId="0" xr:uid="{00000000-0006-0000-0600-000067000000}">
      <text>
        <r>
          <rPr>
            <b/>
            <sz val="9"/>
            <color indexed="81"/>
            <rFont val="Tahoma"/>
            <family val="2"/>
          </rPr>
          <t>Noah Ivers:</t>
        </r>
        <r>
          <rPr>
            <sz val="9"/>
            <color indexed="81"/>
            <rFont val="Tahoma"/>
            <family val="2"/>
          </rPr>
          <t xml:space="preserve">
pub year</t>
        </r>
      </text>
    </comment>
    <comment ref="AO111" authorId="7" shapeId="0" xr:uid="{00000000-0006-0000-0600-000068000000}">
      <text>
        <r>
          <rPr>
            <b/>
            <sz val="8"/>
            <color indexed="81"/>
            <rFont val="Tahoma"/>
            <family val="2"/>
          </rPr>
          <t>kdanko:</t>
        </r>
        <r>
          <rPr>
            <sz val="8"/>
            <color indexed="81"/>
            <rFont val="Tahoma"/>
            <family val="2"/>
          </rPr>
          <t xml:space="preserve">
data from co pub 8066</t>
        </r>
      </text>
    </comment>
    <comment ref="M113" authorId="1" shapeId="0" xr:uid="{00000000-0006-0000-0600-000069000000}">
      <text>
        <r>
          <rPr>
            <b/>
            <sz val="9"/>
            <color indexed="81"/>
            <rFont val="Verdana"/>
            <family val="2"/>
          </rPr>
          <t>Andrea Tricco:</t>
        </r>
        <r>
          <rPr>
            <sz val="9"/>
            <color indexed="81"/>
            <rFont val="Verdana"/>
            <family val="2"/>
          </rPr>
          <t xml:space="preserve">
yr of publication
</t>
        </r>
      </text>
    </comment>
    <comment ref="P114" authorId="1" shapeId="0" xr:uid="{00000000-0006-0000-0600-00006A000000}">
      <text>
        <r>
          <rPr>
            <b/>
            <sz val="9"/>
            <color indexed="81"/>
            <rFont val="Verdana"/>
            <family val="2"/>
          </rPr>
          <t>Andrea Tricco:</t>
        </r>
        <r>
          <rPr>
            <sz val="9"/>
            <color indexed="81"/>
            <rFont val="Verdana"/>
            <family val="2"/>
          </rPr>
          <t xml:space="preserve">
range</t>
        </r>
      </text>
    </comment>
    <comment ref="O116" authorId="1" shapeId="0" xr:uid="{00000000-0006-0000-0600-00006B000000}">
      <text>
        <r>
          <rPr>
            <b/>
            <sz val="9"/>
            <color indexed="81"/>
            <rFont val="Verdana"/>
            <family val="2"/>
          </rPr>
          <t>Andrea Tricco:</t>
        </r>
        <r>
          <rPr>
            <sz val="9"/>
            <color indexed="81"/>
            <rFont val="Verdana"/>
            <family val="2"/>
          </rPr>
          <t xml:space="preserve">
entire sample</t>
        </r>
      </text>
    </comment>
    <comment ref="P116" authorId="1" shapeId="0" xr:uid="{00000000-0006-0000-0600-00006C000000}">
      <text>
        <r>
          <rPr>
            <b/>
            <sz val="9"/>
            <color indexed="81"/>
            <rFont val="Verdana"/>
            <family val="2"/>
          </rPr>
          <t>Andrea Tricco:</t>
        </r>
        <r>
          <rPr>
            <sz val="9"/>
            <color indexed="81"/>
            <rFont val="Verdana"/>
            <family val="2"/>
          </rPr>
          <t xml:space="preserve">
entire sample</t>
        </r>
      </text>
    </comment>
    <comment ref="Q116" authorId="1" shapeId="0" xr:uid="{00000000-0006-0000-0600-00006D000000}">
      <text>
        <r>
          <rPr>
            <b/>
            <sz val="9"/>
            <color indexed="81"/>
            <rFont val="Verdana"/>
            <family val="2"/>
          </rPr>
          <t>Andrea Tricco:</t>
        </r>
        <r>
          <rPr>
            <sz val="9"/>
            <color indexed="81"/>
            <rFont val="Verdana"/>
            <family val="2"/>
          </rPr>
          <t xml:space="preserve">
entire sample</t>
        </r>
      </text>
    </comment>
    <comment ref="AD116" authorId="1" shapeId="0" xr:uid="{00000000-0006-0000-0600-00006E000000}">
      <text>
        <r>
          <rPr>
            <b/>
            <sz val="9"/>
            <color indexed="81"/>
            <rFont val="Verdana"/>
            <family val="2"/>
          </rPr>
          <t>Andrea Tricco:</t>
        </r>
        <r>
          <rPr>
            <sz val="9"/>
            <color indexed="81"/>
            <rFont val="Verdana"/>
            <family val="2"/>
          </rPr>
          <t xml:space="preserve">
mean</t>
        </r>
      </text>
    </comment>
    <comment ref="E117" authorId="0" shapeId="0" xr:uid="{00000000-0006-0000-0600-00006F000000}">
      <text>
        <r>
          <rPr>
            <b/>
            <sz val="9"/>
            <color indexed="81"/>
            <rFont val="Tahoma"/>
            <family val="2"/>
          </rPr>
          <t>Mostafa:
Tracked down by "Self-management interventions for chronic illness." - Newman was listed as the corresponding author in the original article</t>
        </r>
        <r>
          <rPr>
            <sz val="9"/>
            <color indexed="81"/>
            <rFont val="Tahoma"/>
            <family val="2"/>
          </rPr>
          <t xml:space="preserve">
</t>
        </r>
      </text>
    </comment>
    <comment ref="M117" authorId="3" shapeId="0" xr:uid="{00000000-0006-0000-0600-000070000000}">
      <text>
        <r>
          <rPr>
            <b/>
            <sz val="9"/>
            <color indexed="81"/>
            <rFont val="Calibri"/>
            <family val="2"/>
          </rPr>
          <t>Kristin Danko:</t>
        </r>
        <r>
          <rPr>
            <sz val="9"/>
            <color indexed="81"/>
            <rFont val="Calibri"/>
            <family val="2"/>
          </rPr>
          <t xml:space="preserve">
missing, found in report; 2007 draft </t>
        </r>
      </text>
    </comment>
    <comment ref="O117" authorId="1" shapeId="0" xr:uid="{00000000-0006-0000-0600-000071000000}">
      <text>
        <r>
          <rPr>
            <b/>
            <sz val="9"/>
            <color indexed="81"/>
            <rFont val="Verdana"/>
            <family val="2"/>
          </rPr>
          <t>Andrea Tricco:</t>
        </r>
        <r>
          <rPr>
            <sz val="9"/>
            <color indexed="81"/>
            <rFont val="Verdana"/>
            <family val="2"/>
          </rPr>
          <t xml:space="preserve">
median</t>
        </r>
      </text>
    </comment>
    <comment ref="P117" authorId="1" shapeId="0" xr:uid="{00000000-0006-0000-0600-000072000000}">
      <text>
        <r>
          <rPr>
            <b/>
            <sz val="9"/>
            <color indexed="81"/>
            <rFont val="Verdana"/>
            <family val="2"/>
          </rPr>
          <t>Andrea Tricco:</t>
        </r>
        <r>
          <rPr>
            <sz val="9"/>
            <color indexed="81"/>
            <rFont val="Verdana"/>
            <family val="2"/>
          </rPr>
          <t xml:space="preserve">
range</t>
        </r>
      </text>
    </comment>
    <comment ref="M119" authorId="1" shapeId="0" xr:uid="{00000000-0006-0000-0600-000073000000}">
      <text>
        <r>
          <rPr>
            <b/>
            <sz val="9"/>
            <color indexed="81"/>
            <rFont val="Verdana"/>
            <family val="2"/>
          </rPr>
          <t>Andrea Tricco:</t>
        </r>
        <r>
          <rPr>
            <sz val="9"/>
            <color indexed="81"/>
            <rFont val="Verdana"/>
            <family val="2"/>
          </rPr>
          <t xml:space="preserve">
yr of publication
</t>
        </r>
      </text>
    </comment>
    <comment ref="M120" authorId="3" shapeId="0" xr:uid="{00000000-0006-0000-0600-000074000000}">
      <text>
        <r>
          <rPr>
            <b/>
            <sz val="9"/>
            <color indexed="81"/>
            <rFont val="Calibri"/>
            <family val="2"/>
          </rPr>
          <t>Kristin Danko:</t>
        </r>
        <r>
          <rPr>
            <sz val="9"/>
            <color indexed="81"/>
            <rFont val="Calibri"/>
            <family val="2"/>
          </rPr>
          <t xml:space="preserve">
yr of publication (previously missing)</t>
        </r>
      </text>
    </comment>
    <comment ref="O121" authorId="8" shapeId="0" xr:uid="{00000000-0006-0000-0600-000075000000}">
      <text>
        <r>
          <rPr>
            <b/>
            <sz val="9"/>
            <color indexed="81"/>
            <rFont val="Tahoma"/>
            <family val="2"/>
          </rPr>
          <t>Quach, Pauline:</t>
        </r>
        <r>
          <rPr>
            <sz val="9"/>
            <color indexed="81"/>
            <rFont val="Tahoma"/>
            <family val="2"/>
          </rPr>
          <t xml:space="preserve">
Age was separated by groups, and the number of men and women in each age group by intervention arm was presented.</t>
        </r>
      </text>
    </comment>
    <comment ref="P121" authorId="8" shapeId="0" xr:uid="{00000000-0006-0000-0600-000076000000}">
      <text>
        <r>
          <rPr>
            <b/>
            <sz val="9"/>
            <color indexed="81"/>
            <rFont val="Tahoma"/>
            <family val="2"/>
          </rPr>
          <t>Quach, Pauline:</t>
        </r>
        <r>
          <rPr>
            <sz val="9"/>
            <color indexed="81"/>
            <rFont val="Tahoma"/>
            <family val="2"/>
          </rPr>
          <t xml:space="preserve">
Age was separated by groups, and the number of men and women in each age group by intervention arm was presented.</t>
        </r>
      </text>
    </comment>
    <comment ref="T121" authorId="8" shapeId="0" xr:uid="{00000000-0006-0000-0600-000077000000}">
      <text>
        <r>
          <rPr>
            <b/>
            <sz val="9"/>
            <color indexed="81"/>
            <rFont val="Tahoma"/>
            <family val="2"/>
          </rPr>
          <t>Quach, Pauline:</t>
        </r>
        <r>
          <rPr>
            <sz val="9"/>
            <color indexed="81"/>
            <rFont val="Tahoma"/>
            <family val="2"/>
          </rPr>
          <t xml:space="preserve">
Were there dropouts? Is this the number randomized or analyzed? Can't tell- since not provided with a flow diagram</t>
        </r>
      </text>
    </comment>
    <comment ref="I122" authorId="8" shapeId="0" xr:uid="{00000000-0006-0000-0600-000078000000}">
      <text>
        <r>
          <rPr>
            <b/>
            <sz val="9"/>
            <color indexed="81"/>
            <rFont val="Tahoma"/>
            <family val="2"/>
          </rPr>
          <t>Quach, Pauline:</t>
        </r>
        <r>
          <rPr>
            <sz val="9"/>
            <color indexed="81"/>
            <rFont val="Tahoma"/>
            <family val="2"/>
          </rPr>
          <t xml:space="preserve">
Australian and New Zealand Clinical Trials Registry</t>
        </r>
      </text>
    </comment>
    <comment ref="M122" authorId="8" shapeId="0" xr:uid="{00000000-0006-0000-0600-000079000000}">
      <text>
        <r>
          <rPr>
            <b/>
            <sz val="9"/>
            <color indexed="81"/>
            <rFont val="Tahoma"/>
            <family val="2"/>
          </rPr>
          <t>Quach, Pauline:</t>
        </r>
        <r>
          <rPr>
            <sz val="9"/>
            <color indexed="81"/>
            <rFont val="Tahoma"/>
            <family val="2"/>
          </rPr>
          <t xml:space="preserve">
Year of publication</t>
        </r>
      </text>
    </comment>
    <comment ref="O122" authorId="8" shapeId="0" xr:uid="{00000000-0006-0000-0600-00007A000000}">
      <text>
        <r>
          <rPr>
            <b/>
            <sz val="9"/>
            <color indexed="81"/>
            <rFont val="Tahoma"/>
            <family val="2"/>
          </rPr>
          <t>Quach, Pauline:</t>
        </r>
        <r>
          <rPr>
            <sz val="9"/>
            <color indexed="81"/>
            <rFont val="Tahoma"/>
            <family val="2"/>
          </rPr>
          <t xml:space="preserve">
Only provided per arm, not for whole study</t>
        </r>
      </text>
    </comment>
    <comment ref="P122" authorId="8" shapeId="0" xr:uid="{00000000-0006-0000-0600-00007B000000}">
      <text>
        <r>
          <rPr>
            <b/>
            <sz val="9"/>
            <color indexed="81"/>
            <rFont val="Tahoma"/>
            <family val="2"/>
          </rPr>
          <t>Quach, Pauline:</t>
        </r>
        <r>
          <rPr>
            <sz val="9"/>
            <color indexed="81"/>
            <rFont val="Tahoma"/>
            <family val="2"/>
          </rPr>
          <t xml:space="preserve">
Only provided per arm, not for whole study</t>
        </r>
      </text>
    </comment>
    <comment ref="Q122" authorId="8" shapeId="0" xr:uid="{00000000-0006-0000-0600-00007C000000}">
      <text>
        <r>
          <rPr>
            <b/>
            <sz val="9"/>
            <color indexed="81"/>
            <rFont val="Tahoma"/>
            <family val="2"/>
          </rPr>
          <t>Quach, Pauline:</t>
        </r>
        <r>
          <rPr>
            <sz val="9"/>
            <color indexed="81"/>
            <rFont val="Tahoma"/>
            <family val="2"/>
          </rPr>
          <t xml:space="preserve">
Only provided per arm, not for whole study</t>
        </r>
      </text>
    </comment>
    <comment ref="I123" authorId="8" shapeId="0" xr:uid="{00000000-0006-0000-0600-00007D000000}">
      <text>
        <r>
          <rPr>
            <b/>
            <sz val="9"/>
            <color indexed="81"/>
            <rFont val="Tahoma"/>
            <family val="2"/>
          </rPr>
          <t>Quach, Pauline:</t>
        </r>
        <r>
          <rPr>
            <sz val="9"/>
            <color indexed="81"/>
            <rFont val="Tahoma"/>
            <family val="2"/>
          </rPr>
          <t xml:space="preserve">
clinicaltrials.gov</t>
        </r>
      </text>
    </comment>
    <comment ref="M123" authorId="9" shapeId="0" xr:uid="{00000000-0006-0000-0600-00007E000000}">
      <text>
        <r>
          <rPr>
            <b/>
            <sz val="9"/>
            <color indexed="81"/>
            <rFont val="Tahoma"/>
            <family val="2"/>
          </rPr>
          <t>pauline.quach:</t>
        </r>
        <r>
          <rPr>
            <sz val="9"/>
            <color indexed="81"/>
            <rFont val="Tahoma"/>
            <family val="2"/>
          </rPr>
          <t xml:space="preserve">
Recruitment ended Oct 2009, study lasted 12 m approx end date of study is Oct 2010.</t>
        </r>
      </text>
    </comment>
    <comment ref="O123" authorId="8" shapeId="0" xr:uid="{00000000-0006-0000-0600-00007F000000}">
      <text>
        <r>
          <rPr>
            <b/>
            <sz val="9"/>
            <color indexed="81"/>
            <rFont val="Tahoma"/>
            <family val="2"/>
          </rPr>
          <t>Quach, Pauline:</t>
        </r>
        <r>
          <rPr>
            <sz val="9"/>
            <color indexed="81"/>
            <rFont val="Tahoma"/>
            <family val="2"/>
          </rPr>
          <t xml:space="preserve">
Only provided per arm, not for whole study</t>
        </r>
      </text>
    </comment>
    <comment ref="P123" authorId="8" shapeId="0" xr:uid="{00000000-0006-0000-0600-000080000000}">
      <text>
        <r>
          <rPr>
            <b/>
            <sz val="9"/>
            <color indexed="81"/>
            <rFont val="Tahoma"/>
            <family val="2"/>
          </rPr>
          <t>Quach, Pauline:</t>
        </r>
        <r>
          <rPr>
            <sz val="9"/>
            <color indexed="81"/>
            <rFont val="Tahoma"/>
            <family val="2"/>
          </rPr>
          <t xml:space="preserve">
Only provided per arm, not for whole study</t>
        </r>
      </text>
    </comment>
    <comment ref="Q123" authorId="8" shapeId="0" xr:uid="{00000000-0006-0000-0600-000081000000}">
      <text>
        <r>
          <rPr>
            <b/>
            <sz val="9"/>
            <color indexed="81"/>
            <rFont val="Tahoma"/>
            <family val="2"/>
          </rPr>
          <t>Quach, Pauline:</t>
        </r>
        <r>
          <rPr>
            <sz val="9"/>
            <color indexed="81"/>
            <rFont val="Tahoma"/>
            <family val="2"/>
          </rPr>
          <t xml:space="preserve">
Only provided per arm, not for whole study</t>
        </r>
      </text>
    </comment>
    <comment ref="S123" authorId="8" shapeId="0" xr:uid="{00000000-0006-0000-0600-000082000000}">
      <text>
        <r>
          <rPr>
            <b/>
            <sz val="9"/>
            <color indexed="81"/>
            <rFont val="Tahoma"/>
            <family val="2"/>
          </rPr>
          <t>Quach, Pauline:</t>
        </r>
        <r>
          <rPr>
            <sz val="9"/>
            <color indexed="81"/>
            <rFont val="Tahoma"/>
            <family val="2"/>
          </rPr>
          <t xml:space="preserve">
Also includes those with and without CHD with depression
**As per convo with Noah, since Hba1c is high, decide to treat all as diabetic population.</t>
        </r>
      </text>
    </comment>
    <comment ref="B124" authorId="3" shapeId="0" xr:uid="{00000000-0006-0000-0600-000083000000}">
      <text>
        <r>
          <rPr>
            <b/>
            <sz val="9"/>
            <color indexed="81"/>
            <rFont val="Verdana"/>
            <family val="2"/>
          </rPr>
          <t>Kristin Danko:</t>
        </r>
        <r>
          <rPr>
            <sz val="9"/>
            <color indexed="81"/>
            <rFont val="Verdana"/>
            <family val="2"/>
          </rPr>
          <t xml:space="preserve">
note related, but independent study of 12433 and 10243</t>
        </r>
      </text>
    </comment>
    <comment ref="I124" authorId="8" shapeId="0" xr:uid="{00000000-0006-0000-0600-000084000000}">
      <text>
        <r>
          <rPr>
            <b/>
            <sz val="9"/>
            <color indexed="81"/>
            <rFont val="Tahoma"/>
            <family val="2"/>
          </rPr>
          <t>Quach, Pauline:</t>
        </r>
        <r>
          <rPr>
            <sz val="9"/>
            <color indexed="81"/>
            <rFont val="Tahoma"/>
            <family val="2"/>
          </rPr>
          <t xml:space="preserve">
there is one protocol which is similar and by the same authors, but the intervention seems different (includes telephone calls from a psychologist) NCT00903500-clinicaltrials.gov</t>
        </r>
      </text>
    </comment>
    <comment ref="M124" authorId="8" shapeId="0" xr:uid="{00000000-0006-0000-0600-000085000000}">
      <text>
        <r>
          <rPr>
            <b/>
            <sz val="9"/>
            <color indexed="81"/>
            <rFont val="Tahoma"/>
            <family val="2"/>
          </rPr>
          <t xml:space="preserve">Quach, Pauline:
</t>
        </r>
        <r>
          <rPr>
            <sz val="9"/>
            <color indexed="81"/>
            <rFont val="Tahoma"/>
            <family val="2"/>
          </rPr>
          <t>Year of publication</t>
        </r>
      </text>
    </comment>
    <comment ref="I125" authorId="8" shapeId="0" xr:uid="{00000000-0006-0000-0600-000086000000}">
      <text>
        <r>
          <rPr>
            <b/>
            <sz val="9"/>
            <color indexed="81"/>
            <rFont val="Tahoma"/>
            <family val="2"/>
          </rPr>
          <t>Quach, Pauline:</t>
        </r>
        <r>
          <rPr>
            <sz val="9"/>
            <color indexed="81"/>
            <rFont val="Tahoma"/>
            <family val="2"/>
          </rPr>
          <t xml:space="preserve">
clinicaltrials.gov</t>
        </r>
      </text>
    </comment>
    <comment ref="M125" authorId="9" shapeId="0" xr:uid="{00000000-0006-0000-0600-000087000000}">
      <text>
        <r>
          <rPr>
            <b/>
            <sz val="9"/>
            <color indexed="81"/>
            <rFont val="Tahoma"/>
            <family val="2"/>
          </rPr>
          <t>pauline.quach:</t>
        </r>
        <r>
          <rPr>
            <sz val="9"/>
            <color indexed="81"/>
            <rFont val="Tahoma"/>
            <family val="2"/>
          </rPr>
          <t xml:space="preserve">
Identified patients until April 2009, study lasted  6 mo, so approx last year of study conduct is Oct 2009</t>
        </r>
      </text>
    </comment>
    <comment ref="I126" authorId="8" shapeId="0" xr:uid="{00000000-0006-0000-0600-000088000000}">
      <text>
        <r>
          <rPr>
            <b/>
            <sz val="9"/>
            <color indexed="81"/>
            <rFont val="Tahoma"/>
            <family val="2"/>
          </rPr>
          <t>Quach, Pauline:</t>
        </r>
        <r>
          <rPr>
            <sz val="9"/>
            <color indexed="81"/>
            <rFont val="Tahoma"/>
            <family val="2"/>
          </rPr>
          <t xml:space="preserve">
FOUND on clinicaltrials.gov</t>
        </r>
      </text>
    </comment>
    <comment ref="M126" authorId="9" shapeId="0" xr:uid="{00000000-0006-0000-0600-000089000000}">
      <text>
        <r>
          <rPr>
            <b/>
            <sz val="9"/>
            <color indexed="81"/>
            <rFont val="Tahoma"/>
            <family val="2"/>
          </rPr>
          <t>pauline.quach:</t>
        </r>
        <r>
          <rPr>
            <sz val="9"/>
            <color indexed="81"/>
            <rFont val="Tahoma"/>
            <family val="2"/>
          </rPr>
          <t xml:space="preserve">
Last year of recruitment- September 2008; study lasted 3 months…approx end Dec 2008</t>
        </r>
      </text>
    </comment>
    <comment ref="O126" authorId="8" shapeId="0" xr:uid="{00000000-0006-0000-0600-00008A000000}">
      <text>
        <r>
          <rPr>
            <b/>
            <sz val="9"/>
            <color indexed="81"/>
            <rFont val="Tahoma"/>
            <family val="2"/>
          </rPr>
          <t>Quach, Pauline:</t>
        </r>
        <r>
          <rPr>
            <sz val="9"/>
            <color indexed="81"/>
            <rFont val="Tahoma"/>
            <family val="2"/>
          </rPr>
          <t xml:space="preserve">
Only provided per arm, not for whole study</t>
        </r>
      </text>
    </comment>
    <comment ref="P126" authorId="8" shapeId="0" xr:uid="{00000000-0006-0000-0600-00008B000000}">
      <text>
        <r>
          <rPr>
            <b/>
            <sz val="9"/>
            <color indexed="81"/>
            <rFont val="Tahoma"/>
            <family val="2"/>
          </rPr>
          <t>Quach, Pauline:</t>
        </r>
        <r>
          <rPr>
            <sz val="9"/>
            <color indexed="81"/>
            <rFont val="Tahoma"/>
            <family val="2"/>
          </rPr>
          <t xml:space="preserve">
Only provided per arm, not for whole study</t>
        </r>
      </text>
    </comment>
    <comment ref="Q126" authorId="8" shapeId="0" xr:uid="{00000000-0006-0000-0600-00008C000000}">
      <text>
        <r>
          <rPr>
            <b/>
            <sz val="9"/>
            <color indexed="81"/>
            <rFont val="Tahoma"/>
            <family val="2"/>
          </rPr>
          <t>Quach, Pauline:</t>
        </r>
        <r>
          <rPr>
            <sz val="9"/>
            <color indexed="81"/>
            <rFont val="Tahoma"/>
            <family val="2"/>
          </rPr>
          <t xml:space="preserve">
Only provided per arm, not for whole study</t>
        </r>
      </text>
    </comment>
    <comment ref="I127" authorId="8" shapeId="0" xr:uid="{00000000-0006-0000-0600-00008D000000}">
      <text>
        <r>
          <rPr>
            <b/>
            <sz val="9"/>
            <color indexed="81"/>
            <rFont val="Tahoma"/>
            <family val="2"/>
          </rPr>
          <t>Quach, Pauline:</t>
        </r>
        <r>
          <rPr>
            <sz val="9"/>
            <color indexed="81"/>
            <rFont val="Tahoma"/>
            <family val="2"/>
          </rPr>
          <t xml:space="preserve">
Dutch trial registration.
http://www.trialregister.nl/trialreg/admin/rctreview.asp?TC=1501</t>
        </r>
      </text>
    </comment>
    <comment ref="M127" authorId="8" shapeId="0" xr:uid="{00000000-0006-0000-0600-00008E000000}">
      <text>
        <r>
          <rPr>
            <b/>
            <sz val="9"/>
            <color indexed="81"/>
            <rFont val="Tahoma"/>
            <family val="2"/>
          </rPr>
          <t>Quach, Pauline:</t>
        </r>
        <r>
          <rPr>
            <sz val="9"/>
            <color indexed="81"/>
            <rFont val="Tahoma"/>
            <family val="2"/>
          </rPr>
          <t xml:space="preserve">
Year of publication</t>
        </r>
      </text>
    </comment>
    <comment ref="O127" authorId="8" shapeId="0" xr:uid="{00000000-0006-0000-0600-00008F000000}">
      <text>
        <r>
          <rPr>
            <b/>
            <sz val="9"/>
            <color indexed="81"/>
            <rFont val="Tahoma"/>
            <family val="2"/>
          </rPr>
          <t>Quach, Pauline:</t>
        </r>
        <r>
          <rPr>
            <sz val="9"/>
            <color indexed="81"/>
            <rFont val="Tahoma"/>
            <family val="2"/>
          </rPr>
          <t xml:space="preserve">
Only provided per arm, not for whole study</t>
        </r>
      </text>
    </comment>
    <comment ref="P127" authorId="8" shapeId="0" xr:uid="{00000000-0006-0000-0600-000090000000}">
      <text>
        <r>
          <rPr>
            <b/>
            <sz val="9"/>
            <color indexed="81"/>
            <rFont val="Tahoma"/>
            <family val="2"/>
          </rPr>
          <t>Quach, Pauline:</t>
        </r>
        <r>
          <rPr>
            <sz val="9"/>
            <color indexed="81"/>
            <rFont val="Tahoma"/>
            <family val="2"/>
          </rPr>
          <t xml:space="preserve">
Only provided per arm, not for whole study</t>
        </r>
      </text>
    </comment>
    <comment ref="Q127" authorId="8" shapeId="0" xr:uid="{00000000-0006-0000-0600-000091000000}">
      <text>
        <r>
          <rPr>
            <b/>
            <sz val="9"/>
            <color indexed="81"/>
            <rFont val="Tahoma"/>
            <family val="2"/>
          </rPr>
          <t>Quach, Pauline:</t>
        </r>
        <r>
          <rPr>
            <sz val="9"/>
            <color indexed="81"/>
            <rFont val="Tahoma"/>
            <family val="2"/>
          </rPr>
          <t xml:space="preserve">
Only provided per arm, not for whole study</t>
        </r>
      </text>
    </comment>
    <comment ref="T127" authorId="8" shapeId="0" xr:uid="{00000000-0006-0000-0600-000092000000}">
      <text>
        <r>
          <rPr>
            <b/>
            <sz val="9"/>
            <color indexed="81"/>
            <rFont val="Tahoma"/>
            <family val="2"/>
          </rPr>
          <t>Quach, Pauline:</t>
        </r>
        <r>
          <rPr>
            <sz val="9"/>
            <color indexed="81"/>
            <rFont val="Tahoma"/>
            <family val="2"/>
          </rPr>
          <t xml:space="preserve">
128 were eligible based on selection criteria, but only 74 were randomized… WHY?</t>
        </r>
      </text>
    </comment>
    <comment ref="M128" authorId="9" shapeId="0" xr:uid="{00000000-0006-0000-0600-000093000000}">
      <text>
        <r>
          <rPr>
            <b/>
            <sz val="9"/>
            <color indexed="81"/>
            <rFont val="Tahoma"/>
            <family val="2"/>
          </rPr>
          <t>pauline.quach:</t>
        </r>
        <r>
          <rPr>
            <sz val="9"/>
            <color indexed="81"/>
            <rFont val="Tahoma"/>
            <family val="2"/>
          </rPr>
          <t xml:space="preserve">
Recruited June 2008, study lasted 3 mo, end year of study conduct is Sept 2008.</t>
        </r>
      </text>
    </comment>
    <comment ref="O128" authorId="8" shapeId="0" xr:uid="{00000000-0006-0000-0600-000094000000}">
      <text>
        <r>
          <rPr>
            <b/>
            <sz val="9"/>
            <color indexed="81"/>
            <rFont val="Tahoma"/>
            <family val="2"/>
          </rPr>
          <t>Quach, Pauline:</t>
        </r>
        <r>
          <rPr>
            <sz val="9"/>
            <color indexed="81"/>
            <rFont val="Tahoma"/>
            <family val="2"/>
          </rPr>
          <t xml:space="preserve">
Only provided per arm, not for whole study</t>
        </r>
      </text>
    </comment>
    <comment ref="P128" authorId="8" shapeId="0" xr:uid="{00000000-0006-0000-0600-000095000000}">
      <text>
        <r>
          <rPr>
            <b/>
            <sz val="9"/>
            <color indexed="81"/>
            <rFont val="Tahoma"/>
            <family val="2"/>
          </rPr>
          <t>Quach, Pauline:</t>
        </r>
        <r>
          <rPr>
            <sz val="9"/>
            <color indexed="81"/>
            <rFont val="Tahoma"/>
            <family val="2"/>
          </rPr>
          <t xml:space="preserve">
Only provided per arm, not for whole study</t>
        </r>
      </text>
    </comment>
    <comment ref="Q128" authorId="8" shapeId="0" xr:uid="{00000000-0006-0000-0600-000096000000}">
      <text>
        <r>
          <rPr>
            <b/>
            <sz val="9"/>
            <color indexed="81"/>
            <rFont val="Tahoma"/>
            <family val="2"/>
          </rPr>
          <t>Quach, Pauline:</t>
        </r>
        <r>
          <rPr>
            <sz val="9"/>
            <color indexed="81"/>
            <rFont val="Tahoma"/>
            <family val="2"/>
          </rPr>
          <t xml:space="preserve">
Only provided per arm, not for whole study</t>
        </r>
      </text>
    </comment>
    <comment ref="O129" authorId="8" shapeId="0" xr:uid="{00000000-0006-0000-0600-000097000000}">
      <text>
        <r>
          <rPr>
            <b/>
            <sz val="9"/>
            <color indexed="81"/>
            <rFont val="Tahoma"/>
            <family val="2"/>
          </rPr>
          <t>Quach, Pauline:</t>
        </r>
        <r>
          <rPr>
            <sz val="9"/>
            <color indexed="81"/>
            <rFont val="Tahoma"/>
            <family val="2"/>
          </rPr>
          <t xml:space="preserve">
Only provided per arm, not for whole study</t>
        </r>
      </text>
    </comment>
    <comment ref="P129" authorId="8" shapeId="0" xr:uid="{00000000-0006-0000-0600-000098000000}">
      <text>
        <r>
          <rPr>
            <b/>
            <sz val="9"/>
            <color indexed="81"/>
            <rFont val="Tahoma"/>
            <family val="2"/>
          </rPr>
          <t>Quach, Pauline:</t>
        </r>
        <r>
          <rPr>
            <sz val="9"/>
            <color indexed="81"/>
            <rFont val="Tahoma"/>
            <family val="2"/>
          </rPr>
          <t xml:space="preserve">
Only provided per arm, not for whole study</t>
        </r>
      </text>
    </comment>
    <comment ref="Q129" authorId="8" shapeId="0" xr:uid="{00000000-0006-0000-0600-000099000000}">
      <text>
        <r>
          <rPr>
            <b/>
            <sz val="9"/>
            <color indexed="81"/>
            <rFont val="Tahoma"/>
            <family val="2"/>
          </rPr>
          <t>Quach, Pauline:</t>
        </r>
        <r>
          <rPr>
            <sz val="9"/>
            <color indexed="81"/>
            <rFont val="Tahoma"/>
            <family val="2"/>
          </rPr>
          <t xml:space="preserve">
Only provided per arm, not for whole study</t>
        </r>
      </text>
    </comment>
    <comment ref="I130" authorId="8" shapeId="0" xr:uid="{00000000-0006-0000-0600-00009A000000}">
      <text>
        <r>
          <rPr>
            <b/>
            <sz val="9"/>
            <color indexed="81"/>
            <rFont val="Tahoma"/>
            <family val="2"/>
          </rPr>
          <t>Quach, Pauline:</t>
        </r>
        <r>
          <rPr>
            <sz val="9"/>
            <color indexed="81"/>
            <rFont val="Tahoma"/>
            <family val="2"/>
          </rPr>
          <t xml:space="preserve">
clinicaltrials.gov</t>
        </r>
      </text>
    </comment>
    <comment ref="M130" authorId="9" shapeId="0" xr:uid="{00000000-0006-0000-0600-00009B000000}">
      <text>
        <r>
          <rPr>
            <b/>
            <sz val="9"/>
            <color indexed="81"/>
            <rFont val="Tahoma"/>
            <family val="2"/>
          </rPr>
          <t>pauline.quach:</t>
        </r>
        <r>
          <rPr>
            <sz val="9"/>
            <color indexed="81"/>
            <rFont val="Tahoma"/>
            <family val="2"/>
          </rPr>
          <t xml:space="preserve">
Enrollment end date was 2005, study lasted 24mo, so approx last year of study conduct is 2007.</t>
        </r>
      </text>
    </comment>
    <comment ref="O130" authorId="8" shapeId="0" xr:uid="{00000000-0006-0000-0600-00009C000000}">
      <text>
        <r>
          <rPr>
            <b/>
            <sz val="9"/>
            <color indexed="81"/>
            <rFont val="Tahoma"/>
            <family val="2"/>
          </rPr>
          <t>Quach, Pauline:</t>
        </r>
        <r>
          <rPr>
            <sz val="9"/>
            <color indexed="81"/>
            <rFont val="Tahoma"/>
            <family val="2"/>
          </rPr>
          <t xml:space="preserve">
Only provided per arm, not for whole study</t>
        </r>
      </text>
    </comment>
    <comment ref="P130" authorId="8" shapeId="0" xr:uid="{00000000-0006-0000-0600-00009D000000}">
      <text>
        <r>
          <rPr>
            <b/>
            <sz val="9"/>
            <color indexed="81"/>
            <rFont val="Tahoma"/>
            <family val="2"/>
          </rPr>
          <t>Quach, Pauline:</t>
        </r>
        <r>
          <rPr>
            <sz val="9"/>
            <color indexed="81"/>
            <rFont val="Tahoma"/>
            <family val="2"/>
          </rPr>
          <t xml:space="preserve">
Only provided per arm, not for whole study</t>
        </r>
      </text>
    </comment>
    <comment ref="Q130" authorId="8" shapeId="0" xr:uid="{00000000-0006-0000-0600-00009E000000}">
      <text>
        <r>
          <rPr>
            <b/>
            <sz val="9"/>
            <color indexed="81"/>
            <rFont val="Tahoma"/>
            <family val="2"/>
          </rPr>
          <t>Quach, Pauline:</t>
        </r>
        <r>
          <rPr>
            <sz val="9"/>
            <color indexed="81"/>
            <rFont val="Tahoma"/>
            <family val="2"/>
          </rPr>
          <t xml:space="preserve">
Only provided per arm, not for whole study</t>
        </r>
      </text>
    </comment>
    <comment ref="I131" authorId="8" shapeId="0" xr:uid="{00000000-0006-0000-0600-00009F000000}">
      <text>
        <r>
          <rPr>
            <b/>
            <sz val="9"/>
            <color indexed="81"/>
            <rFont val="Tahoma"/>
            <family val="2"/>
          </rPr>
          <t>Quach, Pauline:</t>
        </r>
        <r>
          <rPr>
            <sz val="9"/>
            <color indexed="81"/>
            <rFont val="Tahoma"/>
            <family val="2"/>
          </rPr>
          <t xml:space="preserve">
clinicaltrials.gov</t>
        </r>
      </text>
    </comment>
    <comment ref="M131" authorId="8" shapeId="0" xr:uid="{00000000-0006-0000-0600-0000A0000000}">
      <text>
        <r>
          <rPr>
            <b/>
            <sz val="9"/>
            <color indexed="81"/>
            <rFont val="Tahoma"/>
            <family val="2"/>
          </rPr>
          <t>Quach, Pauline:</t>
        </r>
        <r>
          <rPr>
            <sz val="9"/>
            <color indexed="81"/>
            <rFont val="Tahoma"/>
            <family val="2"/>
          </rPr>
          <t xml:space="preserve">
Recruitement ended July 2008, study lasted 18 mos, so study end date is Jan 2009.</t>
        </r>
      </text>
    </comment>
    <comment ref="O131" authorId="8" shapeId="0" xr:uid="{00000000-0006-0000-0600-0000A1000000}">
      <text>
        <r>
          <rPr>
            <b/>
            <sz val="9"/>
            <color indexed="81"/>
            <rFont val="Tahoma"/>
            <family val="2"/>
          </rPr>
          <t>Quach, Pauline:</t>
        </r>
        <r>
          <rPr>
            <sz val="9"/>
            <color indexed="81"/>
            <rFont val="Tahoma"/>
            <family val="2"/>
          </rPr>
          <t xml:space="preserve">
Only provided per arm, not for whole study.
Also only provide # who are 50+</t>
        </r>
      </text>
    </comment>
    <comment ref="Q131" authorId="8" shapeId="0" xr:uid="{00000000-0006-0000-0600-0000A2000000}">
      <text>
        <r>
          <rPr>
            <b/>
            <sz val="9"/>
            <color indexed="81"/>
            <rFont val="Tahoma"/>
            <family val="2"/>
          </rPr>
          <t>Quach, Pauline:</t>
        </r>
        <r>
          <rPr>
            <sz val="9"/>
            <color indexed="81"/>
            <rFont val="Tahoma"/>
            <family val="2"/>
          </rPr>
          <t xml:space="preserve">
Only provided per arm, not for whole study</t>
        </r>
      </text>
    </comment>
    <comment ref="S131" authorId="8" shapeId="0" xr:uid="{00000000-0006-0000-0600-0000A3000000}">
      <text>
        <r>
          <rPr>
            <b/>
            <sz val="9"/>
            <color indexed="81"/>
            <rFont val="Tahoma"/>
            <family val="2"/>
          </rPr>
          <t>Quach, Pauline:</t>
        </r>
        <r>
          <rPr>
            <sz val="9"/>
            <color indexed="81"/>
            <rFont val="Tahoma"/>
            <family val="2"/>
          </rPr>
          <t xml:space="preserve">
patients have co-morbid depression</t>
        </r>
      </text>
    </comment>
    <comment ref="M132" authorId="8" shapeId="0" xr:uid="{00000000-0006-0000-0600-0000A4000000}">
      <text>
        <r>
          <rPr>
            <b/>
            <sz val="9"/>
            <color indexed="81"/>
            <rFont val="Tahoma"/>
            <family val="2"/>
          </rPr>
          <t>Quach, Pauline:</t>
        </r>
        <r>
          <rPr>
            <sz val="9"/>
            <color indexed="81"/>
            <rFont val="Tahoma"/>
            <family val="2"/>
          </rPr>
          <t xml:space="preserve">
Year of publication</t>
        </r>
      </text>
    </comment>
    <comment ref="O133" authorId="8" shapeId="0" xr:uid="{00000000-0006-0000-0600-0000A5000000}">
      <text>
        <r>
          <rPr>
            <b/>
            <sz val="9"/>
            <color indexed="81"/>
            <rFont val="Tahoma"/>
            <family val="2"/>
          </rPr>
          <t>Quach, Pauline:</t>
        </r>
        <r>
          <rPr>
            <sz val="9"/>
            <color indexed="81"/>
            <rFont val="Tahoma"/>
            <family val="2"/>
          </rPr>
          <t xml:space="preserve">
Only provided per arm, not for whole study</t>
        </r>
      </text>
    </comment>
    <comment ref="P133" authorId="8" shapeId="0" xr:uid="{00000000-0006-0000-0600-0000A6000000}">
      <text>
        <r>
          <rPr>
            <b/>
            <sz val="9"/>
            <color indexed="81"/>
            <rFont val="Tahoma"/>
            <family val="2"/>
          </rPr>
          <t>Quach, Pauline:</t>
        </r>
        <r>
          <rPr>
            <sz val="9"/>
            <color indexed="81"/>
            <rFont val="Tahoma"/>
            <family val="2"/>
          </rPr>
          <t xml:space="preserve">
Only provided per arm, not for whole study</t>
        </r>
      </text>
    </comment>
    <comment ref="Q133" authorId="8" shapeId="0" xr:uid="{00000000-0006-0000-0600-0000A7000000}">
      <text>
        <r>
          <rPr>
            <b/>
            <sz val="9"/>
            <color indexed="81"/>
            <rFont val="Tahoma"/>
            <family val="2"/>
          </rPr>
          <t>Quach, Pauline:</t>
        </r>
        <r>
          <rPr>
            <sz val="9"/>
            <color indexed="81"/>
            <rFont val="Tahoma"/>
            <family val="2"/>
          </rPr>
          <t xml:space="preserve">
Only provided per arm, not for whole study</t>
        </r>
      </text>
    </comment>
    <comment ref="I134" authorId="8" shapeId="0" xr:uid="{00000000-0006-0000-0600-0000A8000000}">
      <text>
        <r>
          <rPr>
            <b/>
            <sz val="9"/>
            <color indexed="81"/>
            <rFont val="Tahoma"/>
            <family val="2"/>
          </rPr>
          <t>Quach, Pauline:</t>
        </r>
        <r>
          <rPr>
            <sz val="9"/>
            <color indexed="81"/>
            <rFont val="Tahoma"/>
            <family val="2"/>
          </rPr>
          <t xml:space="preserve">
FOUND on clinicaltrails.gov</t>
        </r>
      </text>
    </comment>
    <comment ref="M134" authorId="9" shapeId="0" xr:uid="{00000000-0006-0000-0600-0000A9000000}">
      <text>
        <r>
          <rPr>
            <b/>
            <sz val="9"/>
            <color indexed="81"/>
            <rFont val="Tahoma"/>
            <family val="2"/>
          </rPr>
          <t>pauline.quach:</t>
        </r>
        <r>
          <rPr>
            <sz val="9"/>
            <color indexed="81"/>
            <rFont val="Tahoma"/>
            <family val="2"/>
          </rPr>
          <t xml:space="preserve">
Recruitment ended Dec 2008. Study lasted 6 mo, so approx last year of study conduct is June 2009.</t>
        </r>
      </text>
    </comment>
    <comment ref="O134" authorId="8" shapeId="0" xr:uid="{00000000-0006-0000-0600-0000AA000000}">
      <text>
        <r>
          <rPr>
            <b/>
            <sz val="9"/>
            <color indexed="81"/>
            <rFont val="Tahoma"/>
            <family val="2"/>
          </rPr>
          <t>Quach, Pauline:</t>
        </r>
        <r>
          <rPr>
            <sz val="9"/>
            <color indexed="81"/>
            <rFont val="Tahoma"/>
            <family val="2"/>
          </rPr>
          <t xml:space="preserve">
Only provided per arm, not for whole study</t>
        </r>
      </text>
    </comment>
    <comment ref="P134" authorId="8" shapeId="0" xr:uid="{00000000-0006-0000-0600-0000AB000000}">
      <text>
        <r>
          <rPr>
            <b/>
            <sz val="9"/>
            <color indexed="81"/>
            <rFont val="Tahoma"/>
            <family val="2"/>
          </rPr>
          <t>Quach, Pauline:</t>
        </r>
        <r>
          <rPr>
            <sz val="9"/>
            <color indexed="81"/>
            <rFont val="Tahoma"/>
            <family val="2"/>
          </rPr>
          <t xml:space="preserve">
Only provided per arm, not for whole study</t>
        </r>
      </text>
    </comment>
    <comment ref="Q134" authorId="8" shapeId="0" xr:uid="{00000000-0006-0000-0600-0000AC000000}">
      <text>
        <r>
          <rPr>
            <b/>
            <sz val="9"/>
            <color indexed="81"/>
            <rFont val="Tahoma"/>
            <family val="2"/>
          </rPr>
          <t>Quach, Pauline:</t>
        </r>
        <r>
          <rPr>
            <sz val="9"/>
            <color indexed="81"/>
            <rFont val="Tahoma"/>
            <family val="2"/>
          </rPr>
          <t xml:space="preserve">
Only provided per arm, not for whole study</t>
        </r>
      </text>
    </comment>
    <comment ref="I135" authorId="8" shapeId="0" xr:uid="{00000000-0006-0000-0600-0000AD000000}">
      <text>
        <r>
          <rPr>
            <b/>
            <sz val="9"/>
            <color indexed="81"/>
            <rFont val="Tahoma"/>
            <family val="2"/>
          </rPr>
          <t>Quach, Pauline:</t>
        </r>
        <r>
          <rPr>
            <sz val="9"/>
            <color indexed="81"/>
            <rFont val="Tahoma"/>
            <family val="2"/>
          </rPr>
          <t xml:space="preserve">
clinicaltrials.gov</t>
        </r>
      </text>
    </comment>
    <comment ref="L135" authorId="8" shapeId="0" xr:uid="{00000000-0006-0000-0600-0000AE000000}">
      <text>
        <r>
          <rPr>
            <b/>
            <sz val="9"/>
            <color indexed="81"/>
            <rFont val="Tahoma"/>
            <family val="2"/>
          </rPr>
          <t>Quach, Pauline:</t>
        </r>
        <r>
          <rPr>
            <sz val="9"/>
            <color indexed="81"/>
            <rFont val="Tahoma"/>
            <family val="2"/>
          </rPr>
          <t xml:space="preserve">
State that 5-28 primary care providers per cluster (but do not specify total)</t>
        </r>
      </text>
    </comment>
    <comment ref="P135" authorId="8" shapeId="0" xr:uid="{00000000-0006-0000-0600-0000AF000000}">
      <text>
        <r>
          <rPr>
            <b/>
            <sz val="9"/>
            <color indexed="81"/>
            <rFont val="Tahoma"/>
            <family val="2"/>
          </rPr>
          <t>Quach, Pauline:</t>
        </r>
        <r>
          <rPr>
            <sz val="9"/>
            <color indexed="81"/>
            <rFont val="Tahoma"/>
            <family val="2"/>
          </rPr>
          <t xml:space="preserve">
Only provided per arm, not for whole study</t>
        </r>
      </text>
    </comment>
    <comment ref="Q135" authorId="8" shapeId="0" xr:uid="{00000000-0006-0000-0600-0000B0000000}">
      <text>
        <r>
          <rPr>
            <b/>
            <sz val="9"/>
            <color indexed="81"/>
            <rFont val="Tahoma"/>
            <family val="2"/>
          </rPr>
          <t>Quach, Pauline:</t>
        </r>
        <r>
          <rPr>
            <sz val="9"/>
            <color indexed="81"/>
            <rFont val="Tahoma"/>
            <family val="2"/>
          </rPr>
          <t xml:space="preserve">
Only provided per arm, not for whole study</t>
        </r>
      </text>
    </comment>
    <comment ref="T135" authorId="8" shapeId="0" xr:uid="{00000000-0006-0000-0600-0000B1000000}">
      <text>
        <r>
          <rPr>
            <b/>
            <sz val="9"/>
            <color indexed="81"/>
            <rFont val="Tahoma"/>
            <family val="2"/>
          </rPr>
          <t>Quach, Pauline:</t>
        </r>
        <r>
          <rPr>
            <sz val="9"/>
            <color indexed="81"/>
            <rFont val="Tahoma"/>
            <family val="2"/>
          </rPr>
          <t xml:space="preserve">
they also did a 2 stage clustering within the intervention group to randomly sample patients to get 'activated'. Excluded n=522</t>
        </r>
      </text>
    </comment>
    <comment ref="I136" authorId="8" shapeId="0" xr:uid="{00000000-0006-0000-0600-0000B2000000}">
      <text>
        <r>
          <rPr>
            <b/>
            <sz val="9"/>
            <color indexed="81"/>
            <rFont val="Tahoma"/>
            <family val="2"/>
          </rPr>
          <t>Quach, Pauline:</t>
        </r>
        <r>
          <rPr>
            <sz val="9"/>
            <color indexed="81"/>
            <rFont val="Tahoma"/>
            <family val="2"/>
          </rPr>
          <t xml:space="preserve">
clinicaltrials.gov</t>
        </r>
      </text>
    </comment>
    <comment ref="M136" authorId="9" shapeId="0" xr:uid="{00000000-0006-0000-0600-0000B3000000}">
      <text>
        <r>
          <rPr>
            <b/>
            <sz val="9"/>
            <color indexed="81"/>
            <rFont val="Tahoma"/>
            <family val="2"/>
          </rPr>
          <t>pauline.quach:</t>
        </r>
        <r>
          <rPr>
            <sz val="9"/>
            <color indexed="81"/>
            <rFont val="Tahoma"/>
            <family val="2"/>
          </rPr>
          <t xml:space="preserve">
Recruitment ended Dec 2004. Study lasted 12 mo. End of year study conduct approx Dec 2005.</t>
        </r>
      </text>
    </comment>
    <comment ref="O136" authorId="8" shapeId="0" xr:uid="{00000000-0006-0000-0600-0000B4000000}">
      <text>
        <r>
          <rPr>
            <b/>
            <sz val="9"/>
            <color indexed="81"/>
            <rFont val="Tahoma"/>
            <family val="2"/>
          </rPr>
          <t>Quach, Pauline:</t>
        </r>
        <r>
          <rPr>
            <sz val="9"/>
            <color indexed="81"/>
            <rFont val="Tahoma"/>
            <family val="2"/>
          </rPr>
          <t xml:space="preserve">
Only provided per arm, not for whole study</t>
        </r>
      </text>
    </comment>
    <comment ref="P136" authorId="8" shapeId="0" xr:uid="{00000000-0006-0000-0600-0000B5000000}">
      <text>
        <r>
          <rPr>
            <b/>
            <sz val="9"/>
            <color indexed="81"/>
            <rFont val="Tahoma"/>
            <family val="2"/>
          </rPr>
          <t>Quach, Pauline:</t>
        </r>
        <r>
          <rPr>
            <sz val="9"/>
            <color indexed="81"/>
            <rFont val="Tahoma"/>
            <family val="2"/>
          </rPr>
          <t xml:space="preserve">
Only provided per arm, not for whole study</t>
        </r>
      </text>
    </comment>
    <comment ref="Q136" authorId="8" shapeId="0" xr:uid="{00000000-0006-0000-0600-0000B6000000}">
      <text>
        <r>
          <rPr>
            <b/>
            <sz val="9"/>
            <color indexed="81"/>
            <rFont val="Tahoma"/>
            <family val="2"/>
          </rPr>
          <t>Quach, Pauline:</t>
        </r>
        <r>
          <rPr>
            <sz val="9"/>
            <color indexed="81"/>
            <rFont val="Tahoma"/>
            <family val="2"/>
          </rPr>
          <t xml:space="preserve">
Only provided per arm, not for whole study</t>
        </r>
      </text>
    </comment>
    <comment ref="G137" authorId="8" shapeId="0" xr:uid="{00000000-0006-0000-0600-0000B7000000}">
      <text>
        <r>
          <rPr>
            <b/>
            <sz val="9"/>
            <color indexed="81"/>
            <rFont val="Tahoma"/>
            <family val="2"/>
          </rPr>
          <t>Quach, Pauline:</t>
        </r>
        <r>
          <rPr>
            <sz val="9"/>
            <color indexed="81"/>
            <rFont val="Tahoma"/>
            <family val="2"/>
          </rPr>
          <t xml:space="preserve">
co-pub to FT ID 10275 (4m data). This is for 12 m data.</t>
        </r>
      </text>
    </comment>
    <comment ref="I138" authorId="8" shapeId="0" xr:uid="{00000000-0006-0000-0600-0000B8000000}">
      <text>
        <r>
          <rPr>
            <b/>
            <sz val="9"/>
            <color indexed="81"/>
            <rFont val="Tahoma"/>
            <family val="2"/>
          </rPr>
          <t>Quach, Pauline:</t>
        </r>
        <r>
          <rPr>
            <sz val="9"/>
            <color indexed="81"/>
            <rFont val="Tahoma"/>
            <family val="2"/>
          </rPr>
          <t xml:space="preserve">
clinicaltrials.gov.</t>
        </r>
      </text>
    </comment>
    <comment ref="M138" authorId="8" shapeId="0" xr:uid="{00000000-0006-0000-0600-0000B9000000}">
      <text>
        <r>
          <rPr>
            <b/>
            <sz val="9"/>
            <color indexed="81"/>
            <rFont val="Tahoma"/>
            <family val="2"/>
          </rPr>
          <t>Quach, Pauline:</t>
        </r>
        <r>
          <rPr>
            <sz val="9"/>
            <color indexed="81"/>
            <rFont val="Tahoma"/>
            <family val="2"/>
          </rPr>
          <t xml:space="preserve">
Year of publication</t>
        </r>
      </text>
    </comment>
    <comment ref="O138" authorId="8" shapeId="0" xr:uid="{00000000-0006-0000-0600-0000BA000000}">
      <text>
        <r>
          <rPr>
            <b/>
            <sz val="9"/>
            <color indexed="81"/>
            <rFont val="Tahoma"/>
            <family val="2"/>
          </rPr>
          <t>Quach, Pauline:</t>
        </r>
        <r>
          <rPr>
            <sz val="9"/>
            <color indexed="81"/>
            <rFont val="Tahoma"/>
            <family val="2"/>
          </rPr>
          <t xml:space="preserve">
Only provided per arm, not for whole study</t>
        </r>
      </text>
    </comment>
    <comment ref="P138" authorId="8" shapeId="0" xr:uid="{00000000-0006-0000-0600-0000BB000000}">
      <text>
        <r>
          <rPr>
            <b/>
            <sz val="9"/>
            <color indexed="81"/>
            <rFont val="Tahoma"/>
            <family val="2"/>
          </rPr>
          <t>Quach, Pauline:</t>
        </r>
        <r>
          <rPr>
            <sz val="9"/>
            <color indexed="81"/>
            <rFont val="Tahoma"/>
            <family val="2"/>
          </rPr>
          <t xml:space="preserve">
Only provided per arm, not for whole study</t>
        </r>
      </text>
    </comment>
    <comment ref="Q138" authorId="8" shapeId="0" xr:uid="{00000000-0006-0000-0600-0000BC000000}">
      <text>
        <r>
          <rPr>
            <b/>
            <sz val="9"/>
            <color indexed="81"/>
            <rFont val="Tahoma"/>
            <family val="2"/>
          </rPr>
          <t>Quach, Pauline:</t>
        </r>
        <r>
          <rPr>
            <sz val="9"/>
            <color indexed="81"/>
            <rFont val="Tahoma"/>
            <family val="2"/>
          </rPr>
          <t xml:space="preserve">
Only provided per arm, not for whole study</t>
        </r>
      </text>
    </comment>
    <comment ref="I139" authorId="8" shapeId="0" xr:uid="{00000000-0006-0000-0600-0000BD000000}">
      <text>
        <r>
          <rPr>
            <b/>
            <sz val="9"/>
            <color indexed="81"/>
            <rFont val="Tahoma"/>
            <family val="2"/>
          </rPr>
          <t>Quach, Pauline:</t>
        </r>
        <r>
          <rPr>
            <sz val="9"/>
            <color indexed="81"/>
            <rFont val="Tahoma"/>
            <family val="2"/>
          </rPr>
          <t xml:space="preserve">
clinicaltrials.gov</t>
        </r>
      </text>
    </comment>
    <comment ref="M139" authorId="8" shapeId="0" xr:uid="{00000000-0006-0000-0600-0000BE000000}">
      <text>
        <r>
          <rPr>
            <b/>
            <sz val="9"/>
            <color indexed="81"/>
            <rFont val="Tahoma"/>
            <family val="2"/>
          </rPr>
          <t>Quach, Pauline:</t>
        </r>
        <r>
          <rPr>
            <sz val="9"/>
            <color indexed="81"/>
            <rFont val="Tahoma"/>
            <family val="2"/>
          </rPr>
          <t xml:space="preserve">
Year of publication</t>
        </r>
      </text>
    </comment>
    <comment ref="O139" authorId="8" shapeId="0" xr:uid="{00000000-0006-0000-0600-0000BF000000}">
      <text>
        <r>
          <rPr>
            <b/>
            <sz val="9"/>
            <color indexed="81"/>
            <rFont val="Tahoma"/>
            <family val="2"/>
          </rPr>
          <t>Quach, Pauline:</t>
        </r>
        <r>
          <rPr>
            <sz val="9"/>
            <color indexed="81"/>
            <rFont val="Tahoma"/>
            <family val="2"/>
          </rPr>
          <t xml:space="preserve">
Only provided per arm, not for whole study</t>
        </r>
      </text>
    </comment>
    <comment ref="P139" authorId="8" shapeId="0" xr:uid="{00000000-0006-0000-0600-0000C0000000}">
      <text>
        <r>
          <rPr>
            <b/>
            <sz val="9"/>
            <color indexed="81"/>
            <rFont val="Tahoma"/>
            <family val="2"/>
          </rPr>
          <t>Quach, Pauline:</t>
        </r>
        <r>
          <rPr>
            <sz val="9"/>
            <color indexed="81"/>
            <rFont val="Tahoma"/>
            <family val="2"/>
          </rPr>
          <t xml:space="preserve">
Only provided per arm, not for whole study</t>
        </r>
      </text>
    </comment>
    <comment ref="Q139" authorId="8" shapeId="0" xr:uid="{00000000-0006-0000-0600-0000C1000000}">
      <text>
        <r>
          <rPr>
            <b/>
            <sz val="9"/>
            <color indexed="81"/>
            <rFont val="Tahoma"/>
            <family val="2"/>
          </rPr>
          <t>Quach, Pauline:</t>
        </r>
        <r>
          <rPr>
            <sz val="9"/>
            <color indexed="81"/>
            <rFont val="Tahoma"/>
            <family val="2"/>
          </rPr>
          <t xml:space="preserve">
Only provided per arm, not for whole study</t>
        </r>
      </text>
    </comment>
    <comment ref="B140" authorId="3" shapeId="0" xr:uid="{00000000-0006-0000-0600-0000C2000000}">
      <text>
        <r>
          <rPr>
            <b/>
            <sz val="9"/>
            <color indexed="81"/>
            <rFont val="Verdana"/>
            <family val="2"/>
          </rPr>
          <t>Kristin Danko:</t>
        </r>
        <r>
          <rPr>
            <sz val="9"/>
            <color indexed="81"/>
            <rFont val="Verdana"/>
            <family val="2"/>
          </rPr>
          <t xml:space="preserve">
confirmed different study from other Bogner (9128), different recruitment time and n's, similar intervention and outcomes</t>
        </r>
      </text>
    </comment>
    <comment ref="I140" authorId="8" shapeId="0" xr:uid="{00000000-0006-0000-0600-0000C3000000}">
      <text>
        <r>
          <rPr>
            <b/>
            <sz val="9"/>
            <color indexed="81"/>
            <rFont val="Tahoma"/>
            <family val="2"/>
          </rPr>
          <t>Quach, Pauline:</t>
        </r>
        <r>
          <rPr>
            <sz val="9"/>
            <color indexed="81"/>
            <rFont val="Tahoma"/>
            <family val="2"/>
          </rPr>
          <t xml:space="preserve">
clinicaltrials.gov</t>
        </r>
      </text>
    </comment>
    <comment ref="O140" authorId="8" shapeId="0" xr:uid="{00000000-0006-0000-0600-0000C4000000}">
      <text>
        <r>
          <rPr>
            <b/>
            <sz val="9"/>
            <color indexed="81"/>
            <rFont val="Tahoma"/>
            <family val="2"/>
          </rPr>
          <t>Quach, Pauline:</t>
        </r>
        <r>
          <rPr>
            <sz val="9"/>
            <color indexed="81"/>
            <rFont val="Tahoma"/>
            <family val="2"/>
          </rPr>
          <t xml:space="preserve">
Only provided per arm, not for whole study</t>
        </r>
      </text>
    </comment>
    <comment ref="P140" authorId="8" shapeId="0" xr:uid="{00000000-0006-0000-0600-0000C5000000}">
      <text>
        <r>
          <rPr>
            <b/>
            <sz val="9"/>
            <color indexed="81"/>
            <rFont val="Tahoma"/>
            <family val="2"/>
          </rPr>
          <t>Quach, Pauline:</t>
        </r>
        <r>
          <rPr>
            <sz val="9"/>
            <color indexed="81"/>
            <rFont val="Tahoma"/>
            <family val="2"/>
          </rPr>
          <t xml:space="preserve">
Only provided per arm, not for whole study</t>
        </r>
      </text>
    </comment>
    <comment ref="Q140" authorId="8" shapeId="0" xr:uid="{00000000-0006-0000-0600-0000C6000000}">
      <text>
        <r>
          <rPr>
            <b/>
            <sz val="9"/>
            <color indexed="81"/>
            <rFont val="Tahoma"/>
            <family val="2"/>
          </rPr>
          <t>Quach, Pauline:</t>
        </r>
        <r>
          <rPr>
            <sz val="9"/>
            <color indexed="81"/>
            <rFont val="Tahoma"/>
            <family val="2"/>
          </rPr>
          <t xml:space="preserve">
Only provided per arm, not for whole study</t>
        </r>
      </text>
    </comment>
    <comment ref="T140" authorId="8" shapeId="0" xr:uid="{00000000-0006-0000-0600-0000C7000000}">
      <text>
        <r>
          <rPr>
            <b/>
            <sz val="9"/>
            <color indexed="81"/>
            <rFont val="Tahoma"/>
            <family val="2"/>
          </rPr>
          <t>Quach, Pauline:</t>
        </r>
        <r>
          <rPr>
            <sz val="9"/>
            <color indexed="81"/>
            <rFont val="Tahoma"/>
            <family val="2"/>
          </rPr>
          <t xml:space="preserve">
# randomized after a 2 week run-in period for adherence</t>
        </r>
      </text>
    </comment>
    <comment ref="G141" authorId="8" shapeId="0" xr:uid="{00000000-0006-0000-0600-0000C8000000}">
      <text>
        <r>
          <rPr>
            <b/>
            <sz val="9"/>
            <color indexed="81"/>
            <rFont val="Tahoma"/>
            <family val="2"/>
          </rPr>
          <t>Quach, Pauline:</t>
        </r>
        <r>
          <rPr>
            <sz val="9"/>
            <color indexed="81"/>
            <rFont val="Tahoma"/>
            <family val="2"/>
          </rPr>
          <t xml:space="preserve">
MIGHT be a co-pub to Lancet ID: 6559</t>
        </r>
      </text>
    </comment>
    <comment ref="I141" authorId="8" shapeId="0" xr:uid="{00000000-0006-0000-0600-0000C9000000}">
      <text>
        <r>
          <rPr>
            <b/>
            <sz val="9"/>
            <color indexed="81"/>
            <rFont val="Tahoma"/>
            <family val="2"/>
          </rPr>
          <t>Quach, Pauline:</t>
        </r>
        <r>
          <rPr>
            <sz val="9"/>
            <color indexed="81"/>
            <rFont val="Tahoma"/>
            <family val="2"/>
          </rPr>
          <t xml:space="preserve">
clinicaltrials.gov</t>
        </r>
      </text>
    </comment>
    <comment ref="M141" authorId="8" shapeId="0" xr:uid="{00000000-0006-0000-0600-0000CA000000}">
      <text>
        <r>
          <rPr>
            <b/>
            <sz val="9"/>
            <color indexed="81"/>
            <rFont val="Tahoma"/>
            <family val="2"/>
          </rPr>
          <t>Quach, Pauline:</t>
        </r>
        <r>
          <rPr>
            <sz val="9"/>
            <color indexed="81"/>
            <rFont val="Tahoma"/>
            <family val="2"/>
          </rPr>
          <t xml:space="preserve">
Year of publication</t>
        </r>
      </text>
    </comment>
    <comment ref="O141" authorId="8" shapeId="0" xr:uid="{00000000-0006-0000-0600-0000CB000000}">
      <text>
        <r>
          <rPr>
            <b/>
            <sz val="9"/>
            <color indexed="81"/>
            <rFont val="Tahoma"/>
            <family val="2"/>
          </rPr>
          <t>Quach, Pauline:</t>
        </r>
        <r>
          <rPr>
            <sz val="9"/>
            <color indexed="81"/>
            <rFont val="Tahoma"/>
            <family val="2"/>
          </rPr>
          <t xml:space="preserve">
Only provided per arm, not for whole study</t>
        </r>
      </text>
    </comment>
    <comment ref="P141" authorId="8" shapeId="0" xr:uid="{00000000-0006-0000-0600-0000CC000000}">
      <text>
        <r>
          <rPr>
            <b/>
            <sz val="9"/>
            <color indexed="81"/>
            <rFont val="Tahoma"/>
            <family val="2"/>
          </rPr>
          <t>Quach, Pauline:</t>
        </r>
        <r>
          <rPr>
            <sz val="9"/>
            <color indexed="81"/>
            <rFont val="Tahoma"/>
            <family val="2"/>
          </rPr>
          <t xml:space="preserve">
Only provided per arm, not for whole study</t>
        </r>
      </text>
    </comment>
    <comment ref="Q141" authorId="8" shapeId="0" xr:uid="{00000000-0006-0000-0600-0000CD000000}">
      <text>
        <r>
          <rPr>
            <b/>
            <sz val="9"/>
            <color indexed="81"/>
            <rFont val="Tahoma"/>
            <family val="2"/>
          </rPr>
          <t>Quach, Pauline:</t>
        </r>
        <r>
          <rPr>
            <sz val="9"/>
            <color indexed="81"/>
            <rFont val="Tahoma"/>
            <family val="2"/>
          </rPr>
          <t xml:space="preserve">
Only provided per arm, not for whole study</t>
        </r>
      </text>
    </comment>
    <comment ref="I142" authorId="8" shapeId="0" xr:uid="{00000000-0006-0000-0600-0000CE000000}">
      <text>
        <r>
          <rPr>
            <b/>
            <sz val="9"/>
            <color indexed="81"/>
            <rFont val="Tahoma"/>
            <family val="2"/>
          </rPr>
          <t>Quach, Pauline:</t>
        </r>
        <r>
          <rPr>
            <sz val="9"/>
            <color indexed="81"/>
            <rFont val="Tahoma"/>
            <family val="2"/>
          </rPr>
          <t xml:space="preserve">
clinicaltrials.gov</t>
        </r>
      </text>
    </comment>
    <comment ref="O142" authorId="8" shapeId="0" xr:uid="{00000000-0006-0000-0600-0000CF000000}">
      <text>
        <r>
          <rPr>
            <b/>
            <sz val="9"/>
            <color indexed="81"/>
            <rFont val="Tahoma"/>
            <family val="2"/>
          </rPr>
          <t>Quach, Pauline:</t>
        </r>
        <r>
          <rPr>
            <sz val="9"/>
            <color indexed="81"/>
            <rFont val="Tahoma"/>
            <family val="2"/>
          </rPr>
          <t xml:space="preserve">
Only provided per arm, not for whole study</t>
        </r>
      </text>
    </comment>
    <comment ref="P142" authorId="8" shapeId="0" xr:uid="{00000000-0006-0000-0600-0000D0000000}">
      <text>
        <r>
          <rPr>
            <b/>
            <sz val="9"/>
            <color indexed="81"/>
            <rFont val="Tahoma"/>
            <family val="2"/>
          </rPr>
          <t>Quach, Pauline:</t>
        </r>
        <r>
          <rPr>
            <sz val="9"/>
            <color indexed="81"/>
            <rFont val="Tahoma"/>
            <family val="2"/>
          </rPr>
          <t xml:space="preserve">
Only provided per arm, not for whole study</t>
        </r>
      </text>
    </comment>
    <comment ref="Q142" authorId="8" shapeId="0" xr:uid="{00000000-0006-0000-0600-0000D1000000}">
      <text>
        <r>
          <rPr>
            <b/>
            <sz val="9"/>
            <color indexed="81"/>
            <rFont val="Tahoma"/>
            <family val="2"/>
          </rPr>
          <t>Quach, Pauline:</t>
        </r>
        <r>
          <rPr>
            <sz val="9"/>
            <color indexed="81"/>
            <rFont val="Tahoma"/>
            <family val="2"/>
          </rPr>
          <t xml:space="preserve">
Only provided per arm, not for whole study</t>
        </r>
      </text>
    </comment>
    <comment ref="I143" authorId="8" shapeId="0" xr:uid="{00000000-0006-0000-0600-0000D2000000}">
      <text>
        <r>
          <rPr>
            <b/>
            <sz val="9"/>
            <color indexed="81"/>
            <rFont val="Tahoma"/>
            <family val="2"/>
          </rPr>
          <t>Quach, Pauline:</t>
        </r>
        <r>
          <rPr>
            <sz val="9"/>
            <color indexed="81"/>
            <rFont val="Tahoma"/>
            <family val="2"/>
          </rPr>
          <t xml:space="preserve">
clinicaltrials.gov</t>
        </r>
      </text>
    </comment>
    <comment ref="M143" authorId="9" shapeId="0" xr:uid="{00000000-0006-0000-0600-0000D3000000}">
      <text>
        <r>
          <rPr>
            <b/>
            <sz val="9"/>
            <color indexed="81"/>
            <rFont val="Tahoma"/>
            <family val="2"/>
          </rPr>
          <t>pauline.quach:</t>
        </r>
        <r>
          <rPr>
            <sz val="9"/>
            <color indexed="81"/>
            <rFont val="Tahoma"/>
            <family val="2"/>
          </rPr>
          <t xml:space="preserve">
Patients referred up until April 2007. study lasted 18 mo, so approx study end date is Oct 2008.</t>
        </r>
      </text>
    </comment>
    <comment ref="Q143" authorId="8" shapeId="0" xr:uid="{00000000-0006-0000-0600-0000D4000000}">
      <text>
        <r>
          <rPr>
            <b/>
            <sz val="9"/>
            <color indexed="81"/>
            <rFont val="Tahoma"/>
            <family val="2"/>
          </rPr>
          <t>Quach, Pauline:</t>
        </r>
        <r>
          <rPr>
            <sz val="9"/>
            <color indexed="81"/>
            <rFont val="Tahoma"/>
            <family val="2"/>
          </rPr>
          <t xml:space="preserve">
Only provided per arm, not for whole study</t>
        </r>
      </text>
    </comment>
    <comment ref="M144" authorId="9" shapeId="0" xr:uid="{00000000-0006-0000-0600-0000D5000000}">
      <text>
        <r>
          <rPr>
            <b/>
            <sz val="9"/>
            <color indexed="81"/>
            <rFont val="Tahoma"/>
            <family val="2"/>
          </rPr>
          <t>pauline.quach:</t>
        </r>
        <r>
          <rPr>
            <sz val="9"/>
            <color indexed="81"/>
            <rFont val="Tahoma"/>
            <family val="2"/>
          </rPr>
          <t xml:space="preserve">
Recruitment end date was Nov 2008. Study lasted 6 months, approx last year of study conduct is May 2009</t>
        </r>
      </text>
    </comment>
    <comment ref="O144" authorId="8" shapeId="0" xr:uid="{00000000-0006-0000-0600-0000D6000000}">
      <text>
        <r>
          <rPr>
            <b/>
            <sz val="9"/>
            <color indexed="81"/>
            <rFont val="Tahoma"/>
            <family val="2"/>
          </rPr>
          <t>Quach, Pauline:</t>
        </r>
        <r>
          <rPr>
            <sz val="9"/>
            <color indexed="81"/>
            <rFont val="Tahoma"/>
            <family val="2"/>
          </rPr>
          <t xml:space="preserve">
Only provided per arm, not for whole study</t>
        </r>
      </text>
    </comment>
    <comment ref="P144" authorId="8" shapeId="0" xr:uid="{00000000-0006-0000-0600-0000D7000000}">
      <text>
        <r>
          <rPr>
            <b/>
            <sz val="9"/>
            <color indexed="81"/>
            <rFont val="Tahoma"/>
            <family val="2"/>
          </rPr>
          <t>Quach, Pauline:</t>
        </r>
        <r>
          <rPr>
            <sz val="9"/>
            <color indexed="81"/>
            <rFont val="Tahoma"/>
            <family val="2"/>
          </rPr>
          <t xml:space="preserve">
Only provided per arm, not for whole study</t>
        </r>
      </text>
    </comment>
    <comment ref="Q144" authorId="8" shapeId="0" xr:uid="{00000000-0006-0000-0600-0000D8000000}">
      <text>
        <r>
          <rPr>
            <b/>
            <sz val="9"/>
            <color indexed="81"/>
            <rFont val="Tahoma"/>
            <family val="2"/>
          </rPr>
          <t>Quach, Pauline:</t>
        </r>
        <r>
          <rPr>
            <sz val="9"/>
            <color indexed="81"/>
            <rFont val="Tahoma"/>
            <family val="2"/>
          </rPr>
          <t xml:space="preserve">
Only provided per arm, not for whole study</t>
        </r>
      </text>
    </comment>
    <comment ref="S144" authorId="8" shapeId="0" xr:uid="{00000000-0006-0000-0600-0000D9000000}">
      <text>
        <r>
          <rPr>
            <b/>
            <sz val="9"/>
            <color indexed="81"/>
            <rFont val="Tahoma"/>
            <family val="2"/>
          </rPr>
          <t>Quach, Pauline:</t>
        </r>
        <r>
          <rPr>
            <sz val="9"/>
            <color indexed="81"/>
            <rFont val="Tahoma"/>
            <family val="2"/>
          </rPr>
          <t xml:space="preserve">
with co-morbid depression</t>
        </r>
      </text>
    </comment>
    <comment ref="I145" authorId="8" shapeId="0" xr:uid="{00000000-0006-0000-0600-0000DA000000}">
      <text>
        <r>
          <rPr>
            <b/>
            <sz val="9"/>
            <color indexed="81"/>
            <rFont val="Tahoma"/>
            <family val="2"/>
          </rPr>
          <t>Quach, Pauline:</t>
        </r>
        <r>
          <rPr>
            <sz val="9"/>
            <color indexed="81"/>
            <rFont val="Tahoma"/>
            <family val="2"/>
          </rPr>
          <t xml:space="preserve">
Clinical trials.gov</t>
        </r>
      </text>
    </comment>
    <comment ref="K145" authorId="8" shapeId="0" xr:uid="{00000000-0006-0000-0600-0000DB000000}">
      <text>
        <r>
          <rPr>
            <b/>
            <sz val="9"/>
            <color indexed="81"/>
            <rFont val="Tahoma"/>
            <family val="2"/>
          </rPr>
          <t>Quach, Pauline:</t>
        </r>
        <r>
          <rPr>
            <sz val="9"/>
            <color indexed="81"/>
            <rFont val="Tahoma"/>
            <family val="2"/>
          </rPr>
          <t xml:space="preserve">
# randomized. NB: # completed baseline is different.</t>
        </r>
      </text>
    </comment>
    <comment ref="O145" authorId="3" shapeId="0" xr:uid="{00000000-0006-0000-0600-0000DC000000}">
      <text>
        <r>
          <rPr>
            <b/>
            <sz val="9"/>
            <color indexed="81"/>
            <rFont val="Verdana"/>
            <family val="2"/>
          </rPr>
          <t>Kristin Danko:</t>
        </r>
        <r>
          <rPr>
            <sz val="9"/>
            <color indexed="81"/>
            <rFont val="Verdana"/>
            <family val="2"/>
          </rPr>
          <t xml:space="preserve">
only report at arm level; not study as a whole</t>
        </r>
      </text>
    </comment>
    <comment ref="P145" authorId="3" shapeId="0" xr:uid="{00000000-0006-0000-0600-0000DD000000}">
      <text>
        <r>
          <rPr>
            <b/>
            <sz val="9"/>
            <color indexed="81"/>
            <rFont val="Verdana"/>
            <family val="2"/>
          </rPr>
          <t>Kristin Danko:</t>
        </r>
        <r>
          <rPr>
            <sz val="9"/>
            <color indexed="81"/>
            <rFont val="Verdana"/>
            <family val="2"/>
          </rPr>
          <t xml:space="preserve">
only report at arm level; not study as a whole</t>
        </r>
      </text>
    </comment>
    <comment ref="Q145" authorId="3" shapeId="0" xr:uid="{00000000-0006-0000-0600-0000DE000000}">
      <text>
        <r>
          <rPr>
            <b/>
            <sz val="9"/>
            <color indexed="81"/>
            <rFont val="Verdana"/>
            <family val="2"/>
          </rPr>
          <t>Kristin Danko:</t>
        </r>
        <r>
          <rPr>
            <sz val="9"/>
            <color indexed="81"/>
            <rFont val="Verdana"/>
            <family val="2"/>
          </rPr>
          <t xml:space="preserve">
only report at arm level; not study as a whole</t>
        </r>
      </text>
    </comment>
    <comment ref="AC145" authorId="3" shapeId="0" xr:uid="{00000000-0006-0000-0600-0000DF000000}">
      <text>
        <r>
          <rPr>
            <b/>
            <sz val="9"/>
            <color indexed="81"/>
            <rFont val="Verdana"/>
            <family val="2"/>
          </rPr>
          <t>Kristin Danko:</t>
        </r>
        <r>
          <rPr>
            <sz val="9"/>
            <color indexed="81"/>
            <rFont val="Verdana"/>
            <family val="2"/>
          </rPr>
          <t xml:space="preserve">
calculated (64.7weeks/52)*12</t>
        </r>
      </text>
    </comment>
    <comment ref="O146" authorId="8" shapeId="0" xr:uid="{00000000-0006-0000-0600-0000E0000000}">
      <text>
        <r>
          <rPr>
            <b/>
            <sz val="9"/>
            <color indexed="81"/>
            <rFont val="Tahoma"/>
            <family val="2"/>
          </rPr>
          <t>Quach, Pauline:</t>
        </r>
        <r>
          <rPr>
            <sz val="9"/>
            <color indexed="81"/>
            <rFont val="Tahoma"/>
            <family val="2"/>
          </rPr>
          <t xml:space="preserve">
Based on those analyzed</t>
        </r>
      </text>
    </comment>
    <comment ref="P146" authorId="8" shapeId="0" xr:uid="{00000000-0006-0000-0600-0000E1000000}">
      <text>
        <r>
          <rPr>
            <b/>
            <sz val="9"/>
            <color indexed="81"/>
            <rFont val="Tahoma"/>
            <family val="2"/>
          </rPr>
          <t>Quach, Pauline:</t>
        </r>
        <r>
          <rPr>
            <sz val="9"/>
            <color indexed="81"/>
            <rFont val="Tahoma"/>
            <family val="2"/>
          </rPr>
          <t xml:space="preserve">
based on those analyzed</t>
        </r>
      </text>
    </comment>
    <comment ref="Q146" authorId="8" shapeId="0" xr:uid="{00000000-0006-0000-0600-0000E2000000}">
      <text>
        <r>
          <rPr>
            <b/>
            <sz val="9"/>
            <color indexed="81"/>
            <rFont val="Tahoma"/>
            <family val="2"/>
          </rPr>
          <t>Quach, Pauline:</t>
        </r>
        <r>
          <rPr>
            <sz val="9"/>
            <color indexed="81"/>
            <rFont val="Tahoma"/>
            <family val="2"/>
          </rPr>
          <t xml:space="preserve">
baseline based on those analyzed</t>
        </r>
      </text>
    </comment>
    <comment ref="T146" authorId="8" shapeId="0" xr:uid="{00000000-0006-0000-0600-0000E3000000}">
      <text>
        <r>
          <rPr>
            <b/>
            <sz val="9"/>
            <color indexed="81"/>
            <rFont val="Tahoma"/>
            <family val="2"/>
          </rPr>
          <t>Quach, Pauline:</t>
        </r>
        <r>
          <rPr>
            <sz val="9"/>
            <color indexed="81"/>
            <rFont val="Tahoma"/>
            <family val="2"/>
          </rPr>
          <t xml:space="preserve">
200 randomized, but data complete for analysis for only 170</t>
        </r>
      </text>
    </comment>
    <comment ref="V146" authorId="8" shapeId="0" xr:uid="{00000000-0006-0000-0600-0000E4000000}">
      <text>
        <r>
          <rPr>
            <b/>
            <sz val="9"/>
            <color indexed="81"/>
            <rFont val="Tahoma"/>
            <family val="2"/>
          </rPr>
          <t>Quach, Pauline:</t>
        </r>
        <r>
          <rPr>
            <sz val="9"/>
            <color indexed="81"/>
            <rFont val="Tahoma"/>
            <family val="2"/>
          </rPr>
          <t xml:space="preserve">
Baseline analyzed n=85</t>
        </r>
      </text>
    </comment>
    <comment ref="W146" authorId="8" shapeId="0" xr:uid="{00000000-0006-0000-0600-0000E5000000}">
      <text>
        <r>
          <rPr>
            <b/>
            <sz val="9"/>
            <color indexed="81"/>
            <rFont val="Tahoma"/>
            <family val="2"/>
          </rPr>
          <t>Quach, Pauline:</t>
        </r>
        <r>
          <rPr>
            <sz val="9"/>
            <color indexed="81"/>
            <rFont val="Tahoma"/>
            <family val="2"/>
          </rPr>
          <t xml:space="preserve">
Baseline analyzed n=85</t>
        </r>
      </text>
    </comment>
    <comment ref="I147" authorId="8" shapeId="0" xr:uid="{00000000-0006-0000-0600-0000E6000000}">
      <text>
        <r>
          <rPr>
            <b/>
            <sz val="9"/>
            <color indexed="81"/>
            <rFont val="Tahoma"/>
            <family val="2"/>
          </rPr>
          <t>Quach, Pauline:</t>
        </r>
        <r>
          <rPr>
            <sz val="9"/>
            <color indexed="81"/>
            <rFont val="Tahoma"/>
            <family val="2"/>
          </rPr>
          <t xml:space="preserve">
clinicaltrials.gov</t>
        </r>
      </text>
    </comment>
    <comment ref="M147" authorId="9" shapeId="0" xr:uid="{00000000-0006-0000-0600-0000E7000000}">
      <text>
        <r>
          <rPr>
            <b/>
            <sz val="9"/>
            <color indexed="81"/>
            <rFont val="Tahoma"/>
            <family val="2"/>
          </rPr>
          <t>pauline.quach:</t>
        </r>
        <r>
          <rPr>
            <sz val="9"/>
            <color indexed="81"/>
            <rFont val="Tahoma"/>
            <family val="2"/>
          </rPr>
          <t xml:space="preserve">
Recruitment ended Oct 2008, study lasted 6 mo, end of year study conduct approx April 2009.</t>
        </r>
      </text>
    </comment>
    <comment ref="O147" authorId="8" shapeId="0" xr:uid="{00000000-0006-0000-0600-0000E8000000}">
      <text>
        <r>
          <rPr>
            <b/>
            <sz val="9"/>
            <color indexed="81"/>
            <rFont val="Tahoma"/>
            <family val="2"/>
          </rPr>
          <t>Quach, Pauline:</t>
        </r>
        <r>
          <rPr>
            <sz val="9"/>
            <color indexed="81"/>
            <rFont val="Tahoma"/>
            <family val="2"/>
          </rPr>
          <t xml:space="preserve">
Only provided per arm, not for whole study</t>
        </r>
      </text>
    </comment>
    <comment ref="P147" authorId="8" shapeId="0" xr:uid="{00000000-0006-0000-0600-0000E9000000}">
      <text>
        <r>
          <rPr>
            <b/>
            <sz val="9"/>
            <color indexed="81"/>
            <rFont val="Tahoma"/>
            <family val="2"/>
          </rPr>
          <t>Quach, Pauline:</t>
        </r>
        <r>
          <rPr>
            <sz val="9"/>
            <color indexed="81"/>
            <rFont val="Tahoma"/>
            <family val="2"/>
          </rPr>
          <t xml:space="preserve">
Only provided per arm, not for whole study</t>
        </r>
      </text>
    </comment>
    <comment ref="Q147" authorId="8" shapeId="0" xr:uid="{00000000-0006-0000-0600-0000EA000000}">
      <text>
        <r>
          <rPr>
            <b/>
            <sz val="9"/>
            <color indexed="81"/>
            <rFont val="Tahoma"/>
            <family val="2"/>
          </rPr>
          <t>Quach, Pauline:</t>
        </r>
        <r>
          <rPr>
            <sz val="9"/>
            <color indexed="81"/>
            <rFont val="Tahoma"/>
            <family val="2"/>
          </rPr>
          <t xml:space="preserve">
Only provided per arm, not for whole study</t>
        </r>
      </text>
    </comment>
    <comment ref="T147" authorId="8" shapeId="0" xr:uid="{00000000-0006-0000-0600-0000EB000000}">
      <text>
        <r>
          <rPr>
            <b/>
            <sz val="9"/>
            <color indexed="81"/>
            <rFont val="Tahoma"/>
            <family val="2"/>
          </rPr>
          <t>Quach, Pauline:</t>
        </r>
        <r>
          <rPr>
            <sz val="9"/>
            <color indexed="81"/>
            <rFont val="Tahoma"/>
            <family val="2"/>
          </rPr>
          <t xml:space="preserve">
103 RANDOMIZED but 4 revoked consent, but they provide # per arm for those analyzed. N analyzed= 99</t>
        </r>
      </text>
    </comment>
    <comment ref="O148" authorId="8" shapeId="0" xr:uid="{00000000-0006-0000-0600-0000EC000000}">
      <text>
        <r>
          <rPr>
            <b/>
            <sz val="9"/>
            <color indexed="81"/>
            <rFont val="Tahoma"/>
            <family val="2"/>
          </rPr>
          <t>Quach, Pauline:</t>
        </r>
        <r>
          <rPr>
            <sz val="9"/>
            <color indexed="81"/>
            <rFont val="Tahoma"/>
            <family val="2"/>
          </rPr>
          <t xml:space="preserve">
Only provided per arm, not for whole study</t>
        </r>
      </text>
    </comment>
    <comment ref="P148" authorId="8" shapeId="0" xr:uid="{00000000-0006-0000-0600-0000ED000000}">
      <text>
        <r>
          <rPr>
            <b/>
            <sz val="9"/>
            <color indexed="81"/>
            <rFont val="Tahoma"/>
            <family val="2"/>
          </rPr>
          <t>Quach, Pauline:</t>
        </r>
        <r>
          <rPr>
            <sz val="9"/>
            <color indexed="81"/>
            <rFont val="Tahoma"/>
            <family val="2"/>
          </rPr>
          <t xml:space="preserve">
Only provided per arm, not for whole study</t>
        </r>
      </text>
    </comment>
    <comment ref="Q148" authorId="8" shapeId="0" xr:uid="{00000000-0006-0000-0600-0000EE000000}">
      <text>
        <r>
          <rPr>
            <b/>
            <sz val="9"/>
            <color indexed="81"/>
            <rFont val="Tahoma"/>
            <family val="2"/>
          </rPr>
          <t>Quach, Pauline:</t>
        </r>
        <r>
          <rPr>
            <sz val="9"/>
            <color indexed="81"/>
            <rFont val="Tahoma"/>
            <family val="2"/>
          </rPr>
          <t xml:space="preserve">
Only provided per arm, not for whole study</t>
        </r>
      </text>
    </comment>
    <comment ref="I149" authorId="8" shapeId="0" xr:uid="{00000000-0006-0000-0600-0000EF000000}">
      <text>
        <r>
          <rPr>
            <b/>
            <sz val="9"/>
            <color indexed="81"/>
            <rFont val="Tahoma"/>
            <family val="2"/>
          </rPr>
          <t>Quach, Pauline:</t>
        </r>
        <r>
          <rPr>
            <sz val="9"/>
            <color indexed="81"/>
            <rFont val="Tahoma"/>
            <family val="2"/>
          </rPr>
          <t xml:space="preserve">
clinicaltrials.gov</t>
        </r>
      </text>
    </comment>
    <comment ref="M149" authorId="9" shapeId="0" xr:uid="{00000000-0006-0000-0600-0000F0000000}">
      <text>
        <r>
          <rPr>
            <b/>
            <sz val="9"/>
            <color indexed="81"/>
            <rFont val="Tahoma"/>
            <family val="2"/>
          </rPr>
          <t>pauline.quach:</t>
        </r>
        <r>
          <rPr>
            <sz val="9"/>
            <color indexed="81"/>
            <rFont val="Tahoma"/>
            <family val="2"/>
          </rPr>
          <t xml:space="preserve">
Recruitment ended July 2009. Study lasted 12 mo. Approx last date of study conduct is July 2010.</t>
        </r>
      </text>
    </comment>
    <comment ref="O149" authorId="8" shapeId="0" xr:uid="{00000000-0006-0000-0600-0000F1000000}">
      <text>
        <r>
          <rPr>
            <b/>
            <sz val="9"/>
            <color indexed="81"/>
            <rFont val="Tahoma"/>
            <family val="2"/>
          </rPr>
          <t>Quach, Pauline:</t>
        </r>
        <r>
          <rPr>
            <sz val="9"/>
            <color indexed="81"/>
            <rFont val="Tahoma"/>
            <family val="2"/>
          </rPr>
          <t xml:space="preserve">
Only provided per arm, not for whole study</t>
        </r>
      </text>
    </comment>
    <comment ref="P149" authorId="8" shapeId="0" xr:uid="{00000000-0006-0000-0600-0000F2000000}">
      <text>
        <r>
          <rPr>
            <b/>
            <sz val="9"/>
            <color indexed="81"/>
            <rFont val="Tahoma"/>
            <family val="2"/>
          </rPr>
          <t>Quach, Pauline:</t>
        </r>
        <r>
          <rPr>
            <sz val="9"/>
            <color indexed="81"/>
            <rFont val="Tahoma"/>
            <family val="2"/>
          </rPr>
          <t xml:space="preserve">
Only provided per arm, not for whole study</t>
        </r>
      </text>
    </comment>
    <comment ref="Q149" authorId="8" shapeId="0" xr:uid="{00000000-0006-0000-0600-0000F3000000}">
      <text>
        <r>
          <rPr>
            <b/>
            <sz val="9"/>
            <color indexed="81"/>
            <rFont val="Tahoma"/>
            <family val="2"/>
          </rPr>
          <t>Quach, Pauline:</t>
        </r>
        <r>
          <rPr>
            <sz val="9"/>
            <color indexed="81"/>
            <rFont val="Tahoma"/>
            <family val="2"/>
          </rPr>
          <t xml:space="preserve">
Only provided per arm, not for whole study</t>
        </r>
      </text>
    </comment>
    <comment ref="S149" authorId="8" shapeId="0" xr:uid="{00000000-0006-0000-0600-0000F4000000}">
      <text>
        <r>
          <rPr>
            <b/>
            <sz val="9"/>
            <color indexed="81"/>
            <rFont val="Tahoma"/>
            <family val="2"/>
          </rPr>
          <t>Quach, Pauline:</t>
        </r>
        <r>
          <rPr>
            <sz val="9"/>
            <color indexed="81"/>
            <rFont val="Tahoma"/>
            <family val="2"/>
          </rPr>
          <t xml:space="preserve">
This study included those who had CVD or Type 2 Diabetes
**As per convo with Noah, since Hba1c is high, decide to treat all as diabetic population.</t>
        </r>
      </text>
    </comment>
    <comment ref="I150" authorId="8" shapeId="0" xr:uid="{00000000-0006-0000-0600-0000F5000000}">
      <text>
        <r>
          <rPr>
            <b/>
            <sz val="9"/>
            <color indexed="81"/>
            <rFont val="Tahoma"/>
            <family val="2"/>
          </rPr>
          <t>Quach, Pauline:</t>
        </r>
        <r>
          <rPr>
            <sz val="9"/>
            <color indexed="81"/>
            <rFont val="Tahoma"/>
            <family val="2"/>
          </rPr>
          <t xml:space="preserve">
Current Controlled trials Ltd. The authors also published a full study protocol. Sonnichsen et al., 2008</t>
        </r>
      </text>
    </comment>
    <comment ref="L150" authorId="8" shapeId="0" xr:uid="{00000000-0006-0000-0600-0000F6000000}">
      <text>
        <r>
          <rPr>
            <b/>
            <sz val="9"/>
            <color indexed="81"/>
            <rFont val="Tahoma"/>
            <family val="2"/>
          </rPr>
          <t>Quach, Pauline:</t>
        </r>
        <r>
          <rPr>
            <sz val="9"/>
            <color indexed="81"/>
            <rFont val="Tahoma"/>
            <family val="2"/>
          </rPr>
          <t xml:space="preserve">
98 were actually randomized, n=6 GPs had withdrew before recruiting patients.</t>
        </r>
      </text>
    </comment>
    <comment ref="M150" authorId="9" shapeId="0" xr:uid="{00000000-0006-0000-0600-0000F7000000}">
      <text>
        <r>
          <rPr>
            <b/>
            <sz val="9"/>
            <color indexed="81"/>
            <rFont val="Tahoma"/>
            <family val="2"/>
          </rPr>
          <t>pauline.quach:</t>
        </r>
        <r>
          <rPr>
            <sz val="9"/>
            <color indexed="81"/>
            <rFont val="Tahoma"/>
            <family val="2"/>
          </rPr>
          <t xml:space="preserve">
Recruitment ended Nov 30, 2007, study lasted 12 mo, study conduct last date approx Nov 30, 2008</t>
        </r>
      </text>
    </comment>
    <comment ref="O150" authorId="8" shapeId="0" xr:uid="{00000000-0006-0000-0600-0000F8000000}">
      <text>
        <r>
          <rPr>
            <b/>
            <sz val="9"/>
            <color indexed="81"/>
            <rFont val="Tahoma"/>
            <family val="2"/>
          </rPr>
          <t>Quach, Pauline:</t>
        </r>
        <r>
          <rPr>
            <sz val="9"/>
            <color indexed="81"/>
            <rFont val="Tahoma"/>
            <family val="2"/>
          </rPr>
          <t xml:space="preserve">
Only provided per arm, not for whole study</t>
        </r>
      </text>
    </comment>
    <comment ref="P150" authorId="8" shapeId="0" xr:uid="{00000000-0006-0000-0600-0000F9000000}">
      <text>
        <r>
          <rPr>
            <b/>
            <sz val="9"/>
            <color indexed="81"/>
            <rFont val="Tahoma"/>
            <family val="2"/>
          </rPr>
          <t>Quach, Pauline:</t>
        </r>
        <r>
          <rPr>
            <sz val="9"/>
            <color indexed="81"/>
            <rFont val="Tahoma"/>
            <family val="2"/>
          </rPr>
          <t xml:space="preserve">
Only provided per arm, not for whole study</t>
        </r>
      </text>
    </comment>
    <comment ref="Q150" authorId="8" shapeId="0" xr:uid="{00000000-0006-0000-0600-0000FA000000}">
      <text>
        <r>
          <rPr>
            <b/>
            <sz val="9"/>
            <color indexed="81"/>
            <rFont val="Tahoma"/>
            <family val="2"/>
          </rPr>
          <t>Quach, Pauline:</t>
        </r>
        <r>
          <rPr>
            <sz val="9"/>
            <color indexed="81"/>
            <rFont val="Tahoma"/>
            <family val="2"/>
          </rPr>
          <t xml:space="preserve">
Only provided per arm, not for whole study</t>
        </r>
      </text>
    </comment>
    <comment ref="O151" authorId="8" shapeId="0" xr:uid="{00000000-0006-0000-0600-0000FB000000}">
      <text>
        <r>
          <rPr>
            <b/>
            <sz val="9"/>
            <color indexed="81"/>
            <rFont val="Tahoma"/>
            <family val="2"/>
          </rPr>
          <t>Quach, Pauline:</t>
        </r>
        <r>
          <rPr>
            <sz val="9"/>
            <color indexed="81"/>
            <rFont val="Tahoma"/>
            <family val="2"/>
          </rPr>
          <t xml:space="preserve">
Only provided per arm, not for whole study</t>
        </r>
      </text>
    </comment>
    <comment ref="P151" authorId="8" shapeId="0" xr:uid="{00000000-0006-0000-0600-0000FC000000}">
      <text>
        <r>
          <rPr>
            <b/>
            <sz val="9"/>
            <color indexed="81"/>
            <rFont val="Tahoma"/>
            <family val="2"/>
          </rPr>
          <t>Quach, Pauline:</t>
        </r>
        <r>
          <rPr>
            <sz val="9"/>
            <color indexed="81"/>
            <rFont val="Tahoma"/>
            <family val="2"/>
          </rPr>
          <t xml:space="preserve">
Only provided per arm, not for whole study</t>
        </r>
      </text>
    </comment>
    <comment ref="Q151" authorId="8" shapeId="0" xr:uid="{00000000-0006-0000-0600-0000FD000000}">
      <text>
        <r>
          <rPr>
            <b/>
            <sz val="9"/>
            <color indexed="81"/>
            <rFont val="Tahoma"/>
            <family val="2"/>
          </rPr>
          <t>Quach, Pauline:</t>
        </r>
        <r>
          <rPr>
            <sz val="9"/>
            <color indexed="81"/>
            <rFont val="Tahoma"/>
            <family val="2"/>
          </rPr>
          <t xml:space="preserve">
Only provided per arm, not for whole study</t>
        </r>
      </text>
    </comment>
    <comment ref="S151" authorId="8" shapeId="0" xr:uid="{00000000-0006-0000-0600-0000FE000000}">
      <text>
        <r>
          <rPr>
            <b/>
            <sz val="9"/>
            <color indexed="81"/>
            <rFont val="Tahoma"/>
            <family val="2"/>
          </rPr>
          <t>Quach, Pauline:</t>
        </r>
        <r>
          <rPr>
            <sz val="9"/>
            <color indexed="81"/>
            <rFont val="Tahoma"/>
            <family val="2"/>
          </rPr>
          <t xml:space="preserve">
includes and/or hypretension patients
Study characteristics and outcomes only for diabetic patients (18%)</t>
        </r>
      </text>
    </comment>
    <comment ref="T151" authorId="8" shapeId="0" xr:uid="{00000000-0006-0000-0600-0000FF000000}">
      <text>
        <r>
          <rPr>
            <b/>
            <sz val="9"/>
            <color indexed="81"/>
            <rFont val="Tahoma"/>
            <family val="2"/>
          </rPr>
          <t>Quach, Pauline:</t>
        </r>
        <r>
          <rPr>
            <sz val="9"/>
            <color indexed="81"/>
            <rFont val="Tahoma"/>
            <family val="2"/>
          </rPr>
          <t xml:space="preserve">
diabetic patients only.</t>
        </r>
      </text>
    </comment>
    <comment ref="I152" authorId="8" shapeId="0" xr:uid="{00000000-0006-0000-0600-000000010000}">
      <text>
        <r>
          <rPr>
            <b/>
            <sz val="9"/>
            <color indexed="81"/>
            <rFont val="Tahoma"/>
            <family val="2"/>
          </rPr>
          <t>Quach, Pauline:</t>
        </r>
        <r>
          <rPr>
            <sz val="9"/>
            <color indexed="81"/>
            <rFont val="Tahoma"/>
            <family val="2"/>
          </rPr>
          <t xml:space="preserve">
clinicaltrials.gov</t>
        </r>
      </text>
    </comment>
    <comment ref="M152" authorId="9" shapeId="0" xr:uid="{00000000-0006-0000-0600-000001010000}">
      <text>
        <r>
          <rPr>
            <b/>
            <sz val="9"/>
            <color indexed="81"/>
            <rFont val="Tahoma"/>
            <family val="2"/>
          </rPr>
          <t>pauline.quach:</t>
        </r>
        <r>
          <rPr>
            <sz val="9"/>
            <color indexed="81"/>
            <rFont val="Tahoma"/>
            <family val="2"/>
          </rPr>
          <t xml:space="preserve">
Recruited Nov 2009, study lasted 6 mo, last year of study conduct, approx May 2010.</t>
        </r>
      </text>
    </comment>
    <comment ref="O152" authorId="8" shapeId="0" xr:uid="{00000000-0006-0000-0600-000002010000}">
      <text>
        <r>
          <rPr>
            <b/>
            <sz val="9"/>
            <color indexed="81"/>
            <rFont val="Tahoma"/>
            <family val="2"/>
          </rPr>
          <t>Quach, Pauline:</t>
        </r>
        <r>
          <rPr>
            <sz val="9"/>
            <color indexed="81"/>
            <rFont val="Tahoma"/>
            <family val="2"/>
          </rPr>
          <t xml:space="preserve">
Only provided per arm, not for whole study</t>
        </r>
      </text>
    </comment>
    <comment ref="P152" authorId="8" shapeId="0" xr:uid="{00000000-0006-0000-0600-000003010000}">
      <text>
        <r>
          <rPr>
            <b/>
            <sz val="9"/>
            <color indexed="81"/>
            <rFont val="Tahoma"/>
            <family val="2"/>
          </rPr>
          <t>Quach, Pauline:</t>
        </r>
        <r>
          <rPr>
            <sz val="9"/>
            <color indexed="81"/>
            <rFont val="Tahoma"/>
            <family val="2"/>
          </rPr>
          <t xml:space="preserve">
Only provided per arm, not for whole study</t>
        </r>
      </text>
    </comment>
    <comment ref="Q152" authorId="8" shapeId="0" xr:uid="{00000000-0006-0000-0600-000004010000}">
      <text>
        <r>
          <rPr>
            <b/>
            <sz val="9"/>
            <color indexed="81"/>
            <rFont val="Tahoma"/>
            <family val="2"/>
          </rPr>
          <t>Quach, Pauline:</t>
        </r>
        <r>
          <rPr>
            <sz val="9"/>
            <color indexed="81"/>
            <rFont val="Tahoma"/>
            <family val="2"/>
          </rPr>
          <t xml:space="preserve">
Only provided per arm, not for whole study</t>
        </r>
      </text>
    </comment>
    <comment ref="M153" authorId="8" shapeId="0" xr:uid="{00000000-0006-0000-0600-000005010000}">
      <text>
        <r>
          <rPr>
            <b/>
            <sz val="9"/>
            <color indexed="81"/>
            <rFont val="Tahoma"/>
            <family val="2"/>
          </rPr>
          <t>Quach, Pauline:</t>
        </r>
        <r>
          <rPr>
            <sz val="9"/>
            <color indexed="81"/>
            <rFont val="Tahoma"/>
            <family val="2"/>
          </rPr>
          <t xml:space="preserve">
Year of publication</t>
        </r>
      </text>
    </comment>
    <comment ref="I154" authorId="8" shapeId="0" xr:uid="{00000000-0006-0000-0600-000006010000}">
      <text>
        <r>
          <rPr>
            <b/>
            <sz val="9"/>
            <color indexed="81"/>
            <rFont val="Tahoma"/>
            <family val="2"/>
          </rPr>
          <t>Quach, Pauline:</t>
        </r>
        <r>
          <rPr>
            <sz val="9"/>
            <color indexed="81"/>
            <rFont val="Tahoma"/>
            <family val="2"/>
          </rPr>
          <t xml:space="preserve">
clinicaltrials.gov</t>
        </r>
      </text>
    </comment>
    <comment ref="M154" authorId="8" shapeId="0" xr:uid="{00000000-0006-0000-0600-000007010000}">
      <text>
        <r>
          <rPr>
            <b/>
            <sz val="9"/>
            <color indexed="81"/>
            <rFont val="Tahoma"/>
            <family val="2"/>
          </rPr>
          <t>Quach, Pauline:</t>
        </r>
        <r>
          <rPr>
            <sz val="9"/>
            <color indexed="81"/>
            <rFont val="Tahoma"/>
            <family val="2"/>
          </rPr>
          <t xml:space="preserve">
recruitemtn- between September 2006 and April 2008. Study lasted a year, so end of study was April 2009.</t>
        </r>
      </text>
    </comment>
    <comment ref="O154" authorId="8" shapeId="0" xr:uid="{00000000-0006-0000-0600-000008010000}">
      <text>
        <r>
          <rPr>
            <b/>
            <sz val="9"/>
            <color indexed="81"/>
            <rFont val="Tahoma"/>
            <family val="2"/>
          </rPr>
          <t>Quach, Pauline:</t>
        </r>
        <r>
          <rPr>
            <sz val="9"/>
            <color indexed="81"/>
            <rFont val="Tahoma"/>
            <family val="2"/>
          </rPr>
          <t xml:space="preserve">
Only provided per arm, not for whole study</t>
        </r>
      </text>
    </comment>
    <comment ref="P154" authorId="8" shapeId="0" xr:uid="{00000000-0006-0000-0600-000009010000}">
      <text>
        <r>
          <rPr>
            <b/>
            <sz val="9"/>
            <color indexed="81"/>
            <rFont val="Tahoma"/>
            <family val="2"/>
          </rPr>
          <t>Quach, Pauline:</t>
        </r>
        <r>
          <rPr>
            <sz val="9"/>
            <color indexed="81"/>
            <rFont val="Tahoma"/>
            <family val="2"/>
          </rPr>
          <t xml:space="preserve">
Only provided per arm, not for whole study</t>
        </r>
      </text>
    </comment>
    <comment ref="Q154" authorId="8" shapeId="0" xr:uid="{00000000-0006-0000-0600-00000A010000}">
      <text>
        <r>
          <rPr>
            <b/>
            <sz val="9"/>
            <color indexed="81"/>
            <rFont val="Tahoma"/>
            <family val="2"/>
          </rPr>
          <t>Quach, Pauline:</t>
        </r>
        <r>
          <rPr>
            <sz val="9"/>
            <color indexed="81"/>
            <rFont val="Tahoma"/>
            <family val="2"/>
          </rPr>
          <t xml:space="preserve">
Only provided per arm, not for whole study</t>
        </r>
      </text>
    </comment>
    <comment ref="AR154" authorId="3" shapeId="0" xr:uid="{00000000-0006-0000-0600-00000B010000}">
      <text>
        <r>
          <rPr>
            <b/>
            <sz val="9"/>
            <color indexed="81"/>
            <rFont val="Calibri"/>
            <family val="2"/>
          </rPr>
          <t>Kristin Danko:</t>
        </r>
        <r>
          <rPr>
            <sz val="9"/>
            <color indexed="81"/>
            <rFont val="Calibri"/>
            <family val="2"/>
          </rPr>
          <t xml:space="preserve">
contracted author for data; otherwise not available</t>
        </r>
      </text>
    </comment>
    <comment ref="I155" authorId="8" shapeId="0" xr:uid="{00000000-0006-0000-0600-00000C010000}">
      <text>
        <r>
          <rPr>
            <b/>
            <sz val="9"/>
            <color indexed="81"/>
            <rFont val="Tahoma"/>
            <family val="2"/>
          </rPr>
          <t>Quach, Pauline:</t>
        </r>
        <r>
          <rPr>
            <sz val="9"/>
            <color indexed="81"/>
            <rFont val="Tahoma"/>
            <family val="2"/>
          </rPr>
          <t xml:space="preserve">
clinicaltrials.gov</t>
        </r>
      </text>
    </comment>
    <comment ref="M155" authorId="8" shapeId="0" xr:uid="{00000000-0006-0000-0600-00000D010000}">
      <text>
        <r>
          <rPr>
            <b/>
            <sz val="9"/>
            <color indexed="81"/>
            <rFont val="Tahoma"/>
            <family val="2"/>
          </rPr>
          <t>Quach, Pauline:</t>
        </r>
        <r>
          <rPr>
            <sz val="9"/>
            <color indexed="81"/>
            <rFont val="Tahoma"/>
            <family val="2"/>
          </rPr>
          <t xml:space="preserve">
Year of publication</t>
        </r>
      </text>
    </comment>
    <comment ref="O155" authorId="8" shapeId="0" xr:uid="{00000000-0006-0000-0600-00000E010000}">
      <text>
        <r>
          <rPr>
            <b/>
            <sz val="9"/>
            <color indexed="81"/>
            <rFont val="Tahoma"/>
            <family val="2"/>
          </rPr>
          <t>Quach, Pauline:</t>
        </r>
        <r>
          <rPr>
            <sz val="9"/>
            <color indexed="81"/>
            <rFont val="Tahoma"/>
            <family val="2"/>
          </rPr>
          <t xml:space="preserve">
Only provided per arm, not for whole study</t>
        </r>
      </text>
    </comment>
    <comment ref="P155" authorId="8" shapeId="0" xr:uid="{00000000-0006-0000-0600-00000F010000}">
      <text>
        <r>
          <rPr>
            <b/>
            <sz val="9"/>
            <color indexed="81"/>
            <rFont val="Tahoma"/>
            <family val="2"/>
          </rPr>
          <t>Quach, Pauline:</t>
        </r>
        <r>
          <rPr>
            <sz val="9"/>
            <color indexed="81"/>
            <rFont val="Tahoma"/>
            <family val="2"/>
          </rPr>
          <t xml:space="preserve">
Only provided per arm, not for whole study</t>
        </r>
      </text>
    </comment>
    <comment ref="Q155" authorId="8" shapeId="0" xr:uid="{00000000-0006-0000-0600-000010010000}">
      <text>
        <r>
          <rPr>
            <b/>
            <sz val="9"/>
            <color indexed="81"/>
            <rFont val="Tahoma"/>
            <family val="2"/>
          </rPr>
          <t>Quach, Pauline:</t>
        </r>
        <r>
          <rPr>
            <sz val="9"/>
            <color indexed="81"/>
            <rFont val="Tahoma"/>
            <family val="2"/>
          </rPr>
          <t xml:space="preserve">
Only provided per arm, not for whole study</t>
        </r>
      </text>
    </comment>
    <comment ref="I156" authorId="8" shapeId="0" xr:uid="{00000000-0006-0000-0600-000011010000}">
      <text>
        <r>
          <rPr>
            <b/>
            <sz val="9"/>
            <color indexed="81"/>
            <rFont val="Tahoma"/>
            <family val="2"/>
          </rPr>
          <t>Quach, Pauline:</t>
        </r>
        <r>
          <rPr>
            <sz val="9"/>
            <color indexed="81"/>
            <rFont val="Tahoma"/>
            <family val="2"/>
          </rPr>
          <t xml:space="preserve">
clinicaltrials.gov</t>
        </r>
      </text>
    </comment>
    <comment ref="M156" authorId="9" shapeId="0" xr:uid="{00000000-0006-0000-0600-000012010000}">
      <text>
        <r>
          <rPr>
            <b/>
            <sz val="9"/>
            <color indexed="81"/>
            <rFont val="Tahoma"/>
            <family val="2"/>
          </rPr>
          <t>pauline.quach:</t>
        </r>
        <r>
          <rPr>
            <sz val="9"/>
            <color indexed="81"/>
            <rFont val="Tahoma"/>
            <family val="2"/>
          </rPr>
          <t xml:space="preserve">
recruitment ended Oct 2006- and study lasted 12 months, so end of study was Oct 2007</t>
        </r>
      </text>
    </comment>
    <comment ref="O156" authorId="8" shapeId="0" xr:uid="{00000000-0006-0000-0600-000013010000}">
      <text>
        <r>
          <rPr>
            <b/>
            <sz val="9"/>
            <color indexed="81"/>
            <rFont val="Tahoma"/>
            <family val="2"/>
          </rPr>
          <t>Quach, Pauline:</t>
        </r>
        <r>
          <rPr>
            <sz val="9"/>
            <color indexed="81"/>
            <rFont val="Tahoma"/>
            <family val="2"/>
          </rPr>
          <t xml:space="preserve">
Only provided per arm, not for whole study</t>
        </r>
      </text>
    </comment>
    <comment ref="P156" authorId="8" shapeId="0" xr:uid="{00000000-0006-0000-0600-000014010000}">
      <text>
        <r>
          <rPr>
            <b/>
            <sz val="9"/>
            <color indexed="81"/>
            <rFont val="Tahoma"/>
            <family val="2"/>
          </rPr>
          <t>Quach, Pauline:</t>
        </r>
        <r>
          <rPr>
            <sz val="9"/>
            <color indexed="81"/>
            <rFont val="Tahoma"/>
            <family val="2"/>
          </rPr>
          <t xml:space="preserve">
Only provided per arm, not for whole study</t>
        </r>
      </text>
    </comment>
    <comment ref="Q156" authorId="8" shapeId="0" xr:uid="{00000000-0006-0000-0600-000015010000}">
      <text>
        <r>
          <rPr>
            <b/>
            <sz val="9"/>
            <color indexed="81"/>
            <rFont val="Tahoma"/>
            <family val="2"/>
          </rPr>
          <t>Quach, Pauline:</t>
        </r>
        <r>
          <rPr>
            <sz val="9"/>
            <color indexed="81"/>
            <rFont val="Tahoma"/>
            <family val="2"/>
          </rPr>
          <t xml:space="preserve">
Only provided per arm, not for whole study</t>
        </r>
      </text>
    </comment>
    <comment ref="I157" authorId="8" shapeId="0" xr:uid="{00000000-0006-0000-0600-000016010000}">
      <text>
        <r>
          <rPr>
            <b/>
            <sz val="9"/>
            <color indexed="81"/>
            <rFont val="Tahoma"/>
            <family val="2"/>
          </rPr>
          <t>Quach, Pauline:</t>
        </r>
        <r>
          <rPr>
            <sz val="9"/>
            <color indexed="81"/>
            <rFont val="Tahoma"/>
            <family val="2"/>
          </rPr>
          <t xml:space="preserve">
clinicaltrials.gov</t>
        </r>
      </text>
    </comment>
    <comment ref="M157" authorId="9" shapeId="0" xr:uid="{00000000-0006-0000-0600-000017010000}">
      <text>
        <r>
          <rPr>
            <b/>
            <sz val="9"/>
            <color indexed="81"/>
            <rFont val="Tahoma"/>
            <family val="2"/>
          </rPr>
          <t>pauline.quach:</t>
        </r>
        <r>
          <rPr>
            <sz val="9"/>
            <color indexed="81"/>
            <rFont val="Tahoma"/>
            <family val="2"/>
          </rPr>
          <t xml:space="preserve">
Recruitment end ate Feb 2008. Study lasted 6 mos. Approx last year of conduct is Aug 2008.</t>
        </r>
      </text>
    </comment>
    <comment ref="B158" authorId="3" shapeId="0" xr:uid="{00000000-0006-0000-0600-000018010000}">
      <text>
        <r>
          <rPr>
            <b/>
            <sz val="9"/>
            <color indexed="81"/>
            <rFont val="Verdana"/>
            <family val="2"/>
          </rPr>
          <t>Kristin Danko:</t>
        </r>
        <r>
          <rPr>
            <sz val="9"/>
            <color indexed="81"/>
            <rFont val="Verdana"/>
            <family val="2"/>
          </rPr>
          <t xml:space="preserve">
note related, but independent study of 12433 and 9023</t>
        </r>
      </text>
    </comment>
    <comment ref="I158" authorId="8" shapeId="0" xr:uid="{00000000-0006-0000-0600-000019010000}">
      <text>
        <r>
          <rPr>
            <b/>
            <sz val="9"/>
            <color indexed="81"/>
            <rFont val="Tahoma"/>
            <family val="2"/>
          </rPr>
          <t>Quach, Pauline:</t>
        </r>
        <r>
          <rPr>
            <sz val="9"/>
            <color indexed="81"/>
            <rFont val="Tahoma"/>
            <family val="2"/>
          </rPr>
          <t xml:space="preserve">
clinicaltrails.gov</t>
        </r>
      </text>
    </comment>
    <comment ref="I159" authorId="8" shapeId="0" xr:uid="{00000000-0006-0000-0600-00001A010000}">
      <text>
        <r>
          <rPr>
            <b/>
            <sz val="9"/>
            <color indexed="81"/>
            <rFont val="Tahoma"/>
            <family val="2"/>
          </rPr>
          <t>Quach, Pauline:</t>
        </r>
        <r>
          <rPr>
            <sz val="9"/>
            <color indexed="81"/>
            <rFont val="Tahoma"/>
            <family val="2"/>
          </rPr>
          <t xml:space="preserve">
FOUND on clinicaltrials.gov</t>
        </r>
      </text>
    </comment>
    <comment ref="M159" authorId="9" shapeId="0" xr:uid="{00000000-0006-0000-0600-00001B010000}">
      <text>
        <r>
          <rPr>
            <b/>
            <sz val="9"/>
            <color indexed="81"/>
            <rFont val="Tahoma"/>
            <family val="2"/>
          </rPr>
          <t>pauline.quach:</t>
        </r>
        <r>
          <rPr>
            <sz val="9"/>
            <color indexed="81"/>
            <rFont val="Tahoma"/>
            <family val="2"/>
          </rPr>
          <t xml:space="preserve">
Recruitment ended Dec 2006, with longested duration of follow up being 12 mo, so approx study end date is Dec 2007.</t>
        </r>
      </text>
    </comment>
    <comment ref="S159" authorId="8" shapeId="0" xr:uid="{00000000-0006-0000-0600-00001C010000}">
      <text>
        <r>
          <rPr>
            <b/>
            <sz val="9"/>
            <color indexed="81"/>
            <rFont val="Tahoma"/>
            <family val="2"/>
          </rPr>
          <t>Quach, Pauline:</t>
        </r>
        <r>
          <rPr>
            <sz val="9"/>
            <color indexed="81"/>
            <rFont val="Tahoma"/>
            <family val="2"/>
          </rPr>
          <t xml:space="preserve">
Also had HTN</t>
        </r>
      </text>
    </comment>
    <comment ref="I160" authorId="8" shapeId="0" xr:uid="{00000000-0006-0000-0600-00001D010000}">
      <text>
        <r>
          <rPr>
            <b/>
            <sz val="9"/>
            <color indexed="81"/>
            <rFont val="Tahoma"/>
            <family val="2"/>
          </rPr>
          <t>Quach, Pauline:</t>
        </r>
        <r>
          <rPr>
            <sz val="9"/>
            <color indexed="81"/>
            <rFont val="Tahoma"/>
            <family val="2"/>
          </rPr>
          <t xml:space="preserve">
clinicaltrials.gov</t>
        </r>
      </text>
    </comment>
    <comment ref="M160" authorId="8" shapeId="0" xr:uid="{00000000-0006-0000-0600-00001E010000}">
      <text>
        <r>
          <rPr>
            <b/>
            <sz val="9"/>
            <color indexed="81"/>
            <rFont val="Tahoma"/>
            <family val="2"/>
          </rPr>
          <t>Quach, Pauline:</t>
        </r>
        <r>
          <rPr>
            <sz val="9"/>
            <color indexed="81"/>
            <rFont val="Tahoma"/>
            <family val="2"/>
          </rPr>
          <t xml:space="preserve">
Patients idenfied between March 2006-November 2008. Intervention lasted 12 mo, so last year of study conduct is Nov 2009.</t>
        </r>
      </text>
    </comment>
    <comment ref="S160" authorId="8" shapeId="0" xr:uid="{00000000-0006-0000-0600-00001F010000}">
      <text>
        <r>
          <rPr>
            <b/>
            <sz val="9"/>
            <color indexed="81"/>
            <rFont val="Tahoma"/>
            <family val="2"/>
          </rPr>
          <t>Quach, Pauline:</t>
        </r>
        <r>
          <rPr>
            <sz val="9"/>
            <color indexed="81"/>
            <rFont val="Tahoma"/>
            <family val="2"/>
          </rPr>
          <t xml:space="preserve">
with depression</t>
        </r>
      </text>
    </comment>
    <comment ref="M161" authorId="8" shapeId="0" xr:uid="{00000000-0006-0000-0600-000020010000}">
      <text>
        <r>
          <rPr>
            <b/>
            <sz val="9"/>
            <color indexed="81"/>
            <rFont val="Tahoma"/>
            <family val="2"/>
          </rPr>
          <t>Quach, Pauline:</t>
        </r>
        <r>
          <rPr>
            <sz val="9"/>
            <color indexed="81"/>
            <rFont val="Tahoma"/>
            <family val="2"/>
          </rPr>
          <t xml:space="preserve">
Year of publication</t>
        </r>
      </text>
    </comment>
    <comment ref="O161" authorId="8" shapeId="0" xr:uid="{00000000-0006-0000-0600-000021010000}">
      <text>
        <r>
          <rPr>
            <b/>
            <sz val="9"/>
            <color indexed="81"/>
            <rFont val="Tahoma"/>
            <family val="2"/>
          </rPr>
          <t>Quach, Pauline:</t>
        </r>
        <r>
          <rPr>
            <sz val="9"/>
            <color indexed="81"/>
            <rFont val="Tahoma"/>
            <family val="2"/>
          </rPr>
          <t xml:space="preserve">
Only provided per arm, not for whole study</t>
        </r>
      </text>
    </comment>
    <comment ref="P161" authorId="8" shapeId="0" xr:uid="{00000000-0006-0000-0600-000022010000}">
      <text>
        <r>
          <rPr>
            <b/>
            <sz val="9"/>
            <color indexed="81"/>
            <rFont val="Tahoma"/>
            <family val="2"/>
          </rPr>
          <t>Quach, Pauline:</t>
        </r>
        <r>
          <rPr>
            <sz val="9"/>
            <color indexed="81"/>
            <rFont val="Tahoma"/>
            <family val="2"/>
          </rPr>
          <t xml:space="preserve">
Only provided per arm, not for whole study</t>
        </r>
      </text>
    </comment>
    <comment ref="Q161" authorId="8" shapeId="0" xr:uid="{00000000-0006-0000-0600-000023010000}">
      <text>
        <r>
          <rPr>
            <b/>
            <sz val="9"/>
            <color indexed="81"/>
            <rFont val="Tahoma"/>
            <family val="2"/>
          </rPr>
          <t>Quach, Pauline:</t>
        </r>
        <r>
          <rPr>
            <sz val="9"/>
            <color indexed="81"/>
            <rFont val="Tahoma"/>
            <family val="2"/>
          </rPr>
          <t xml:space="preserve">
Only provided per arm, not for whole study</t>
        </r>
      </text>
    </comment>
    <comment ref="M162" authorId="9" shapeId="0" xr:uid="{00000000-0006-0000-0600-000024010000}">
      <text>
        <r>
          <rPr>
            <b/>
            <sz val="9"/>
            <color indexed="81"/>
            <rFont val="Tahoma"/>
            <family val="2"/>
          </rPr>
          <t>pauline.quach:</t>
        </r>
        <r>
          <rPr>
            <sz val="9"/>
            <color indexed="81"/>
            <rFont val="Tahoma"/>
            <family val="2"/>
          </rPr>
          <t xml:space="preserve">
Year of publication. 
They say adults who were apart of the practice between 2007-2009 were included, but we don’t' know if this is enrollement date, and what the last year of conduct was.</t>
        </r>
      </text>
    </comment>
    <comment ref="O162" authorId="8" shapeId="0" xr:uid="{00000000-0006-0000-0600-000025010000}">
      <text>
        <r>
          <rPr>
            <b/>
            <sz val="9"/>
            <color indexed="81"/>
            <rFont val="Tahoma"/>
            <family val="2"/>
          </rPr>
          <t>Quach, Pauline:</t>
        </r>
        <r>
          <rPr>
            <sz val="9"/>
            <color indexed="81"/>
            <rFont val="Tahoma"/>
            <family val="2"/>
          </rPr>
          <t xml:space="preserve">
Only provided per arm, not for whole study</t>
        </r>
      </text>
    </comment>
    <comment ref="P162" authorId="8" shapeId="0" xr:uid="{00000000-0006-0000-0600-000026010000}">
      <text>
        <r>
          <rPr>
            <b/>
            <sz val="9"/>
            <color indexed="81"/>
            <rFont val="Tahoma"/>
            <family val="2"/>
          </rPr>
          <t>Quach, Pauline:</t>
        </r>
        <r>
          <rPr>
            <sz val="9"/>
            <color indexed="81"/>
            <rFont val="Tahoma"/>
            <family val="2"/>
          </rPr>
          <t xml:space="preserve">
Only provided per arm, not for whole study</t>
        </r>
      </text>
    </comment>
    <comment ref="Q162" authorId="8" shapeId="0" xr:uid="{00000000-0006-0000-0600-000027010000}">
      <text>
        <r>
          <rPr>
            <b/>
            <sz val="9"/>
            <color indexed="81"/>
            <rFont val="Tahoma"/>
            <family val="2"/>
          </rPr>
          <t>Quach, Pauline:</t>
        </r>
        <r>
          <rPr>
            <sz val="9"/>
            <color indexed="81"/>
            <rFont val="Tahoma"/>
            <family val="2"/>
          </rPr>
          <t xml:space="preserve">
Only provided per arm, not for whole study</t>
        </r>
      </text>
    </comment>
    <comment ref="M163" authorId="8" shapeId="0" xr:uid="{00000000-0006-0000-0600-000028010000}">
      <text>
        <r>
          <rPr>
            <b/>
            <sz val="9"/>
            <color indexed="81"/>
            <rFont val="Tahoma"/>
            <family val="2"/>
          </rPr>
          <t>Quach, Pauline:</t>
        </r>
        <r>
          <rPr>
            <sz val="9"/>
            <color indexed="81"/>
            <rFont val="Tahoma"/>
            <family val="2"/>
          </rPr>
          <t xml:space="preserve">
Year of publication</t>
        </r>
      </text>
    </comment>
    <comment ref="O163" authorId="8" shapeId="0" xr:uid="{00000000-0006-0000-0600-000029010000}">
      <text>
        <r>
          <rPr>
            <b/>
            <sz val="9"/>
            <color indexed="81"/>
            <rFont val="Tahoma"/>
            <family val="2"/>
          </rPr>
          <t>Quach, Pauline:</t>
        </r>
        <r>
          <rPr>
            <sz val="9"/>
            <color indexed="81"/>
            <rFont val="Tahoma"/>
            <family val="2"/>
          </rPr>
          <t xml:space="preserve">
Only provided per arm, not for whole study</t>
        </r>
      </text>
    </comment>
    <comment ref="P163" authorId="8" shapeId="0" xr:uid="{00000000-0006-0000-0600-00002A010000}">
      <text>
        <r>
          <rPr>
            <b/>
            <sz val="9"/>
            <color indexed="81"/>
            <rFont val="Tahoma"/>
            <family val="2"/>
          </rPr>
          <t>Quach, Pauline:</t>
        </r>
        <r>
          <rPr>
            <sz val="9"/>
            <color indexed="81"/>
            <rFont val="Tahoma"/>
            <family val="2"/>
          </rPr>
          <t xml:space="preserve">
Only provided per arm, not for whole study</t>
        </r>
      </text>
    </comment>
    <comment ref="Q163" authorId="8" shapeId="0" xr:uid="{00000000-0006-0000-0600-00002B010000}">
      <text>
        <r>
          <rPr>
            <b/>
            <sz val="9"/>
            <color indexed="81"/>
            <rFont val="Tahoma"/>
            <family val="2"/>
          </rPr>
          <t>Quach, Pauline:</t>
        </r>
        <r>
          <rPr>
            <sz val="9"/>
            <color indexed="81"/>
            <rFont val="Tahoma"/>
            <family val="2"/>
          </rPr>
          <t xml:space="preserve">
Only provided per arm, not for whole study</t>
        </r>
      </text>
    </comment>
    <comment ref="M164" authorId="8" shapeId="0" xr:uid="{00000000-0006-0000-0600-00002C010000}">
      <text>
        <r>
          <rPr>
            <b/>
            <sz val="9"/>
            <color indexed="81"/>
            <rFont val="Tahoma"/>
            <family val="2"/>
          </rPr>
          <t>Quach, Pauline:</t>
        </r>
        <r>
          <rPr>
            <sz val="9"/>
            <color indexed="81"/>
            <rFont val="Tahoma"/>
            <family val="2"/>
          </rPr>
          <t xml:space="preserve">
Year of publication</t>
        </r>
      </text>
    </comment>
    <comment ref="O164" authorId="3" shapeId="0" xr:uid="{00000000-0006-0000-0600-00002D010000}">
      <text>
        <r>
          <rPr>
            <b/>
            <sz val="9"/>
            <color indexed="81"/>
            <rFont val="Verdana"/>
            <family val="2"/>
          </rPr>
          <t>Kristin Danko:</t>
        </r>
        <r>
          <rPr>
            <sz val="9"/>
            <color indexed="81"/>
            <rFont val="Verdana"/>
            <family val="2"/>
          </rPr>
          <t xml:space="preserve">
only report at arm level; not study as a whole</t>
        </r>
      </text>
    </comment>
    <comment ref="P164" authorId="3" shapeId="0" xr:uid="{00000000-0006-0000-0600-00002E010000}">
      <text>
        <r>
          <rPr>
            <b/>
            <sz val="9"/>
            <color indexed="81"/>
            <rFont val="Verdana"/>
            <family val="2"/>
          </rPr>
          <t>Kristin Danko:</t>
        </r>
        <r>
          <rPr>
            <sz val="9"/>
            <color indexed="81"/>
            <rFont val="Verdana"/>
            <family val="2"/>
          </rPr>
          <t xml:space="preserve">
only report at arm level; not study as a whole</t>
        </r>
      </text>
    </comment>
    <comment ref="Q164" authorId="3" shapeId="0" xr:uid="{00000000-0006-0000-0600-00002F010000}">
      <text>
        <r>
          <rPr>
            <b/>
            <sz val="9"/>
            <color indexed="81"/>
            <rFont val="Verdana"/>
            <family val="2"/>
          </rPr>
          <t>Kristin Danko:</t>
        </r>
        <r>
          <rPr>
            <sz val="9"/>
            <color indexed="81"/>
            <rFont val="Verdana"/>
            <family val="2"/>
          </rPr>
          <t xml:space="preserve">
only report at arm level; not study as a whole</t>
        </r>
      </text>
    </comment>
    <comment ref="I165" authorId="8" shapeId="0" xr:uid="{00000000-0006-0000-0600-000030010000}">
      <text>
        <r>
          <rPr>
            <b/>
            <sz val="9"/>
            <color indexed="81"/>
            <rFont val="Tahoma"/>
            <family val="2"/>
          </rPr>
          <t>Quach, Pauline:</t>
        </r>
        <r>
          <rPr>
            <sz val="9"/>
            <color indexed="81"/>
            <rFont val="Tahoma"/>
            <family val="2"/>
          </rPr>
          <t xml:space="preserve">
They refer to a publication in text of a published protocol. In references, they also provide a trial registry no. This protocol is for an overall study, in which they report results for sub-group of diabetic patients here.</t>
        </r>
      </text>
    </comment>
    <comment ref="O165" authorId="8" shapeId="0" xr:uid="{00000000-0006-0000-0600-000031010000}">
      <text>
        <r>
          <rPr>
            <b/>
            <sz val="9"/>
            <color indexed="81"/>
            <rFont val="Tahoma"/>
            <family val="2"/>
          </rPr>
          <t>Quach, Pauline:</t>
        </r>
        <r>
          <rPr>
            <sz val="9"/>
            <color indexed="81"/>
            <rFont val="Tahoma"/>
            <family val="2"/>
          </rPr>
          <t xml:space="preserve">
Only provided per arm, not for whole study</t>
        </r>
      </text>
    </comment>
    <comment ref="P165" authorId="8" shapeId="0" xr:uid="{00000000-0006-0000-0600-000032010000}">
      <text>
        <r>
          <rPr>
            <b/>
            <sz val="9"/>
            <color indexed="81"/>
            <rFont val="Tahoma"/>
            <family val="2"/>
          </rPr>
          <t>Quach, Pauline:</t>
        </r>
        <r>
          <rPr>
            <sz val="9"/>
            <color indexed="81"/>
            <rFont val="Tahoma"/>
            <family val="2"/>
          </rPr>
          <t xml:space="preserve">
Only provided per arm, not for whole study</t>
        </r>
      </text>
    </comment>
    <comment ref="Q165" authorId="8" shapeId="0" xr:uid="{00000000-0006-0000-0600-000033010000}">
      <text>
        <r>
          <rPr>
            <b/>
            <sz val="9"/>
            <color indexed="81"/>
            <rFont val="Tahoma"/>
            <family val="2"/>
          </rPr>
          <t>Quach, Pauline:</t>
        </r>
        <r>
          <rPr>
            <sz val="9"/>
            <color indexed="81"/>
            <rFont val="Tahoma"/>
            <family val="2"/>
          </rPr>
          <t xml:space="preserve">
Only provided per arm, not for whole study</t>
        </r>
      </text>
    </comment>
    <comment ref="S165" authorId="8" shapeId="0" xr:uid="{00000000-0006-0000-0600-000034010000}">
      <text>
        <r>
          <rPr>
            <b/>
            <sz val="9"/>
            <color indexed="81"/>
            <rFont val="Tahoma"/>
            <family val="2"/>
          </rPr>
          <t>Quach, Pauline:</t>
        </r>
        <r>
          <rPr>
            <sz val="9"/>
            <color indexed="81"/>
            <rFont val="Tahoma"/>
            <family val="2"/>
          </rPr>
          <t xml:space="preserve">
with depression</t>
        </r>
      </text>
    </comment>
    <comment ref="M166" authorId="8" shapeId="0" xr:uid="{00000000-0006-0000-0600-000035010000}">
      <text>
        <r>
          <rPr>
            <b/>
            <sz val="9"/>
            <color indexed="81"/>
            <rFont val="Tahoma"/>
            <family val="2"/>
          </rPr>
          <t>Quach, Pauline:</t>
        </r>
        <r>
          <rPr>
            <sz val="9"/>
            <color indexed="81"/>
            <rFont val="Tahoma"/>
            <family val="2"/>
          </rPr>
          <t xml:space="preserve">
Year of publication</t>
        </r>
      </text>
    </comment>
    <comment ref="O166" authorId="8" shapeId="0" xr:uid="{00000000-0006-0000-0600-000036010000}">
      <text>
        <r>
          <rPr>
            <b/>
            <sz val="9"/>
            <color indexed="81"/>
            <rFont val="Tahoma"/>
            <family val="2"/>
          </rPr>
          <t>Quach, Pauline:</t>
        </r>
        <r>
          <rPr>
            <sz val="9"/>
            <color indexed="81"/>
            <rFont val="Tahoma"/>
            <family val="2"/>
          </rPr>
          <t xml:space="preserve">
Only provided per arm, not for whole study</t>
        </r>
      </text>
    </comment>
    <comment ref="P166" authorId="8" shapeId="0" xr:uid="{00000000-0006-0000-0600-000037010000}">
      <text>
        <r>
          <rPr>
            <b/>
            <sz val="9"/>
            <color indexed="81"/>
            <rFont val="Tahoma"/>
            <family val="2"/>
          </rPr>
          <t>Quach, Pauline:</t>
        </r>
        <r>
          <rPr>
            <sz val="9"/>
            <color indexed="81"/>
            <rFont val="Tahoma"/>
            <family val="2"/>
          </rPr>
          <t xml:space="preserve">
Only provided per arm, not for whole study</t>
        </r>
      </text>
    </comment>
    <comment ref="Q166" authorId="8" shapeId="0" xr:uid="{00000000-0006-0000-0600-000038010000}">
      <text>
        <r>
          <rPr>
            <b/>
            <sz val="9"/>
            <color indexed="81"/>
            <rFont val="Tahoma"/>
            <family val="2"/>
          </rPr>
          <t>Quach, Pauline:</t>
        </r>
        <r>
          <rPr>
            <sz val="9"/>
            <color indexed="81"/>
            <rFont val="Tahoma"/>
            <family val="2"/>
          </rPr>
          <t xml:space="preserve">
Only provided per arm, not for whole study</t>
        </r>
      </text>
    </comment>
    <comment ref="M167" authorId="8" shapeId="0" xr:uid="{00000000-0006-0000-0600-000039010000}">
      <text>
        <r>
          <rPr>
            <b/>
            <sz val="9"/>
            <color indexed="81"/>
            <rFont val="Tahoma"/>
            <family val="2"/>
          </rPr>
          <t>Quach, Pauline:</t>
        </r>
        <r>
          <rPr>
            <sz val="9"/>
            <color indexed="81"/>
            <rFont val="Tahoma"/>
            <family val="2"/>
          </rPr>
          <t xml:space="preserve">
Year of publication</t>
        </r>
      </text>
    </comment>
    <comment ref="O167" authorId="8" shapeId="0" xr:uid="{00000000-0006-0000-0600-00003A010000}">
      <text>
        <r>
          <rPr>
            <b/>
            <sz val="9"/>
            <color indexed="81"/>
            <rFont val="Tahoma"/>
            <family val="2"/>
          </rPr>
          <t>Quach, Pauline:</t>
        </r>
        <r>
          <rPr>
            <sz val="9"/>
            <color indexed="81"/>
            <rFont val="Tahoma"/>
            <family val="2"/>
          </rPr>
          <t xml:space="preserve">
Only provided per arm, not for whole study</t>
        </r>
      </text>
    </comment>
    <comment ref="P167" authorId="8" shapeId="0" xr:uid="{00000000-0006-0000-0600-00003B010000}">
      <text>
        <r>
          <rPr>
            <b/>
            <sz val="9"/>
            <color indexed="81"/>
            <rFont val="Tahoma"/>
            <family val="2"/>
          </rPr>
          <t>Quach, Pauline:</t>
        </r>
        <r>
          <rPr>
            <sz val="9"/>
            <color indexed="81"/>
            <rFont val="Tahoma"/>
            <family val="2"/>
          </rPr>
          <t xml:space="preserve">
Only provided per arm, not for whole study</t>
        </r>
      </text>
    </comment>
    <comment ref="Q167" authorId="8" shapeId="0" xr:uid="{00000000-0006-0000-0600-00003C010000}">
      <text>
        <r>
          <rPr>
            <b/>
            <sz val="9"/>
            <color indexed="81"/>
            <rFont val="Tahoma"/>
            <family val="2"/>
          </rPr>
          <t>Quach, Pauline:</t>
        </r>
        <r>
          <rPr>
            <sz val="9"/>
            <color indexed="81"/>
            <rFont val="Tahoma"/>
            <family val="2"/>
          </rPr>
          <t xml:space="preserve">
Only provided per arm, not for whole study</t>
        </r>
      </text>
    </comment>
    <comment ref="T167" authorId="8" shapeId="0" xr:uid="{00000000-0006-0000-0600-00003D010000}">
      <text>
        <r>
          <rPr>
            <b/>
            <sz val="9"/>
            <color indexed="81"/>
            <rFont val="Tahoma"/>
            <family val="2"/>
          </rPr>
          <t>Quach, Pauline:</t>
        </r>
        <r>
          <rPr>
            <sz val="9"/>
            <color indexed="81"/>
            <rFont val="Tahoma"/>
            <family val="2"/>
          </rPr>
          <t xml:space="preserve">
It was noted that 74 patients were recruited, but only 47 remained after attrition. Don't know if 74 were randomized (or tested for eligibility), or whether the 47 were randomized</t>
        </r>
      </text>
    </comment>
    <comment ref="I168" authorId="8" shapeId="0" xr:uid="{00000000-0006-0000-0600-00003E010000}">
      <text>
        <r>
          <rPr>
            <b/>
            <sz val="9"/>
            <color indexed="81"/>
            <rFont val="Tahoma"/>
            <family val="2"/>
          </rPr>
          <t>Quach, Pauline:</t>
        </r>
        <r>
          <rPr>
            <sz val="9"/>
            <color indexed="81"/>
            <rFont val="Tahoma"/>
            <family val="2"/>
          </rPr>
          <t xml:space="preserve">
clinicaltrials.gov</t>
        </r>
      </text>
    </comment>
    <comment ref="I169" authorId="8" shapeId="0" xr:uid="{00000000-0006-0000-0600-00003F010000}">
      <text>
        <r>
          <rPr>
            <b/>
            <sz val="9"/>
            <color indexed="81"/>
            <rFont val="Tahoma"/>
            <family val="2"/>
          </rPr>
          <t>Quach, Pauline:</t>
        </r>
        <r>
          <rPr>
            <sz val="9"/>
            <color indexed="81"/>
            <rFont val="Tahoma"/>
            <family val="2"/>
          </rPr>
          <t xml:space="preserve">
clinicaltrials.gov</t>
        </r>
      </text>
    </comment>
    <comment ref="O169" authorId="8" shapeId="0" xr:uid="{00000000-0006-0000-0600-000040010000}">
      <text>
        <r>
          <rPr>
            <b/>
            <sz val="9"/>
            <color indexed="81"/>
            <rFont val="Tahoma"/>
            <family val="2"/>
          </rPr>
          <t>Quach, Pauline:</t>
        </r>
        <r>
          <rPr>
            <sz val="9"/>
            <color indexed="81"/>
            <rFont val="Tahoma"/>
            <family val="2"/>
          </rPr>
          <t xml:space="preserve">
Only provided per arm, not for whole study</t>
        </r>
      </text>
    </comment>
    <comment ref="P169" authorId="8" shapeId="0" xr:uid="{00000000-0006-0000-0600-000041010000}">
      <text>
        <r>
          <rPr>
            <b/>
            <sz val="9"/>
            <color indexed="81"/>
            <rFont val="Tahoma"/>
            <family val="2"/>
          </rPr>
          <t>Quach, Pauline:</t>
        </r>
        <r>
          <rPr>
            <sz val="9"/>
            <color indexed="81"/>
            <rFont val="Tahoma"/>
            <family val="2"/>
          </rPr>
          <t xml:space="preserve">
Only provided per arm, not for whole study</t>
        </r>
      </text>
    </comment>
    <comment ref="Q169" authorId="8" shapeId="0" xr:uid="{00000000-0006-0000-0600-000042010000}">
      <text>
        <r>
          <rPr>
            <b/>
            <sz val="9"/>
            <color indexed="81"/>
            <rFont val="Tahoma"/>
            <family val="2"/>
          </rPr>
          <t>Quach, Pauline:</t>
        </r>
        <r>
          <rPr>
            <sz val="9"/>
            <color indexed="81"/>
            <rFont val="Tahoma"/>
            <family val="2"/>
          </rPr>
          <t xml:space="preserve">
Only provided per arm, not for whole study</t>
        </r>
      </text>
    </comment>
    <comment ref="A170" authorId="3" shapeId="0" xr:uid="{00000000-0006-0000-0600-000043010000}">
      <text>
        <r>
          <rPr>
            <b/>
            <sz val="9"/>
            <color indexed="81"/>
            <rFont val="Verdana"/>
            <family val="2"/>
          </rPr>
          <t>Kristin Danko:</t>
        </r>
        <r>
          <rPr>
            <sz val="9"/>
            <color indexed="81"/>
            <rFont val="Verdana"/>
            <family val="2"/>
          </rPr>
          <t xml:space="preserve">
Note, there is another study (12174) called ERIC - different acronymn, different study - NOT copubs</t>
        </r>
      </text>
    </comment>
    <comment ref="I170" authorId="8" shapeId="0" xr:uid="{00000000-0006-0000-0600-000044010000}">
      <text>
        <r>
          <rPr>
            <b/>
            <sz val="9"/>
            <color indexed="81"/>
            <rFont val="Tahoma"/>
            <family val="2"/>
          </rPr>
          <t>Quach, Pauline:</t>
        </r>
        <r>
          <rPr>
            <sz val="9"/>
            <color indexed="81"/>
            <rFont val="Tahoma"/>
            <family val="2"/>
          </rPr>
          <t xml:space="preserve">
clinicaltrials.gov</t>
        </r>
      </text>
    </comment>
    <comment ref="M170" authorId="9" shapeId="0" xr:uid="{00000000-0006-0000-0600-000045010000}">
      <text>
        <r>
          <rPr>
            <b/>
            <sz val="9"/>
            <color indexed="81"/>
            <rFont val="Tahoma"/>
            <family val="2"/>
          </rPr>
          <t>pauline.quach:</t>
        </r>
        <r>
          <rPr>
            <sz val="9"/>
            <color indexed="81"/>
            <rFont val="Tahoma"/>
            <family val="2"/>
          </rPr>
          <t xml:space="preserve">
Recruitment ended 2008 , longest duration of follow up was 12 mo, so approx study end date was 2009.</t>
        </r>
      </text>
    </comment>
    <comment ref="O170" authorId="8" shapeId="0" xr:uid="{00000000-0006-0000-0600-000046010000}">
      <text>
        <r>
          <rPr>
            <b/>
            <sz val="9"/>
            <color indexed="81"/>
            <rFont val="Tahoma"/>
            <family val="2"/>
          </rPr>
          <t>Quach, Pauline:</t>
        </r>
        <r>
          <rPr>
            <sz val="9"/>
            <color indexed="81"/>
            <rFont val="Tahoma"/>
            <family val="2"/>
          </rPr>
          <t xml:space="preserve">
Only provided per arm, not for whole study</t>
        </r>
      </text>
    </comment>
    <comment ref="P170" authorId="8" shapeId="0" xr:uid="{00000000-0006-0000-0600-000047010000}">
      <text>
        <r>
          <rPr>
            <b/>
            <sz val="9"/>
            <color indexed="81"/>
            <rFont val="Tahoma"/>
            <family val="2"/>
          </rPr>
          <t>Quach, Pauline:</t>
        </r>
        <r>
          <rPr>
            <sz val="9"/>
            <color indexed="81"/>
            <rFont val="Tahoma"/>
            <family val="2"/>
          </rPr>
          <t xml:space="preserve">
Only provided per arm, not for whole study</t>
        </r>
      </text>
    </comment>
    <comment ref="M171" authorId="3" shapeId="0" xr:uid="{00000000-0006-0000-0600-000048010000}">
      <text>
        <r>
          <rPr>
            <b/>
            <sz val="9"/>
            <color indexed="81"/>
            <rFont val="Verdana"/>
            <family val="2"/>
          </rPr>
          <t>Kristin Danko:</t>
        </r>
        <r>
          <rPr>
            <sz val="9"/>
            <color indexed="81"/>
            <rFont val="Verdana"/>
            <family val="2"/>
          </rPr>
          <t xml:space="preserve">
yr of publication</t>
        </r>
      </text>
    </comment>
    <comment ref="I172" authorId="8" shapeId="0" xr:uid="{00000000-0006-0000-0600-000049010000}">
      <text>
        <r>
          <rPr>
            <b/>
            <sz val="9"/>
            <color indexed="81"/>
            <rFont val="Tahoma"/>
            <family val="2"/>
          </rPr>
          <t>Quach, Pauline:</t>
        </r>
        <r>
          <rPr>
            <sz val="9"/>
            <color indexed="81"/>
            <rFont val="Tahoma"/>
            <family val="2"/>
          </rPr>
          <t xml:space="preserve">
www.
ISRCTN.org.</t>
        </r>
      </text>
    </comment>
    <comment ref="L174" authorId="3" shapeId="0" xr:uid="{00000000-0006-0000-0600-00004A010000}">
      <text>
        <r>
          <rPr>
            <b/>
            <sz val="9"/>
            <color indexed="81"/>
            <rFont val="Verdana"/>
            <family val="2"/>
          </rPr>
          <t>Kristin Danko:</t>
        </r>
        <r>
          <rPr>
            <sz val="9"/>
            <color indexed="81"/>
            <rFont val="Verdana"/>
            <family val="2"/>
          </rPr>
          <t xml:space="preserve">
34 primary care practices randomized, but do not specify number of physicians at each practice</t>
        </r>
      </text>
    </comment>
    <comment ref="M174" authorId="8" shapeId="0" xr:uid="{00000000-0006-0000-0600-00004B010000}">
      <text>
        <r>
          <rPr>
            <b/>
            <sz val="9"/>
            <color indexed="81"/>
            <rFont val="Tahoma"/>
            <family val="2"/>
          </rPr>
          <t>Quach, Pauline:</t>
        </r>
        <r>
          <rPr>
            <sz val="9"/>
            <color indexed="81"/>
            <rFont val="Tahoma"/>
            <family val="2"/>
          </rPr>
          <t xml:space="preserve">
Year of publication</t>
        </r>
      </text>
    </comment>
    <comment ref="V174" authorId="8" shapeId="0" xr:uid="{00000000-0006-0000-0600-00004C010000}">
      <text>
        <r>
          <rPr>
            <b/>
            <sz val="9"/>
            <color indexed="81"/>
            <rFont val="Tahoma"/>
            <family val="2"/>
          </rPr>
          <t>Quach, Pauline:</t>
        </r>
        <r>
          <rPr>
            <sz val="9"/>
            <color indexed="81"/>
            <rFont val="Tahoma"/>
            <family val="2"/>
          </rPr>
          <t xml:space="preserve">
# randomized after excluded for ineligibility</t>
        </r>
      </text>
    </comment>
    <comment ref="W174" authorId="8" shapeId="0" xr:uid="{00000000-0006-0000-0600-00004D010000}">
      <text>
        <r>
          <rPr>
            <b/>
            <sz val="9"/>
            <color indexed="81"/>
            <rFont val="Tahoma"/>
            <family val="2"/>
          </rPr>
          <t>Quach, Pauline:</t>
        </r>
        <r>
          <rPr>
            <sz val="9"/>
            <color indexed="81"/>
            <rFont val="Tahoma"/>
            <family val="2"/>
          </rPr>
          <t xml:space="preserve">
# randomized after excluded for ineligibility</t>
        </r>
      </text>
    </comment>
    <comment ref="I175" authorId="8" shapeId="0" xr:uid="{00000000-0006-0000-0600-00004E010000}">
      <text>
        <r>
          <rPr>
            <b/>
            <sz val="9"/>
            <color indexed="81"/>
            <rFont val="Tahoma"/>
            <family val="2"/>
          </rPr>
          <t>Quach, Pauline:</t>
        </r>
        <r>
          <rPr>
            <sz val="9"/>
            <color indexed="81"/>
            <rFont val="Tahoma"/>
            <family val="2"/>
          </rPr>
          <t xml:space="preserve">
clinicaltrials.gov</t>
        </r>
      </text>
    </comment>
    <comment ref="M175" authorId="8" shapeId="0" xr:uid="{00000000-0006-0000-0600-00004F010000}">
      <text>
        <r>
          <rPr>
            <b/>
            <sz val="9"/>
            <color indexed="81"/>
            <rFont val="Tahoma"/>
            <family val="2"/>
          </rPr>
          <t>Quach, Pauline:</t>
        </r>
        <r>
          <rPr>
            <sz val="9"/>
            <color indexed="81"/>
            <rFont val="Tahoma"/>
            <family val="2"/>
          </rPr>
          <t xml:space="preserve">
year of publication</t>
        </r>
      </text>
    </comment>
    <comment ref="O175" authorId="8" shapeId="0" xr:uid="{00000000-0006-0000-0600-000050010000}">
      <text>
        <r>
          <rPr>
            <b/>
            <sz val="9"/>
            <color indexed="81"/>
            <rFont val="Tahoma"/>
            <family val="2"/>
          </rPr>
          <t>Quach, Pauline:</t>
        </r>
        <r>
          <rPr>
            <sz val="9"/>
            <color indexed="81"/>
            <rFont val="Tahoma"/>
            <family val="2"/>
          </rPr>
          <t xml:space="preserve">
Only provided per arm, not for whole study</t>
        </r>
      </text>
    </comment>
    <comment ref="P175" authorId="8" shapeId="0" xr:uid="{00000000-0006-0000-0600-000051010000}">
      <text>
        <r>
          <rPr>
            <b/>
            <sz val="9"/>
            <color indexed="81"/>
            <rFont val="Tahoma"/>
            <family val="2"/>
          </rPr>
          <t>Quach, Pauline:</t>
        </r>
        <r>
          <rPr>
            <sz val="9"/>
            <color indexed="81"/>
            <rFont val="Tahoma"/>
            <family val="2"/>
          </rPr>
          <t xml:space="preserve">
Only provided per arm, not for whole study</t>
        </r>
      </text>
    </comment>
    <comment ref="Q175" authorId="8" shapeId="0" xr:uid="{00000000-0006-0000-0600-000052010000}">
      <text>
        <r>
          <rPr>
            <b/>
            <sz val="9"/>
            <color indexed="81"/>
            <rFont val="Tahoma"/>
            <family val="2"/>
          </rPr>
          <t>Quach, Pauline:</t>
        </r>
        <r>
          <rPr>
            <sz val="9"/>
            <color indexed="81"/>
            <rFont val="Tahoma"/>
            <family val="2"/>
          </rPr>
          <t xml:space="preserve">
Only provided per arm, not for whole study</t>
        </r>
      </text>
    </comment>
    <comment ref="I176" authorId="8" shapeId="0" xr:uid="{00000000-0006-0000-0600-000053010000}">
      <text>
        <r>
          <rPr>
            <b/>
            <sz val="9"/>
            <color indexed="81"/>
            <rFont val="Tahoma"/>
            <family val="2"/>
          </rPr>
          <t>Quach, Pauline:</t>
        </r>
        <r>
          <rPr>
            <sz val="9"/>
            <color indexed="81"/>
            <rFont val="Tahoma"/>
            <family val="2"/>
          </rPr>
          <t xml:space="preserve">
clinicaltrails.gov</t>
        </r>
      </text>
    </comment>
    <comment ref="M176" authorId="9" shapeId="0" xr:uid="{00000000-0006-0000-0600-000054010000}">
      <text>
        <r>
          <rPr>
            <b/>
            <sz val="9"/>
            <color indexed="81"/>
            <rFont val="Tahoma"/>
            <family val="2"/>
          </rPr>
          <t>pauline.quach:</t>
        </r>
        <r>
          <rPr>
            <sz val="9"/>
            <color indexed="81"/>
            <rFont val="Tahoma"/>
            <family val="2"/>
          </rPr>
          <t xml:space="preserve">
enrollement until July 2005, and study lasted 4 months, so approx end date is Nov 2005.</t>
        </r>
      </text>
    </comment>
    <comment ref="O176" authorId="8" shapeId="0" xr:uid="{00000000-0006-0000-0600-000055010000}">
      <text>
        <r>
          <rPr>
            <b/>
            <sz val="9"/>
            <color indexed="81"/>
            <rFont val="Tahoma"/>
            <family val="2"/>
          </rPr>
          <t>Quach, Pauline:</t>
        </r>
        <r>
          <rPr>
            <sz val="9"/>
            <color indexed="81"/>
            <rFont val="Tahoma"/>
            <family val="2"/>
          </rPr>
          <t xml:space="preserve">
Only provided per arm, not for whole study</t>
        </r>
      </text>
    </comment>
    <comment ref="P176" authorId="8" shapeId="0" xr:uid="{00000000-0006-0000-0600-000056010000}">
      <text>
        <r>
          <rPr>
            <b/>
            <sz val="9"/>
            <color indexed="81"/>
            <rFont val="Tahoma"/>
            <family val="2"/>
          </rPr>
          <t>Quach, Pauline:</t>
        </r>
        <r>
          <rPr>
            <sz val="9"/>
            <color indexed="81"/>
            <rFont val="Tahoma"/>
            <family val="2"/>
          </rPr>
          <t xml:space="preserve">
Only provided per arm, not for whole study</t>
        </r>
      </text>
    </comment>
    <comment ref="Q176" authorId="8" shapeId="0" xr:uid="{00000000-0006-0000-0600-000057010000}">
      <text>
        <r>
          <rPr>
            <b/>
            <sz val="9"/>
            <color indexed="81"/>
            <rFont val="Tahoma"/>
            <family val="2"/>
          </rPr>
          <t>Quach, Pauline:</t>
        </r>
        <r>
          <rPr>
            <sz val="9"/>
            <color indexed="81"/>
            <rFont val="Tahoma"/>
            <family val="2"/>
          </rPr>
          <t xml:space="preserve">
Only provided per arm, not for whole study</t>
        </r>
      </text>
    </comment>
    <comment ref="I177" authorId="8" shapeId="0" xr:uid="{00000000-0006-0000-0600-000058010000}">
      <text>
        <r>
          <rPr>
            <b/>
            <sz val="9"/>
            <color indexed="81"/>
            <rFont val="Tahoma"/>
            <family val="2"/>
          </rPr>
          <t>Quach, Pauline:</t>
        </r>
        <r>
          <rPr>
            <sz val="9"/>
            <color indexed="81"/>
            <rFont val="Tahoma"/>
            <family val="2"/>
          </rPr>
          <t xml:space="preserve">
clinicaltrials.gov</t>
        </r>
      </text>
    </comment>
    <comment ref="M177" authorId="8" shapeId="0" xr:uid="{00000000-0006-0000-0600-000059010000}">
      <text>
        <r>
          <rPr>
            <b/>
            <sz val="9"/>
            <color indexed="81"/>
            <rFont val="Tahoma"/>
            <family val="2"/>
          </rPr>
          <t>Quach, Pauline:</t>
        </r>
        <r>
          <rPr>
            <sz val="9"/>
            <color indexed="81"/>
            <rFont val="Tahoma"/>
            <family val="2"/>
          </rPr>
          <t xml:space="preserve">
Year of publication</t>
        </r>
      </text>
    </comment>
    <comment ref="O177" authorId="8" shapeId="0" xr:uid="{00000000-0006-0000-0600-00005A010000}">
      <text>
        <r>
          <rPr>
            <b/>
            <sz val="9"/>
            <color indexed="81"/>
            <rFont val="Tahoma"/>
            <family val="2"/>
          </rPr>
          <t>Quach, Pauline:</t>
        </r>
        <r>
          <rPr>
            <sz val="9"/>
            <color indexed="81"/>
            <rFont val="Tahoma"/>
            <family val="2"/>
          </rPr>
          <t xml:space="preserve">
Only provided per arm, not for whole study</t>
        </r>
      </text>
    </comment>
    <comment ref="P177" authorId="8" shapeId="0" xr:uid="{00000000-0006-0000-0600-00005B010000}">
      <text>
        <r>
          <rPr>
            <b/>
            <sz val="9"/>
            <color indexed="81"/>
            <rFont val="Tahoma"/>
            <family val="2"/>
          </rPr>
          <t>Quach, Pauline:</t>
        </r>
        <r>
          <rPr>
            <sz val="9"/>
            <color indexed="81"/>
            <rFont val="Tahoma"/>
            <family val="2"/>
          </rPr>
          <t xml:space="preserve">
Only provided per arm, not for whole study</t>
        </r>
      </text>
    </comment>
    <comment ref="Q177" authorId="8" shapeId="0" xr:uid="{00000000-0006-0000-0600-00005C010000}">
      <text>
        <r>
          <rPr>
            <b/>
            <sz val="9"/>
            <color indexed="81"/>
            <rFont val="Tahoma"/>
            <family val="2"/>
          </rPr>
          <t>Quach, Pauline:</t>
        </r>
        <r>
          <rPr>
            <sz val="9"/>
            <color indexed="81"/>
            <rFont val="Tahoma"/>
            <family val="2"/>
          </rPr>
          <t xml:space="preserve">
Only provided per arm, not for whole study</t>
        </r>
      </text>
    </comment>
    <comment ref="S177" authorId="8" shapeId="0" xr:uid="{00000000-0006-0000-0600-00005D010000}">
      <text>
        <r>
          <rPr>
            <b/>
            <sz val="9"/>
            <color indexed="81"/>
            <rFont val="Tahoma"/>
            <family val="2"/>
          </rPr>
          <t>Quach, Pauline:</t>
        </r>
        <r>
          <rPr>
            <sz val="9"/>
            <color indexed="81"/>
            <rFont val="Tahoma"/>
            <family val="2"/>
          </rPr>
          <t xml:space="preserve">
included patients who had hypertension, hyperlipidemia, and /or diabetes.</t>
        </r>
      </text>
    </comment>
    <comment ref="T177" authorId="8" shapeId="0" xr:uid="{00000000-0006-0000-0600-00005E010000}">
      <text>
        <r>
          <rPr>
            <b/>
            <sz val="9"/>
            <color indexed="81"/>
            <rFont val="Tahoma"/>
            <family val="2"/>
          </rPr>
          <t>Quach, Pauline:</t>
        </r>
        <r>
          <rPr>
            <sz val="9"/>
            <color indexed="81"/>
            <rFont val="Tahoma"/>
            <family val="2"/>
          </rPr>
          <t xml:space="preserve">
PQ awaiting action- Recommended to combine both intervention arms for diabetic patients for hba1c, but they are means. I've changed it such that study characteristics reflect on those with diabetes</t>
        </r>
      </text>
    </comment>
    <comment ref="M178" authorId="8" shapeId="0" xr:uid="{00000000-0006-0000-0600-00005F010000}">
      <text>
        <r>
          <rPr>
            <b/>
            <sz val="9"/>
            <color indexed="81"/>
            <rFont val="Tahoma"/>
            <family val="2"/>
          </rPr>
          <t>Quach, Pauline:</t>
        </r>
        <r>
          <rPr>
            <sz val="9"/>
            <color indexed="81"/>
            <rFont val="Tahoma"/>
            <family val="2"/>
          </rPr>
          <t xml:space="preserve">
Year of publication</t>
        </r>
      </text>
    </comment>
    <comment ref="O178" authorId="8" shapeId="0" xr:uid="{00000000-0006-0000-0600-000060010000}">
      <text>
        <r>
          <rPr>
            <b/>
            <sz val="9"/>
            <color indexed="81"/>
            <rFont val="Tahoma"/>
            <family val="2"/>
          </rPr>
          <t>Quach, Pauline:</t>
        </r>
        <r>
          <rPr>
            <sz val="9"/>
            <color indexed="81"/>
            <rFont val="Tahoma"/>
            <family val="2"/>
          </rPr>
          <t xml:space="preserve">
Only provided per arm, not for whole study</t>
        </r>
      </text>
    </comment>
    <comment ref="P178" authorId="8" shapeId="0" xr:uid="{00000000-0006-0000-0600-000061010000}">
      <text>
        <r>
          <rPr>
            <b/>
            <sz val="9"/>
            <color indexed="81"/>
            <rFont val="Tahoma"/>
            <family val="2"/>
          </rPr>
          <t>Quach, Pauline:</t>
        </r>
        <r>
          <rPr>
            <sz val="9"/>
            <color indexed="81"/>
            <rFont val="Tahoma"/>
            <family val="2"/>
          </rPr>
          <t xml:space="preserve">
Only provided per arm, not for whole study</t>
        </r>
      </text>
    </comment>
    <comment ref="Q178" authorId="8" shapeId="0" xr:uid="{00000000-0006-0000-0600-000062010000}">
      <text>
        <r>
          <rPr>
            <b/>
            <sz val="9"/>
            <color indexed="81"/>
            <rFont val="Tahoma"/>
            <family val="2"/>
          </rPr>
          <t>Quach, Pauline:</t>
        </r>
        <r>
          <rPr>
            <sz val="9"/>
            <color indexed="81"/>
            <rFont val="Tahoma"/>
            <family val="2"/>
          </rPr>
          <t xml:space="preserve">
Only provided per arm, not for whole study</t>
        </r>
      </text>
    </comment>
    <comment ref="AA178" authorId="8" shapeId="0" xr:uid="{00000000-0006-0000-0600-000063010000}">
      <text>
        <r>
          <rPr>
            <b/>
            <sz val="9"/>
            <color indexed="81"/>
            <rFont val="Tahoma"/>
            <family val="2"/>
          </rPr>
          <t>Quach, Pauline:</t>
        </r>
        <r>
          <rPr>
            <sz val="9"/>
            <color indexed="81"/>
            <rFont val="Tahoma"/>
            <family val="2"/>
          </rPr>
          <t xml:space="preserve">
They state RA who did the self reported questionnaire was blinded, but the HbA1c samples were sent to lab, were the technicians blinded?</t>
        </r>
      </text>
    </comment>
    <comment ref="I179" authorId="8" shapeId="0" xr:uid="{00000000-0006-0000-0600-000064010000}">
      <text>
        <r>
          <rPr>
            <b/>
            <sz val="9"/>
            <color indexed="81"/>
            <rFont val="Tahoma"/>
            <family val="2"/>
          </rPr>
          <t>Quach, Pauline:</t>
        </r>
        <r>
          <rPr>
            <sz val="9"/>
            <color indexed="81"/>
            <rFont val="Tahoma"/>
            <family val="2"/>
          </rPr>
          <t xml:space="preserve">
FOUND on clinicaltrials.gov</t>
        </r>
      </text>
    </comment>
    <comment ref="O179" authorId="8" shapeId="0" xr:uid="{00000000-0006-0000-0600-000065010000}">
      <text>
        <r>
          <rPr>
            <b/>
            <sz val="9"/>
            <color indexed="81"/>
            <rFont val="Tahoma"/>
            <family val="2"/>
          </rPr>
          <t>Quach, Pauline:</t>
        </r>
        <r>
          <rPr>
            <sz val="9"/>
            <color indexed="81"/>
            <rFont val="Tahoma"/>
            <family val="2"/>
          </rPr>
          <t xml:space="preserve">
Only provided per arm, not for whole study</t>
        </r>
      </text>
    </comment>
    <comment ref="P179" authorId="8" shapeId="0" xr:uid="{00000000-0006-0000-0600-000066010000}">
      <text>
        <r>
          <rPr>
            <b/>
            <sz val="9"/>
            <color indexed="81"/>
            <rFont val="Tahoma"/>
            <family val="2"/>
          </rPr>
          <t>Quach, Pauline:</t>
        </r>
        <r>
          <rPr>
            <sz val="9"/>
            <color indexed="81"/>
            <rFont val="Tahoma"/>
            <family val="2"/>
          </rPr>
          <t xml:space="preserve">
Only provided per arm, not for whole study</t>
        </r>
      </text>
    </comment>
    <comment ref="Q179" authorId="8" shapeId="0" xr:uid="{00000000-0006-0000-0600-000067010000}">
      <text>
        <r>
          <rPr>
            <b/>
            <sz val="9"/>
            <color indexed="81"/>
            <rFont val="Tahoma"/>
            <family val="2"/>
          </rPr>
          <t>Quach, Pauline:</t>
        </r>
        <r>
          <rPr>
            <sz val="9"/>
            <color indexed="81"/>
            <rFont val="Tahoma"/>
            <family val="2"/>
          </rPr>
          <t xml:space="preserve">
Only provided per arm, not for whole study</t>
        </r>
      </text>
    </comment>
    <comment ref="M180" authorId="8" shapeId="0" xr:uid="{00000000-0006-0000-0600-000068010000}">
      <text>
        <r>
          <rPr>
            <b/>
            <sz val="9"/>
            <color indexed="81"/>
            <rFont val="Tahoma"/>
            <family val="2"/>
          </rPr>
          <t>Quach, Pauline:</t>
        </r>
        <r>
          <rPr>
            <sz val="9"/>
            <color indexed="81"/>
            <rFont val="Tahoma"/>
            <family val="2"/>
          </rPr>
          <t xml:space="preserve">
Year of publication</t>
        </r>
      </text>
    </comment>
    <comment ref="O180" authorId="8" shapeId="0" xr:uid="{00000000-0006-0000-0600-000069010000}">
      <text>
        <r>
          <rPr>
            <b/>
            <sz val="9"/>
            <color indexed="81"/>
            <rFont val="Tahoma"/>
            <family val="2"/>
          </rPr>
          <t>Quach, Pauline:</t>
        </r>
        <r>
          <rPr>
            <sz val="9"/>
            <color indexed="81"/>
            <rFont val="Tahoma"/>
            <family val="2"/>
          </rPr>
          <t xml:space="preserve">
Only provided per arm, not for whole study</t>
        </r>
      </text>
    </comment>
    <comment ref="P180" authorId="8" shapeId="0" xr:uid="{00000000-0006-0000-0600-00006A010000}">
      <text>
        <r>
          <rPr>
            <b/>
            <sz val="9"/>
            <color indexed="81"/>
            <rFont val="Tahoma"/>
            <family val="2"/>
          </rPr>
          <t>Quach, Pauline:</t>
        </r>
        <r>
          <rPr>
            <sz val="9"/>
            <color indexed="81"/>
            <rFont val="Tahoma"/>
            <family val="2"/>
          </rPr>
          <t xml:space="preserve">
Only provided per arm, not for whole study</t>
        </r>
      </text>
    </comment>
    <comment ref="Q180" authorId="8" shapeId="0" xr:uid="{00000000-0006-0000-0600-00006B010000}">
      <text>
        <r>
          <rPr>
            <b/>
            <sz val="9"/>
            <color indexed="81"/>
            <rFont val="Tahoma"/>
            <family val="2"/>
          </rPr>
          <t>Quach, Pauline:</t>
        </r>
        <r>
          <rPr>
            <sz val="9"/>
            <color indexed="81"/>
            <rFont val="Tahoma"/>
            <family val="2"/>
          </rPr>
          <t xml:space="preserve">
Only provided per arm, not for whole study</t>
        </r>
      </text>
    </comment>
    <comment ref="T180" authorId="8" shapeId="0" xr:uid="{00000000-0006-0000-0600-00006C010000}">
      <text>
        <r>
          <rPr>
            <b/>
            <sz val="9"/>
            <color indexed="81"/>
            <rFont val="Tahoma"/>
            <family val="2"/>
          </rPr>
          <t>Quach, Pauline:</t>
        </r>
        <r>
          <rPr>
            <sz val="9"/>
            <color indexed="81"/>
            <rFont val="Tahoma"/>
            <family val="2"/>
          </rPr>
          <t xml:space="preserve">
does not include 'open cohort'- those who joined after randomization</t>
        </r>
      </text>
    </comment>
    <comment ref="V180" authorId="8" shapeId="0" xr:uid="{00000000-0006-0000-0600-00006D010000}">
      <text>
        <r>
          <rPr>
            <b/>
            <sz val="9"/>
            <color indexed="81"/>
            <rFont val="Tahoma"/>
            <family val="2"/>
          </rPr>
          <t>Quach, Pauline:</t>
        </r>
        <r>
          <rPr>
            <sz val="9"/>
            <color indexed="81"/>
            <rFont val="Tahoma"/>
            <family val="2"/>
          </rPr>
          <t xml:space="preserve">
does not include 'open cohort'- those who joined after randomization</t>
        </r>
      </text>
    </comment>
    <comment ref="W180" authorId="8" shapeId="0" xr:uid="{00000000-0006-0000-0600-00006E010000}">
      <text>
        <r>
          <rPr>
            <b/>
            <sz val="9"/>
            <color indexed="81"/>
            <rFont val="Tahoma"/>
            <family val="2"/>
          </rPr>
          <t>Quach, Pauline:</t>
        </r>
        <r>
          <rPr>
            <sz val="9"/>
            <color indexed="81"/>
            <rFont val="Tahoma"/>
            <family val="2"/>
          </rPr>
          <t xml:space="preserve">
does not include 'open cohort'- those who joined after randomization</t>
        </r>
      </text>
    </comment>
    <comment ref="M181" authorId="8" shapeId="0" xr:uid="{00000000-0006-0000-0600-00006F010000}">
      <text>
        <r>
          <rPr>
            <b/>
            <sz val="9"/>
            <color indexed="81"/>
            <rFont val="Tahoma"/>
            <family val="2"/>
          </rPr>
          <t>Quach, Pauline:</t>
        </r>
        <r>
          <rPr>
            <sz val="9"/>
            <color indexed="81"/>
            <rFont val="Tahoma"/>
            <family val="2"/>
          </rPr>
          <t xml:space="preserve">
Year of publication</t>
        </r>
      </text>
    </comment>
    <comment ref="O181" authorId="8" shapeId="0" xr:uid="{00000000-0006-0000-0600-000070010000}">
      <text>
        <r>
          <rPr>
            <b/>
            <sz val="9"/>
            <color indexed="81"/>
            <rFont val="Tahoma"/>
            <family val="2"/>
          </rPr>
          <t>Quach, Pauline:</t>
        </r>
        <r>
          <rPr>
            <sz val="9"/>
            <color indexed="81"/>
            <rFont val="Tahoma"/>
            <family val="2"/>
          </rPr>
          <t xml:space="preserve">
Only provided per arm, not for whole study</t>
        </r>
      </text>
    </comment>
    <comment ref="P181" authorId="8" shapeId="0" xr:uid="{00000000-0006-0000-0600-000071010000}">
      <text>
        <r>
          <rPr>
            <b/>
            <sz val="9"/>
            <color indexed="81"/>
            <rFont val="Tahoma"/>
            <family val="2"/>
          </rPr>
          <t>Quach, Pauline:</t>
        </r>
        <r>
          <rPr>
            <sz val="9"/>
            <color indexed="81"/>
            <rFont val="Tahoma"/>
            <family val="2"/>
          </rPr>
          <t xml:space="preserve">
Only provided per arm, not for whole study</t>
        </r>
      </text>
    </comment>
    <comment ref="Q181" authorId="8" shapeId="0" xr:uid="{00000000-0006-0000-0600-000072010000}">
      <text>
        <r>
          <rPr>
            <b/>
            <sz val="9"/>
            <color indexed="81"/>
            <rFont val="Tahoma"/>
            <family val="2"/>
          </rPr>
          <t>Quach, Pauline:</t>
        </r>
        <r>
          <rPr>
            <sz val="9"/>
            <color indexed="81"/>
            <rFont val="Tahoma"/>
            <family val="2"/>
          </rPr>
          <t xml:space="preserve">
Only provided per arm, not for whole study</t>
        </r>
      </text>
    </comment>
    <comment ref="O182" authorId="8" shapeId="0" xr:uid="{00000000-0006-0000-0600-000073010000}">
      <text>
        <r>
          <rPr>
            <b/>
            <sz val="9"/>
            <color indexed="81"/>
            <rFont val="Tahoma"/>
            <family val="2"/>
          </rPr>
          <t>Quach, Pauline:</t>
        </r>
        <r>
          <rPr>
            <sz val="9"/>
            <color indexed="81"/>
            <rFont val="Tahoma"/>
            <family val="2"/>
          </rPr>
          <t xml:space="preserve">
Only provided per arm, not for whole study</t>
        </r>
      </text>
    </comment>
    <comment ref="P182" authorId="8" shapeId="0" xr:uid="{00000000-0006-0000-0600-000074010000}">
      <text>
        <r>
          <rPr>
            <b/>
            <sz val="9"/>
            <color indexed="81"/>
            <rFont val="Tahoma"/>
            <family val="2"/>
          </rPr>
          <t>Quach, Pauline:</t>
        </r>
        <r>
          <rPr>
            <sz val="9"/>
            <color indexed="81"/>
            <rFont val="Tahoma"/>
            <family val="2"/>
          </rPr>
          <t xml:space="preserve">
Only provided per arm, not for whole study</t>
        </r>
      </text>
    </comment>
    <comment ref="Q182" authorId="8" shapeId="0" xr:uid="{00000000-0006-0000-0600-000075010000}">
      <text>
        <r>
          <rPr>
            <b/>
            <sz val="9"/>
            <color indexed="81"/>
            <rFont val="Tahoma"/>
            <family val="2"/>
          </rPr>
          <t>Quach, Pauline:</t>
        </r>
        <r>
          <rPr>
            <sz val="9"/>
            <color indexed="81"/>
            <rFont val="Tahoma"/>
            <family val="2"/>
          </rPr>
          <t xml:space="preserve">
Only provided per arm, not for whole study</t>
        </r>
      </text>
    </comment>
    <comment ref="V182" authorId="8" shapeId="0" xr:uid="{00000000-0006-0000-0600-000076010000}">
      <text>
        <r>
          <rPr>
            <b/>
            <sz val="9"/>
            <color indexed="81"/>
            <rFont val="Tahoma"/>
            <family val="2"/>
          </rPr>
          <t>Quach, Pauline:</t>
        </r>
        <r>
          <rPr>
            <sz val="9"/>
            <color indexed="81"/>
            <rFont val="Tahoma"/>
            <family val="2"/>
          </rPr>
          <t xml:space="preserve">
this does not add up to 172, it adds up to 174</t>
        </r>
      </text>
    </comment>
    <comment ref="W182" authorId="8" shapeId="0" xr:uid="{00000000-0006-0000-0600-000077010000}">
      <text>
        <r>
          <rPr>
            <b/>
            <sz val="9"/>
            <color indexed="81"/>
            <rFont val="Tahoma"/>
            <family val="2"/>
          </rPr>
          <t>Quach, Pauline:</t>
        </r>
        <r>
          <rPr>
            <sz val="9"/>
            <color indexed="81"/>
            <rFont val="Tahoma"/>
            <family val="2"/>
          </rPr>
          <t xml:space="preserve">
this does not add up to 172, it adds up to 174</t>
        </r>
      </text>
    </comment>
    <comment ref="M183" authorId="8" shapeId="0" xr:uid="{00000000-0006-0000-0600-000078010000}">
      <text>
        <r>
          <rPr>
            <b/>
            <sz val="9"/>
            <color indexed="81"/>
            <rFont val="Tahoma"/>
            <family val="2"/>
          </rPr>
          <t>Quach, Pauline:</t>
        </r>
        <r>
          <rPr>
            <sz val="9"/>
            <color indexed="81"/>
            <rFont val="Tahoma"/>
            <family val="2"/>
          </rPr>
          <t xml:space="preserve">
Year of publication</t>
        </r>
      </text>
    </comment>
    <comment ref="O183" authorId="8" shapeId="0" xr:uid="{00000000-0006-0000-0600-000079010000}">
      <text>
        <r>
          <rPr>
            <b/>
            <sz val="9"/>
            <color indexed="81"/>
            <rFont val="Tahoma"/>
            <family val="2"/>
          </rPr>
          <t>Quach, Pauline:</t>
        </r>
        <r>
          <rPr>
            <sz val="9"/>
            <color indexed="81"/>
            <rFont val="Tahoma"/>
            <family val="2"/>
          </rPr>
          <t xml:space="preserve">
Only provided per arm, not for whole study</t>
        </r>
      </text>
    </comment>
    <comment ref="P183" authorId="8" shapeId="0" xr:uid="{00000000-0006-0000-0600-00007A010000}">
      <text>
        <r>
          <rPr>
            <b/>
            <sz val="9"/>
            <color indexed="81"/>
            <rFont val="Tahoma"/>
            <family val="2"/>
          </rPr>
          <t>Quach, Pauline:</t>
        </r>
        <r>
          <rPr>
            <sz val="9"/>
            <color indexed="81"/>
            <rFont val="Tahoma"/>
            <family val="2"/>
          </rPr>
          <t xml:space="preserve">
Only provided per arm, not for whole study</t>
        </r>
      </text>
    </comment>
    <comment ref="Q183" authorId="8" shapeId="0" xr:uid="{00000000-0006-0000-0600-00007B010000}">
      <text>
        <r>
          <rPr>
            <b/>
            <sz val="9"/>
            <color indexed="81"/>
            <rFont val="Tahoma"/>
            <family val="2"/>
          </rPr>
          <t>Quach, Pauline:</t>
        </r>
        <r>
          <rPr>
            <sz val="9"/>
            <color indexed="81"/>
            <rFont val="Tahoma"/>
            <family val="2"/>
          </rPr>
          <t xml:space="preserve">
Only provided per arm, not for whole study</t>
        </r>
      </text>
    </comment>
    <comment ref="M184" authorId="9" shapeId="0" xr:uid="{00000000-0006-0000-0600-00007C010000}">
      <text>
        <r>
          <rPr>
            <b/>
            <sz val="9"/>
            <color indexed="81"/>
            <rFont val="Tahoma"/>
            <family val="2"/>
          </rPr>
          <t>pauline.quach:</t>
        </r>
        <r>
          <rPr>
            <sz val="9"/>
            <color indexed="81"/>
            <rFont val="Tahoma"/>
            <family val="2"/>
          </rPr>
          <t xml:space="preserve">
recruitment end date was 2006, study lated 24mo, so approx study end date is 2008.</t>
        </r>
      </text>
    </comment>
    <comment ref="P185" authorId="8" shapeId="0" xr:uid="{00000000-0006-0000-0600-00007D010000}">
      <text>
        <r>
          <rPr>
            <b/>
            <sz val="9"/>
            <color indexed="81"/>
            <rFont val="Tahoma"/>
            <family val="2"/>
          </rPr>
          <t>Quach, Pauline:</t>
        </r>
        <r>
          <rPr>
            <sz val="9"/>
            <color indexed="81"/>
            <rFont val="Tahoma"/>
            <family val="2"/>
          </rPr>
          <t xml:space="preserve">
Only provided per arm, not for whole study</t>
        </r>
      </text>
    </comment>
    <comment ref="Q185" authorId="8" shapeId="0" xr:uid="{00000000-0006-0000-0600-00007E010000}">
      <text>
        <r>
          <rPr>
            <b/>
            <sz val="9"/>
            <color indexed="81"/>
            <rFont val="Tahoma"/>
            <family val="2"/>
          </rPr>
          <t>Quach, Pauline:</t>
        </r>
        <r>
          <rPr>
            <sz val="9"/>
            <color indexed="81"/>
            <rFont val="Tahoma"/>
            <family val="2"/>
          </rPr>
          <t xml:space="preserve">
Only provided per arm, not for whole study</t>
        </r>
      </text>
    </comment>
    <comment ref="O186" authorId="3" shapeId="0" xr:uid="{00000000-0006-0000-0600-00007F010000}">
      <text>
        <r>
          <rPr>
            <b/>
            <sz val="9"/>
            <color indexed="81"/>
            <rFont val="Verdana"/>
            <family val="2"/>
          </rPr>
          <t>Kristin Danko:</t>
        </r>
        <r>
          <rPr>
            <sz val="9"/>
            <color indexed="81"/>
            <rFont val="Verdana"/>
            <family val="2"/>
          </rPr>
          <t xml:space="preserve">
only report at arm level; not study as a whole</t>
        </r>
      </text>
    </comment>
    <comment ref="P186" authorId="3" shapeId="0" xr:uid="{00000000-0006-0000-0600-000080010000}">
      <text>
        <r>
          <rPr>
            <b/>
            <sz val="9"/>
            <color indexed="81"/>
            <rFont val="Verdana"/>
            <family val="2"/>
          </rPr>
          <t>Kristin Danko:</t>
        </r>
        <r>
          <rPr>
            <sz val="9"/>
            <color indexed="81"/>
            <rFont val="Verdana"/>
            <family val="2"/>
          </rPr>
          <t xml:space="preserve">
only report at arm level; not study as a whole</t>
        </r>
      </text>
    </comment>
    <comment ref="Q186" authorId="3" shapeId="0" xr:uid="{00000000-0006-0000-0600-000081010000}">
      <text>
        <r>
          <rPr>
            <b/>
            <sz val="9"/>
            <color indexed="81"/>
            <rFont val="Verdana"/>
            <family val="2"/>
          </rPr>
          <t>Kristin Danko:</t>
        </r>
        <r>
          <rPr>
            <sz val="9"/>
            <color indexed="81"/>
            <rFont val="Verdana"/>
            <family val="2"/>
          </rPr>
          <t xml:space="preserve">
only report at arm level; not study as a whole</t>
        </r>
      </text>
    </comment>
    <comment ref="B187" authorId="9" shapeId="0" xr:uid="{00000000-0006-0000-0600-000082010000}">
      <text>
        <r>
          <rPr>
            <b/>
            <sz val="9"/>
            <color indexed="81"/>
            <rFont val="Tahoma"/>
            <family val="2"/>
          </rPr>
          <t>pauline.quach:</t>
        </r>
        <r>
          <rPr>
            <sz val="9"/>
            <color indexed="81"/>
            <rFont val="Tahoma"/>
            <family val="2"/>
          </rPr>
          <t xml:space="preserve">
Primary to FT ID 12059</t>
        </r>
      </text>
    </comment>
    <comment ref="M187" authorId="8" shapeId="0" xr:uid="{00000000-0006-0000-0600-000083010000}">
      <text>
        <r>
          <rPr>
            <b/>
            <sz val="9"/>
            <color indexed="81"/>
            <rFont val="Tahoma"/>
            <family val="2"/>
          </rPr>
          <t>Quach, Pauline:</t>
        </r>
        <r>
          <rPr>
            <sz val="9"/>
            <color indexed="81"/>
            <rFont val="Tahoma"/>
            <family val="2"/>
          </rPr>
          <t xml:space="preserve">
recruitment ended in 2006, study lasted 5 years, so end of study was 2011.</t>
        </r>
      </text>
    </comment>
    <comment ref="O187" authorId="8" shapeId="0" xr:uid="{00000000-0006-0000-0600-000084010000}">
      <text>
        <r>
          <rPr>
            <b/>
            <sz val="9"/>
            <color indexed="81"/>
            <rFont val="Tahoma"/>
            <family val="2"/>
          </rPr>
          <t>Quach, Pauline:</t>
        </r>
        <r>
          <rPr>
            <sz val="9"/>
            <color indexed="81"/>
            <rFont val="Tahoma"/>
            <family val="2"/>
          </rPr>
          <t xml:space="preserve">
Only provided per arm, not for whole study</t>
        </r>
      </text>
    </comment>
    <comment ref="P187" authorId="8" shapeId="0" xr:uid="{00000000-0006-0000-0600-000085010000}">
      <text>
        <r>
          <rPr>
            <b/>
            <sz val="9"/>
            <color indexed="81"/>
            <rFont val="Tahoma"/>
            <family val="2"/>
          </rPr>
          <t>Quach, Pauline:</t>
        </r>
        <r>
          <rPr>
            <sz val="9"/>
            <color indexed="81"/>
            <rFont val="Tahoma"/>
            <family val="2"/>
          </rPr>
          <t xml:space="preserve">
Only provided per arm, not for whole study</t>
        </r>
      </text>
    </comment>
    <comment ref="I188" authorId="8" shapeId="0" xr:uid="{00000000-0006-0000-0600-000086010000}">
      <text>
        <r>
          <rPr>
            <b/>
            <sz val="9"/>
            <color indexed="81"/>
            <rFont val="Tahoma"/>
            <family val="2"/>
          </rPr>
          <t>Quach, Pauline:</t>
        </r>
        <r>
          <rPr>
            <sz val="9"/>
            <color indexed="81"/>
            <rFont val="Tahoma"/>
            <family val="2"/>
          </rPr>
          <t xml:space="preserve">
Clinicaltrials.gov</t>
        </r>
      </text>
    </comment>
    <comment ref="I189" authorId="8" shapeId="0" xr:uid="{00000000-0006-0000-0600-000087010000}">
      <text>
        <r>
          <rPr>
            <b/>
            <sz val="9"/>
            <color indexed="81"/>
            <rFont val="Tahoma"/>
            <family val="2"/>
          </rPr>
          <t>Quach, Pauline:</t>
        </r>
        <r>
          <rPr>
            <sz val="9"/>
            <color indexed="81"/>
            <rFont val="Tahoma"/>
            <family val="2"/>
          </rPr>
          <t xml:space="preserve">
FOUND on clinicaltrials.gov</t>
        </r>
      </text>
    </comment>
    <comment ref="O189" authorId="8" shapeId="0" xr:uid="{00000000-0006-0000-0600-000088010000}">
      <text>
        <r>
          <rPr>
            <b/>
            <sz val="9"/>
            <color indexed="81"/>
            <rFont val="Tahoma"/>
            <family val="2"/>
          </rPr>
          <t>Quach, Pauline:</t>
        </r>
        <r>
          <rPr>
            <sz val="9"/>
            <color indexed="81"/>
            <rFont val="Tahoma"/>
            <family val="2"/>
          </rPr>
          <t xml:space="preserve">
based on those analyzed</t>
        </r>
      </text>
    </comment>
    <comment ref="P189" authorId="8" shapeId="0" xr:uid="{00000000-0006-0000-0600-000089010000}">
      <text>
        <r>
          <rPr>
            <b/>
            <sz val="9"/>
            <color indexed="81"/>
            <rFont val="Tahoma"/>
            <family val="2"/>
          </rPr>
          <t>Quach, Pauline:</t>
        </r>
        <r>
          <rPr>
            <sz val="9"/>
            <color indexed="81"/>
            <rFont val="Tahoma"/>
            <family val="2"/>
          </rPr>
          <t xml:space="preserve">
based on those analyzed</t>
        </r>
      </text>
    </comment>
    <comment ref="Q189" authorId="8" shapeId="0" xr:uid="{00000000-0006-0000-0600-00008A010000}">
      <text>
        <r>
          <rPr>
            <b/>
            <sz val="9"/>
            <color indexed="81"/>
            <rFont val="Tahoma"/>
            <family val="2"/>
          </rPr>
          <t>Quach, Pauline:</t>
        </r>
        <r>
          <rPr>
            <sz val="9"/>
            <color indexed="81"/>
            <rFont val="Tahoma"/>
            <family val="2"/>
          </rPr>
          <t xml:space="preserve">
based on those analyzed</t>
        </r>
      </text>
    </comment>
    <comment ref="I190" authorId="8" shapeId="0" xr:uid="{00000000-0006-0000-0600-00008B010000}">
      <text>
        <r>
          <rPr>
            <b/>
            <sz val="9"/>
            <color indexed="81"/>
            <rFont val="Tahoma"/>
            <family val="2"/>
          </rPr>
          <t>Quach, Pauline:</t>
        </r>
        <r>
          <rPr>
            <sz val="9"/>
            <color indexed="81"/>
            <rFont val="Tahoma"/>
            <family val="2"/>
          </rPr>
          <t xml:space="preserve">
FOUND on clinicaltrials.gov</t>
        </r>
      </text>
    </comment>
    <comment ref="O190" authorId="8" shapeId="0" xr:uid="{00000000-0006-0000-0600-00008C010000}">
      <text>
        <r>
          <rPr>
            <b/>
            <sz val="9"/>
            <color indexed="81"/>
            <rFont val="Tahoma"/>
            <family val="2"/>
          </rPr>
          <t>Quach, Pauline:</t>
        </r>
        <r>
          <rPr>
            <sz val="9"/>
            <color indexed="81"/>
            <rFont val="Tahoma"/>
            <family val="2"/>
          </rPr>
          <t xml:space="preserve">
Only provided per arm, not for whole study</t>
        </r>
      </text>
    </comment>
    <comment ref="P190" authorId="8" shapeId="0" xr:uid="{00000000-0006-0000-0600-00008D010000}">
      <text>
        <r>
          <rPr>
            <b/>
            <sz val="9"/>
            <color indexed="81"/>
            <rFont val="Tahoma"/>
            <family val="2"/>
          </rPr>
          <t>Quach, Pauline:</t>
        </r>
        <r>
          <rPr>
            <sz val="9"/>
            <color indexed="81"/>
            <rFont val="Tahoma"/>
            <family val="2"/>
          </rPr>
          <t xml:space="preserve">
Only provided per arm, not for whole study</t>
        </r>
      </text>
    </comment>
    <comment ref="Q190" authorId="8" shapeId="0" xr:uid="{00000000-0006-0000-0600-00008E010000}">
      <text>
        <r>
          <rPr>
            <b/>
            <sz val="9"/>
            <color indexed="81"/>
            <rFont val="Tahoma"/>
            <family val="2"/>
          </rPr>
          <t>Quach, Pauline:</t>
        </r>
        <r>
          <rPr>
            <sz val="9"/>
            <color indexed="81"/>
            <rFont val="Tahoma"/>
            <family val="2"/>
          </rPr>
          <t xml:space="preserve">
Only provided per arm, not for whole study</t>
        </r>
      </text>
    </comment>
    <comment ref="I191" authorId="8" shapeId="0" xr:uid="{00000000-0006-0000-0600-00008F010000}">
      <text>
        <r>
          <rPr>
            <b/>
            <sz val="9"/>
            <color indexed="81"/>
            <rFont val="Tahoma"/>
            <family val="2"/>
          </rPr>
          <t>Quach, Pauline:</t>
        </r>
        <r>
          <rPr>
            <sz val="9"/>
            <color indexed="81"/>
            <rFont val="Tahoma"/>
            <family val="2"/>
          </rPr>
          <t xml:space="preserve">
clinicaltrials.gov</t>
        </r>
      </text>
    </comment>
    <comment ref="M191" authorId="8" shapeId="0" xr:uid="{00000000-0006-0000-0600-000090010000}">
      <text>
        <r>
          <rPr>
            <b/>
            <sz val="9"/>
            <color indexed="81"/>
            <rFont val="Tahoma"/>
            <family val="2"/>
          </rPr>
          <t>Quach, Pauline:</t>
        </r>
        <r>
          <rPr>
            <sz val="9"/>
            <color indexed="81"/>
            <rFont val="Tahoma"/>
            <family val="2"/>
          </rPr>
          <t xml:space="preserve">
Year of publication</t>
        </r>
      </text>
    </comment>
    <comment ref="S191" authorId="3" shapeId="0" xr:uid="{00000000-0006-0000-0600-000091010000}">
      <text>
        <r>
          <rPr>
            <b/>
            <sz val="9"/>
            <color indexed="81"/>
            <rFont val="Calibri"/>
            <family val="2"/>
          </rPr>
          <t>Kristin Danko:</t>
        </r>
        <r>
          <rPr>
            <sz val="9"/>
            <color indexed="81"/>
            <rFont val="Calibri"/>
            <family val="2"/>
          </rPr>
          <t xml:space="preserve">
multicondition population; only HbA1c outcome reported for diabetes population specifically (could not extract ASA use, SBP, DBP, LDL, or smoke)</t>
        </r>
      </text>
    </comment>
    <comment ref="I192" authorId="9" shapeId="0" xr:uid="{00000000-0006-0000-0600-000092010000}">
      <text>
        <r>
          <rPr>
            <b/>
            <sz val="9"/>
            <color indexed="81"/>
            <rFont val="Tahoma"/>
            <family val="2"/>
          </rPr>
          <t>pauline.quach:</t>
        </r>
        <r>
          <rPr>
            <sz val="9"/>
            <color indexed="81"/>
            <rFont val="Tahoma"/>
            <family val="2"/>
          </rPr>
          <t xml:space="preserve">
clinicaltrials.gov</t>
        </r>
      </text>
    </comment>
    <comment ref="O192" authorId="8" shapeId="0" xr:uid="{00000000-0006-0000-0600-000093010000}">
      <text>
        <r>
          <rPr>
            <b/>
            <sz val="9"/>
            <color indexed="81"/>
            <rFont val="Tahoma"/>
            <family val="2"/>
          </rPr>
          <t>Quach, Pauline:</t>
        </r>
        <r>
          <rPr>
            <sz val="9"/>
            <color indexed="81"/>
            <rFont val="Tahoma"/>
            <family val="2"/>
          </rPr>
          <t xml:space="preserve">
Only provided per arm, not for whole study</t>
        </r>
      </text>
    </comment>
    <comment ref="P192" authorId="8" shapeId="0" xr:uid="{00000000-0006-0000-0600-000094010000}">
      <text>
        <r>
          <rPr>
            <b/>
            <sz val="9"/>
            <color indexed="81"/>
            <rFont val="Tahoma"/>
            <family val="2"/>
          </rPr>
          <t>Quach, Pauline:</t>
        </r>
        <r>
          <rPr>
            <sz val="9"/>
            <color indexed="81"/>
            <rFont val="Tahoma"/>
            <family val="2"/>
          </rPr>
          <t xml:space="preserve">
Only provided per arm, not for whole study</t>
        </r>
      </text>
    </comment>
    <comment ref="Q192" authorId="8" shapeId="0" xr:uid="{00000000-0006-0000-0600-000095010000}">
      <text>
        <r>
          <rPr>
            <b/>
            <sz val="9"/>
            <color indexed="81"/>
            <rFont val="Tahoma"/>
            <family val="2"/>
          </rPr>
          <t>Quach, Pauline:</t>
        </r>
        <r>
          <rPr>
            <sz val="9"/>
            <color indexed="81"/>
            <rFont val="Tahoma"/>
            <family val="2"/>
          </rPr>
          <t xml:space="preserve">
Only provided per arm, not for whole study</t>
        </r>
      </text>
    </comment>
    <comment ref="O193" authorId="8" shapeId="0" xr:uid="{00000000-0006-0000-0600-000096010000}">
      <text>
        <r>
          <rPr>
            <b/>
            <sz val="9"/>
            <color indexed="81"/>
            <rFont val="Tahoma"/>
            <family val="2"/>
          </rPr>
          <t>Quach, Pauline:</t>
        </r>
        <r>
          <rPr>
            <sz val="9"/>
            <color indexed="81"/>
            <rFont val="Tahoma"/>
            <family val="2"/>
          </rPr>
          <t xml:space="preserve">
Only provided per arm, not for whole study</t>
        </r>
      </text>
    </comment>
    <comment ref="P193" authorId="8" shapeId="0" xr:uid="{00000000-0006-0000-0600-000097010000}">
      <text>
        <r>
          <rPr>
            <b/>
            <sz val="9"/>
            <color indexed="81"/>
            <rFont val="Tahoma"/>
            <family val="2"/>
          </rPr>
          <t>Quach, Pauline:</t>
        </r>
        <r>
          <rPr>
            <sz val="9"/>
            <color indexed="81"/>
            <rFont val="Tahoma"/>
            <family val="2"/>
          </rPr>
          <t xml:space="preserve">
Only provided per arm, not for whole study</t>
        </r>
      </text>
    </comment>
    <comment ref="I194" authorId="8" shapeId="0" xr:uid="{00000000-0006-0000-0600-000098010000}">
      <text>
        <r>
          <rPr>
            <b/>
            <sz val="9"/>
            <color indexed="81"/>
            <rFont val="Tahoma"/>
            <family val="2"/>
          </rPr>
          <t>Quach, Pauline:</t>
        </r>
        <r>
          <rPr>
            <sz val="9"/>
            <color indexed="81"/>
            <rFont val="Tahoma"/>
            <family val="2"/>
          </rPr>
          <t xml:space="preserve">
Australian and New Zealand Clinical Trials Register</t>
        </r>
      </text>
    </comment>
    <comment ref="O194" authorId="8" shapeId="0" xr:uid="{00000000-0006-0000-0600-000099010000}">
      <text>
        <r>
          <rPr>
            <b/>
            <sz val="9"/>
            <color indexed="81"/>
            <rFont val="Tahoma"/>
            <family val="2"/>
          </rPr>
          <t>Quach, Pauline:</t>
        </r>
        <r>
          <rPr>
            <sz val="9"/>
            <color indexed="81"/>
            <rFont val="Tahoma"/>
            <family val="2"/>
          </rPr>
          <t xml:space="preserve">
Unsure if this is based on those randomized or those analyzed</t>
        </r>
      </text>
    </comment>
    <comment ref="P194" authorId="8" shapeId="0" xr:uid="{00000000-0006-0000-0600-00009A010000}">
      <text>
        <r>
          <rPr>
            <b/>
            <sz val="9"/>
            <color indexed="81"/>
            <rFont val="Tahoma"/>
            <family val="2"/>
          </rPr>
          <t>Quach, Pauline:</t>
        </r>
        <r>
          <rPr>
            <sz val="9"/>
            <color indexed="81"/>
            <rFont val="Tahoma"/>
            <family val="2"/>
          </rPr>
          <t xml:space="preserve">
Unsure if this is based on those randomized or those analyzed</t>
        </r>
      </text>
    </comment>
    <comment ref="Q194" authorId="8" shapeId="0" xr:uid="{00000000-0006-0000-0600-00009B010000}">
      <text>
        <r>
          <rPr>
            <b/>
            <sz val="9"/>
            <color indexed="81"/>
            <rFont val="Tahoma"/>
            <family val="2"/>
          </rPr>
          <t>Quach, Pauline:</t>
        </r>
        <r>
          <rPr>
            <sz val="9"/>
            <color indexed="81"/>
            <rFont val="Tahoma"/>
            <family val="2"/>
          </rPr>
          <t xml:space="preserve">
Unsure if this is based on those randomized or those analyzed</t>
        </r>
      </text>
    </comment>
    <comment ref="I195" authorId="8" shapeId="0" xr:uid="{00000000-0006-0000-0600-00009C010000}">
      <text>
        <r>
          <rPr>
            <b/>
            <sz val="9"/>
            <color indexed="81"/>
            <rFont val="Tahoma"/>
            <family val="2"/>
          </rPr>
          <t>Quach, Pauline:</t>
        </r>
        <r>
          <rPr>
            <sz val="9"/>
            <color indexed="81"/>
            <rFont val="Tahoma"/>
            <family val="2"/>
          </rPr>
          <t xml:space="preserve">
clinicaltrials.gov</t>
        </r>
      </text>
    </comment>
    <comment ref="M195" authorId="8" shapeId="0" xr:uid="{00000000-0006-0000-0600-00009D010000}">
      <text>
        <r>
          <rPr>
            <b/>
            <sz val="9"/>
            <color indexed="81"/>
            <rFont val="Tahoma"/>
            <family val="2"/>
          </rPr>
          <t>Quach, Pauline:</t>
        </r>
        <r>
          <rPr>
            <sz val="9"/>
            <color indexed="81"/>
            <rFont val="Tahoma"/>
            <family val="2"/>
          </rPr>
          <t xml:space="preserve">
Year of publication</t>
        </r>
      </text>
    </comment>
    <comment ref="O195" authorId="8" shapeId="0" xr:uid="{00000000-0006-0000-0600-00009E010000}">
      <text>
        <r>
          <rPr>
            <b/>
            <sz val="9"/>
            <color indexed="81"/>
            <rFont val="Tahoma"/>
            <family val="2"/>
          </rPr>
          <t>Quach, Pauline:</t>
        </r>
        <r>
          <rPr>
            <sz val="9"/>
            <color indexed="81"/>
            <rFont val="Tahoma"/>
            <family val="2"/>
          </rPr>
          <t xml:space="preserve">
based on those randomized, however n=1 from control group removed since intiial A1c value out of range.</t>
        </r>
      </text>
    </comment>
    <comment ref="P195" authorId="8" shapeId="0" xr:uid="{00000000-0006-0000-0600-00009F010000}">
      <text>
        <r>
          <rPr>
            <b/>
            <sz val="9"/>
            <color indexed="81"/>
            <rFont val="Tahoma"/>
            <family val="2"/>
          </rPr>
          <t>Quach, Pauline:</t>
        </r>
        <r>
          <rPr>
            <sz val="9"/>
            <color indexed="81"/>
            <rFont val="Tahoma"/>
            <family val="2"/>
          </rPr>
          <t xml:space="preserve">
based on those randomized, however n=1 from control group removed since intiial A1c value out of range.</t>
        </r>
      </text>
    </comment>
    <comment ref="Q195" authorId="8" shapeId="0" xr:uid="{00000000-0006-0000-0600-0000A0010000}">
      <text>
        <r>
          <rPr>
            <b/>
            <sz val="9"/>
            <color indexed="81"/>
            <rFont val="Tahoma"/>
            <family val="2"/>
          </rPr>
          <t>Quach, Pauline:</t>
        </r>
        <r>
          <rPr>
            <sz val="9"/>
            <color indexed="81"/>
            <rFont val="Tahoma"/>
            <family val="2"/>
          </rPr>
          <t xml:space="preserve">
based on those randomized, however n=1 from control group removed since intiial A1c value out of range.</t>
        </r>
      </text>
    </comment>
    <comment ref="M196" authorId="9" shapeId="0" xr:uid="{00000000-0006-0000-0600-0000A1010000}">
      <text>
        <r>
          <rPr>
            <b/>
            <sz val="9"/>
            <color indexed="81"/>
            <rFont val="Tahoma"/>
            <family val="2"/>
          </rPr>
          <t>pauline.quach:</t>
        </r>
        <r>
          <rPr>
            <sz val="9"/>
            <color indexed="81"/>
            <rFont val="Tahoma"/>
            <family val="2"/>
          </rPr>
          <t xml:space="preserve">
recruitment ended July 2009, study lasted 12 months. So approx end year of study is July 2010.</t>
        </r>
      </text>
    </comment>
    <comment ref="O196" authorId="8" shapeId="0" xr:uid="{00000000-0006-0000-0600-0000A2010000}">
      <text>
        <r>
          <rPr>
            <b/>
            <sz val="9"/>
            <color indexed="81"/>
            <rFont val="Tahoma"/>
            <family val="2"/>
          </rPr>
          <t>Quach, Pauline:</t>
        </r>
        <r>
          <rPr>
            <sz val="9"/>
            <color indexed="81"/>
            <rFont val="Tahoma"/>
            <family val="2"/>
          </rPr>
          <t xml:space="preserve">
Only provided per arm, not for whole study</t>
        </r>
      </text>
    </comment>
    <comment ref="P196" authorId="8" shapeId="0" xr:uid="{00000000-0006-0000-0600-0000A3010000}">
      <text>
        <r>
          <rPr>
            <b/>
            <sz val="9"/>
            <color indexed="81"/>
            <rFont val="Tahoma"/>
            <family val="2"/>
          </rPr>
          <t>Quach, Pauline:</t>
        </r>
        <r>
          <rPr>
            <sz val="9"/>
            <color indexed="81"/>
            <rFont val="Tahoma"/>
            <family val="2"/>
          </rPr>
          <t xml:space="preserve">
Only provided per arm, not for whole study</t>
        </r>
      </text>
    </comment>
    <comment ref="Q196" authorId="8" shapeId="0" xr:uid="{00000000-0006-0000-0600-0000A4010000}">
      <text>
        <r>
          <rPr>
            <b/>
            <sz val="9"/>
            <color indexed="81"/>
            <rFont val="Tahoma"/>
            <family val="2"/>
          </rPr>
          <t>Quach, Pauline:</t>
        </r>
        <r>
          <rPr>
            <sz val="9"/>
            <color indexed="81"/>
            <rFont val="Tahoma"/>
            <family val="2"/>
          </rPr>
          <t xml:space="preserve">
Based on those analyzed</t>
        </r>
      </text>
    </comment>
    <comment ref="I197" authorId="8" shapeId="0" xr:uid="{00000000-0006-0000-0600-0000A5010000}">
      <text>
        <r>
          <rPr>
            <b/>
            <sz val="9"/>
            <color indexed="81"/>
            <rFont val="Tahoma"/>
            <family val="2"/>
          </rPr>
          <t>Quach, Pauline:</t>
        </r>
        <r>
          <rPr>
            <sz val="9"/>
            <color indexed="81"/>
            <rFont val="Tahoma"/>
            <family val="2"/>
          </rPr>
          <t xml:space="preserve">
FOUND on clinicaltrials.gov</t>
        </r>
      </text>
    </comment>
    <comment ref="O197" authorId="8" shapeId="0" xr:uid="{00000000-0006-0000-0600-0000A6010000}">
      <text>
        <r>
          <rPr>
            <b/>
            <sz val="9"/>
            <color indexed="81"/>
            <rFont val="Tahoma"/>
            <family val="2"/>
          </rPr>
          <t>Quach, Pauline:</t>
        </r>
        <r>
          <rPr>
            <sz val="9"/>
            <color indexed="81"/>
            <rFont val="Tahoma"/>
            <family val="2"/>
          </rPr>
          <t xml:space="preserve">
Only provided per arm, not for whole study</t>
        </r>
      </text>
    </comment>
    <comment ref="P197" authorId="8" shapeId="0" xr:uid="{00000000-0006-0000-0600-0000A7010000}">
      <text>
        <r>
          <rPr>
            <b/>
            <sz val="9"/>
            <color indexed="81"/>
            <rFont val="Tahoma"/>
            <family val="2"/>
          </rPr>
          <t>Quach, Pauline:</t>
        </r>
        <r>
          <rPr>
            <sz val="9"/>
            <color indexed="81"/>
            <rFont val="Tahoma"/>
            <family val="2"/>
          </rPr>
          <t xml:space="preserve">
Only provided per arm, not for whole study</t>
        </r>
      </text>
    </comment>
    <comment ref="Q197" authorId="8" shapeId="0" xr:uid="{00000000-0006-0000-0600-0000A8010000}">
      <text>
        <r>
          <rPr>
            <b/>
            <sz val="9"/>
            <color indexed="81"/>
            <rFont val="Tahoma"/>
            <family val="2"/>
          </rPr>
          <t>Quach, Pauline:</t>
        </r>
        <r>
          <rPr>
            <sz val="9"/>
            <color indexed="81"/>
            <rFont val="Tahoma"/>
            <family val="2"/>
          </rPr>
          <t xml:space="preserve">
Only provided per arm, not for whole study</t>
        </r>
      </text>
    </comment>
    <comment ref="I198" authorId="8" shapeId="0" xr:uid="{00000000-0006-0000-0600-0000A9010000}">
      <text>
        <r>
          <rPr>
            <b/>
            <sz val="9"/>
            <color indexed="81"/>
            <rFont val="Tahoma"/>
            <family val="2"/>
          </rPr>
          <t>Quach, Pauline:</t>
        </r>
        <r>
          <rPr>
            <sz val="9"/>
            <color indexed="81"/>
            <rFont val="Tahoma"/>
            <family val="2"/>
          </rPr>
          <t xml:space="preserve">
FOUND on clinicaltrials.gov</t>
        </r>
      </text>
    </comment>
    <comment ref="M198" authorId="8" shapeId="0" xr:uid="{00000000-0006-0000-0600-0000AA010000}">
      <text>
        <r>
          <rPr>
            <b/>
            <sz val="9"/>
            <color indexed="81"/>
            <rFont val="Tahoma"/>
            <family val="2"/>
          </rPr>
          <t>Quach, Pauline:</t>
        </r>
        <r>
          <rPr>
            <sz val="9"/>
            <color indexed="81"/>
            <rFont val="Tahoma"/>
            <family val="2"/>
          </rPr>
          <t xml:space="preserve">
Recruitment between Jan 2006 to September 2008. follow up was 2 yrs. So last year of study conduct…September 2010</t>
        </r>
      </text>
    </comment>
    <comment ref="A199" authorId="3" shapeId="0" xr:uid="{00000000-0006-0000-0600-0000AB010000}">
      <text>
        <r>
          <rPr>
            <b/>
            <sz val="9"/>
            <color indexed="81"/>
            <rFont val="Verdana"/>
            <family val="2"/>
          </rPr>
          <t>Kristin Danko:</t>
        </r>
        <r>
          <rPr>
            <sz val="9"/>
            <color indexed="81"/>
            <rFont val="Verdana"/>
            <family val="2"/>
          </rPr>
          <t xml:space="preserve">
Confirmed different from Chan study 5045
</t>
        </r>
      </text>
    </comment>
    <comment ref="I199" authorId="8" shapeId="0" xr:uid="{00000000-0006-0000-0600-0000AC010000}">
      <text>
        <r>
          <rPr>
            <b/>
            <sz val="9"/>
            <color indexed="81"/>
            <rFont val="Tahoma"/>
            <family val="2"/>
          </rPr>
          <t>Quach, Pauline:</t>
        </r>
        <r>
          <rPr>
            <sz val="9"/>
            <color indexed="81"/>
            <rFont val="Tahoma"/>
            <family val="2"/>
          </rPr>
          <t xml:space="preserve">
clinicaltrials.gov</t>
        </r>
      </text>
    </comment>
    <comment ref="M199" authorId="8" shapeId="0" xr:uid="{00000000-0006-0000-0600-0000AD010000}">
      <text>
        <r>
          <rPr>
            <b/>
            <sz val="9"/>
            <color indexed="81"/>
            <rFont val="Tahoma"/>
            <family val="2"/>
          </rPr>
          <t>Quach, Pauline:</t>
        </r>
        <r>
          <rPr>
            <sz val="9"/>
            <color indexed="81"/>
            <rFont val="Tahoma"/>
            <family val="2"/>
          </rPr>
          <t xml:space="preserve">
2010, 12 months, so study ended 2011</t>
        </r>
      </text>
    </comment>
    <comment ref="M200" authorId="9" shapeId="0" xr:uid="{00000000-0006-0000-0600-0000AE010000}">
      <text>
        <r>
          <rPr>
            <b/>
            <sz val="9"/>
            <color indexed="81"/>
            <rFont val="Tahoma"/>
            <family val="2"/>
          </rPr>
          <t>pauline.quach:</t>
        </r>
        <r>
          <rPr>
            <sz val="9"/>
            <color indexed="81"/>
            <rFont val="Tahoma"/>
            <family val="2"/>
          </rPr>
          <t xml:space="preserve">
Year of publication</t>
        </r>
      </text>
    </comment>
    <comment ref="AA200" authorId="9" shapeId="0" xr:uid="{00000000-0006-0000-0600-0000AF010000}">
      <text>
        <r>
          <rPr>
            <b/>
            <sz val="9"/>
            <color indexed="81"/>
            <rFont val="Tahoma"/>
            <family val="2"/>
          </rPr>
          <t>pauline.quach:</t>
        </r>
        <r>
          <rPr>
            <sz val="9"/>
            <color indexed="81"/>
            <rFont val="Tahoma"/>
            <family val="2"/>
          </rPr>
          <t xml:space="preserve">
Person who randomized was blinded to outcome assessment? Not the same?</t>
        </r>
      </text>
    </comment>
    <comment ref="M201" authorId="8" shapeId="0" xr:uid="{00000000-0006-0000-0600-0000B0010000}">
      <text>
        <r>
          <rPr>
            <b/>
            <sz val="9"/>
            <color indexed="81"/>
            <rFont val="Tahoma"/>
            <family val="2"/>
          </rPr>
          <t xml:space="preserve">Quach, Pauline:
</t>
        </r>
        <r>
          <rPr>
            <sz val="9"/>
            <color indexed="81"/>
            <rFont val="Tahoma"/>
            <family val="2"/>
          </rPr>
          <t>recruitment from August 2008 to January 2010. Study lasted 12 months, so approx study end date is Jan 2011</t>
        </r>
      </text>
    </comment>
    <comment ref="O202" authorId="8" shapeId="0" xr:uid="{00000000-0006-0000-0600-0000B1010000}">
      <text>
        <r>
          <rPr>
            <b/>
            <sz val="9"/>
            <color indexed="81"/>
            <rFont val="Tahoma"/>
            <family val="2"/>
          </rPr>
          <t>Quach, Pauline:</t>
        </r>
        <r>
          <rPr>
            <sz val="9"/>
            <color indexed="81"/>
            <rFont val="Tahoma"/>
            <family val="2"/>
          </rPr>
          <t xml:space="preserve">
Only provided per arm, not for whole study</t>
        </r>
      </text>
    </comment>
    <comment ref="P202" authorId="8" shapeId="0" xr:uid="{00000000-0006-0000-0600-0000B2010000}">
      <text>
        <r>
          <rPr>
            <b/>
            <sz val="9"/>
            <color indexed="81"/>
            <rFont val="Tahoma"/>
            <family val="2"/>
          </rPr>
          <t>Quach, Pauline:</t>
        </r>
        <r>
          <rPr>
            <sz val="9"/>
            <color indexed="81"/>
            <rFont val="Tahoma"/>
            <family val="2"/>
          </rPr>
          <t xml:space="preserve">
Only provided per arm, not for whole study</t>
        </r>
      </text>
    </comment>
    <comment ref="Q202" authorId="8" shapeId="0" xr:uid="{00000000-0006-0000-0600-0000B3010000}">
      <text>
        <r>
          <rPr>
            <b/>
            <sz val="9"/>
            <color indexed="81"/>
            <rFont val="Tahoma"/>
            <family val="2"/>
          </rPr>
          <t>Quach, Pauline:</t>
        </r>
        <r>
          <rPr>
            <sz val="9"/>
            <color indexed="81"/>
            <rFont val="Tahoma"/>
            <family val="2"/>
          </rPr>
          <t xml:space="preserve">
Only provided per arm, not for whole study</t>
        </r>
      </text>
    </comment>
    <comment ref="O203" authorId="3" shapeId="0" xr:uid="{00000000-0006-0000-0600-0000B4010000}">
      <text>
        <r>
          <rPr>
            <b/>
            <sz val="9"/>
            <color indexed="81"/>
            <rFont val="Verdana"/>
            <family val="2"/>
          </rPr>
          <t>Kristin Danko:</t>
        </r>
        <r>
          <rPr>
            <sz val="9"/>
            <color indexed="81"/>
            <rFont val="Verdana"/>
            <family val="2"/>
          </rPr>
          <t xml:space="preserve">
only report at arm level; not study as a whole</t>
        </r>
      </text>
    </comment>
    <comment ref="P203" authorId="3" shapeId="0" xr:uid="{00000000-0006-0000-0600-0000B5010000}">
      <text>
        <r>
          <rPr>
            <b/>
            <sz val="9"/>
            <color indexed="81"/>
            <rFont val="Verdana"/>
            <family val="2"/>
          </rPr>
          <t>Kristin Danko:</t>
        </r>
        <r>
          <rPr>
            <sz val="9"/>
            <color indexed="81"/>
            <rFont val="Verdana"/>
            <family val="2"/>
          </rPr>
          <t xml:space="preserve">
only report at arm level; not study as a whole</t>
        </r>
      </text>
    </comment>
    <comment ref="Q203" authorId="3" shapeId="0" xr:uid="{00000000-0006-0000-0600-0000B6010000}">
      <text>
        <r>
          <rPr>
            <b/>
            <sz val="9"/>
            <color indexed="81"/>
            <rFont val="Verdana"/>
            <family val="2"/>
          </rPr>
          <t>Kristin Danko:</t>
        </r>
        <r>
          <rPr>
            <sz val="9"/>
            <color indexed="81"/>
            <rFont val="Verdana"/>
            <family val="2"/>
          </rPr>
          <t xml:space="preserve">
only report at arm level; not study as a whole</t>
        </r>
      </text>
    </comment>
    <comment ref="I204" authorId="8" shapeId="0" xr:uid="{00000000-0006-0000-0600-0000B7010000}">
      <text>
        <r>
          <rPr>
            <b/>
            <sz val="9"/>
            <color indexed="81"/>
            <rFont val="Tahoma"/>
            <family val="2"/>
          </rPr>
          <t>Quach, Pauline:</t>
        </r>
        <r>
          <rPr>
            <sz val="9"/>
            <color indexed="81"/>
            <rFont val="Tahoma"/>
            <family val="2"/>
          </rPr>
          <t xml:space="preserve">
Australia and New Zealand Clinical Trials Registry</t>
        </r>
      </text>
    </comment>
    <comment ref="M204" authorId="8" shapeId="0" xr:uid="{00000000-0006-0000-0600-0000B8010000}">
      <text>
        <r>
          <rPr>
            <b/>
            <sz val="9"/>
            <color indexed="81"/>
            <rFont val="Tahoma"/>
            <family val="2"/>
          </rPr>
          <t>Quach, Pauline:</t>
        </r>
        <r>
          <rPr>
            <sz val="9"/>
            <color indexed="81"/>
            <rFont val="Tahoma"/>
            <family val="2"/>
          </rPr>
          <t xml:space="preserve">
Year of publication</t>
        </r>
      </text>
    </comment>
    <comment ref="O204" authorId="8" shapeId="0" xr:uid="{00000000-0006-0000-0600-0000B9010000}">
      <text>
        <r>
          <rPr>
            <b/>
            <sz val="9"/>
            <color indexed="81"/>
            <rFont val="Tahoma"/>
            <family val="2"/>
          </rPr>
          <t>Quach, Pauline:</t>
        </r>
        <r>
          <rPr>
            <sz val="9"/>
            <color indexed="81"/>
            <rFont val="Tahoma"/>
            <family val="2"/>
          </rPr>
          <t xml:space="preserve">
Only provided per arm, not for whole study</t>
        </r>
      </text>
    </comment>
    <comment ref="P204" authorId="8" shapeId="0" xr:uid="{00000000-0006-0000-0600-0000BA010000}">
      <text>
        <r>
          <rPr>
            <b/>
            <sz val="9"/>
            <color indexed="81"/>
            <rFont val="Tahoma"/>
            <family val="2"/>
          </rPr>
          <t>Quach, Pauline:</t>
        </r>
        <r>
          <rPr>
            <sz val="9"/>
            <color indexed="81"/>
            <rFont val="Tahoma"/>
            <family val="2"/>
          </rPr>
          <t xml:space="preserve">
Only provided per arm, not for whole study</t>
        </r>
      </text>
    </comment>
    <comment ref="Q204" authorId="8" shapeId="0" xr:uid="{00000000-0006-0000-0600-0000BB010000}">
      <text>
        <r>
          <rPr>
            <b/>
            <sz val="9"/>
            <color indexed="81"/>
            <rFont val="Tahoma"/>
            <family val="2"/>
          </rPr>
          <t>Quach, Pauline:</t>
        </r>
        <r>
          <rPr>
            <sz val="9"/>
            <color indexed="81"/>
            <rFont val="Tahoma"/>
            <family val="2"/>
          </rPr>
          <t xml:space="preserve">
Only provided per arm, not for whole study</t>
        </r>
      </text>
    </comment>
    <comment ref="S204" authorId="8" shapeId="0" xr:uid="{00000000-0006-0000-0600-0000BC010000}">
      <text>
        <r>
          <rPr>
            <b/>
            <sz val="9"/>
            <color indexed="81"/>
            <rFont val="Tahoma"/>
            <family val="2"/>
          </rPr>
          <t>Quach, Pauline:</t>
        </r>
        <r>
          <rPr>
            <sz val="9"/>
            <color indexed="81"/>
            <rFont val="Tahoma"/>
            <family val="2"/>
          </rPr>
          <t xml:space="preserve">
Note: Included those who had Depression with TD2 or CHD or both - extracted only HbA1c outcome reported for diabetic population exclusively</t>
        </r>
      </text>
    </comment>
    <comment ref="I205" authorId="9" shapeId="0" xr:uid="{00000000-0006-0000-0600-0000BD010000}">
      <text>
        <r>
          <rPr>
            <b/>
            <sz val="9"/>
            <color indexed="81"/>
            <rFont val="Tahoma"/>
            <family val="2"/>
          </rPr>
          <t>pauline.quach:</t>
        </r>
        <r>
          <rPr>
            <sz val="9"/>
            <color indexed="81"/>
            <rFont val="Tahoma"/>
            <family val="2"/>
          </rPr>
          <t xml:space="preserve">
Australian New Zealand Clinical Trials Registry</t>
        </r>
      </text>
    </comment>
    <comment ref="M205" authorId="9" shapeId="0" xr:uid="{00000000-0006-0000-0600-0000BE010000}">
      <text>
        <r>
          <rPr>
            <b/>
            <sz val="9"/>
            <color indexed="81"/>
            <rFont val="Tahoma"/>
            <family val="2"/>
          </rPr>
          <t>pauline.quach:</t>
        </r>
        <r>
          <rPr>
            <sz val="9"/>
            <color indexed="81"/>
            <rFont val="Tahoma"/>
            <family val="2"/>
          </rPr>
          <t xml:space="preserve">
Year of publication</t>
        </r>
      </text>
    </comment>
    <comment ref="I206" authorId="9" shapeId="0" xr:uid="{00000000-0006-0000-0600-0000BF010000}">
      <text>
        <r>
          <rPr>
            <b/>
            <sz val="9"/>
            <color indexed="81"/>
            <rFont val="Tahoma"/>
            <family val="2"/>
          </rPr>
          <t>pauline.quach:</t>
        </r>
        <r>
          <rPr>
            <sz val="9"/>
            <color indexed="81"/>
            <rFont val="Tahoma"/>
            <family val="2"/>
          </rPr>
          <t xml:space="preserve">
clinicaltrials.gov</t>
        </r>
      </text>
    </comment>
    <comment ref="M206" authorId="9" shapeId="0" xr:uid="{00000000-0006-0000-0600-0000C0010000}">
      <text>
        <r>
          <rPr>
            <b/>
            <sz val="9"/>
            <color indexed="81"/>
            <rFont val="Tahoma"/>
            <family val="2"/>
          </rPr>
          <t>pauline.quach:</t>
        </r>
        <r>
          <rPr>
            <sz val="9"/>
            <color indexed="81"/>
            <rFont val="Tahoma"/>
            <family val="2"/>
          </rPr>
          <t xml:space="preserve">
recruitment between Oct 2008-March 2010. Study lasted 18 m, end of year study conduct- approx Sept 2011.</t>
        </r>
      </text>
    </comment>
    <comment ref="O206" authorId="8" shapeId="0" xr:uid="{00000000-0006-0000-0600-0000C1010000}">
      <text>
        <r>
          <rPr>
            <b/>
            <sz val="9"/>
            <color indexed="81"/>
            <rFont val="Tahoma"/>
            <family val="2"/>
          </rPr>
          <t>Quach, Pauline:</t>
        </r>
        <r>
          <rPr>
            <sz val="9"/>
            <color indexed="81"/>
            <rFont val="Tahoma"/>
            <family val="2"/>
          </rPr>
          <t xml:space="preserve">
Only provided per arm, not for whole study</t>
        </r>
      </text>
    </comment>
    <comment ref="P206" authorId="8" shapeId="0" xr:uid="{00000000-0006-0000-0600-0000C2010000}">
      <text>
        <r>
          <rPr>
            <b/>
            <sz val="9"/>
            <color indexed="81"/>
            <rFont val="Tahoma"/>
            <family val="2"/>
          </rPr>
          <t>Quach, Pauline:</t>
        </r>
        <r>
          <rPr>
            <sz val="9"/>
            <color indexed="81"/>
            <rFont val="Tahoma"/>
            <family val="2"/>
          </rPr>
          <t xml:space="preserve">
Only provided per arm, not for whole study</t>
        </r>
      </text>
    </comment>
    <comment ref="Q206" authorId="8" shapeId="0" xr:uid="{00000000-0006-0000-0600-0000C3010000}">
      <text>
        <r>
          <rPr>
            <b/>
            <sz val="9"/>
            <color indexed="81"/>
            <rFont val="Tahoma"/>
            <family val="2"/>
          </rPr>
          <t>Quach, Pauline:</t>
        </r>
        <r>
          <rPr>
            <sz val="9"/>
            <color indexed="81"/>
            <rFont val="Tahoma"/>
            <family val="2"/>
          </rPr>
          <t xml:space="preserve">
Only provided per arm, not for whole study</t>
        </r>
      </text>
    </comment>
    <comment ref="I207" authorId="8" shapeId="0" xr:uid="{00000000-0006-0000-0600-0000C4010000}">
      <text>
        <r>
          <rPr>
            <b/>
            <sz val="9"/>
            <color indexed="81"/>
            <rFont val="Tahoma"/>
            <family val="2"/>
          </rPr>
          <t>Quach, Pauline:</t>
        </r>
        <r>
          <rPr>
            <sz val="9"/>
            <color indexed="81"/>
            <rFont val="Tahoma"/>
            <family val="2"/>
          </rPr>
          <t xml:space="preserve">
Pan African Clinical Trial Registry (www.pactr.org)</t>
        </r>
      </text>
    </comment>
    <comment ref="O207" authorId="8" shapeId="0" xr:uid="{00000000-0006-0000-0600-0000C5010000}">
      <text>
        <r>
          <rPr>
            <b/>
            <sz val="9"/>
            <color indexed="81"/>
            <rFont val="Tahoma"/>
            <family val="2"/>
          </rPr>
          <t>Quach, Pauline:</t>
        </r>
        <r>
          <rPr>
            <sz val="9"/>
            <color indexed="81"/>
            <rFont val="Tahoma"/>
            <family val="2"/>
          </rPr>
          <t xml:space="preserve">
Only provided per arm, not for whole study</t>
        </r>
      </text>
    </comment>
    <comment ref="P207" authorId="8" shapeId="0" xr:uid="{00000000-0006-0000-0600-0000C6010000}">
      <text>
        <r>
          <rPr>
            <b/>
            <sz val="9"/>
            <color indexed="81"/>
            <rFont val="Tahoma"/>
            <family val="2"/>
          </rPr>
          <t>Quach, Pauline:</t>
        </r>
        <r>
          <rPr>
            <sz val="9"/>
            <color indexed="81"/>
            <rFont val="Tahoma"/>
            <family val="2"/>
          </rPr>
          <t xml:space="preserve">
Only provided per arm, not for whole study</t>
        </r>
      </text>
    </comment>
    <comment ref="Q207" authorId="8" shapeId="0" xr:uid="{00000000-0006-0000-0600-0000C7010000}">
      <text>
        <r>
          <rPr>
            <b/>
            <sz val="9"/>
            <color indexed="81"/>
            <rFont val="Tahoma"/>
            <family val="2"/>
          </rPr>
          <t>Quach, Pauline:</t>
        </r>
        <r>
          <rPr>
            <sz val="9"/>
            <color indexed="81"/>
            <rFont val="Tahoma"/>
            <family val="2"/>
          </rPr>
          <t xml:space="preserve">
Only provided per arm, not for whole study</t>
        </r>
      </text>
    </comment>
    <comment ref="S207" authorId="8" shapeId="0" xr:uid="{00000000-0006-0000-0600-0000C8010000}">
      <text>
        <r>
          <rPr>
            <b/>
            <sz val="9"/>
            <color indexed="81"/>
            <rFont val="Tahoma"/>
            <family val="2"/>
          </rPr>
          <t>Quach, Pauline:</t>
        </r>
        <r>
          <rPr>
            <sz val="9"/>
            <color indexed="81"/>
            <rFont val="Tahoma"/>
            <family val="2"/>
          </rPr>
          <t xml:space="preserve">
This trial included separate cohorts for diabetes and hypertension. We will report only on diabetes.</t>
        </r>
      </text>
    </comment>
    <comment ref="I208" authorId="8" shapeId="0" xr:uid="{00000000-0006-0000-0600-0000C9010000}">
      <text>
        <r>
          <rPr>
            <b/>
            <sz val="9"/>
            <color indexed="81"/>
            <rFont val="Tahoma"/>
            <family val="2"/>
          </rPr>
          <t>Quach, Pauline:</t>
        </r>
        <r>
          <rPr>
            <sz val="9"/>
            <color indexed="81"/>
            <rFont val="Tahoma"/>
            <family val="2"/>
          </rPr>
          <t xml:space="preserve">
FOUND on clinicaltrials.gov</t>
        </r>
      </text>
    </comment>
    <comment ref="P208" authorId="8" shapeId="0" xr:uid="{00000000-0006-0000-0600-0000CA010000}">
      <text>
        <r>
          <rPr>
            <b/>
            <sz val="9"/>
            <color indexed="81"/>
            <rFont val="Tahoma"/>
            <family val="2"/>
          </rPr>
          <t>Quach, Pauline:</t>
        </r>
        <r>
          <rPr>
            <sz val="9"/>
            <color indexed="81"/>
            <rFont val="Tahoma"/>
            <family val="2"/>
          </rPr>
          <t xml:space="preserve">
RANGE 47-73</t>
        </r>
      </text>
    </comment>
    <comment ref="A209" authorId="8" shapeId="0" xr:uid="{00000000-0006-0000-0600-0000CB010000}">
      <text>
        <r>
          <rPr>
            <b/>
            <sz val="9"/>
            <color indexed="81"/>
            <rFont val="Tahoma"/>
            <family val="2"/>
          </rPr>
          <t>Quach, Pauline:</t>
        </r>
        <r>
          <rPr>
            <sz val="9"/>
            <color indexed="81"/>
            <rFont val="Tahoma"/>
            <family val="2"/>
          </rPr>
          <t xml:space="preserve">
Here they do a crossover, if we want to look at the effect of the intervention w/o cross-over, we wiill take the outcomes before switching over--which they report.</t>
        </r>
      </text>
    </comment>
    <comment ref="M209" authorId="8" shapeId="0" xr:uid="{00000000-0006-0000-0600-0000CC010000}">
      <text>
        <r>
          <rPr>
            <b/>
            <sz val="9"/>
            <color indexed="81"/>
            <rFont val="Tahoma"/>
            <family val="2"/>
          </rPr>
          <t>Quach, Pauline:</t>
        </r>
        <r>
          <rPr>
            <sz val="9"/>
            <color indexed="81"/>
            <rFont val="Tahoma"/>
            <family val="2"/>
          </rPr>
          <t xml:space="preserve">
Recruitment end date was Dec 2008. Study lasted 7 mnths, so approx end of year study conduct was July 2009.</t>
        </r>
      </text>
    </comment>
    <comment ref="O209" authorId="8" shapeId="0" xr:uid="{00000000-0006-0000-0600-0000CD010000}">
      <text>
        <r>
          <rPr>
            <b/>
            <sz val="9"/>
            <color indexed="81"/>
            <rFont val="Tahoma"/>
            <family val="2"/>
          </rPr>
          <t>Quach, Pauline:</t>
        </r>
        <r>
          <rPr>
            <sz val="9"/>
            <color indexed="81"/>
            <rFont val="Tahoma"/>
            <family val="2"/>
          </rPr>
          <t xml:space="preserve">
BASED ON THOSE WHO COMPLETED.</t>
        </r>
      </text>
    </comment>
    <comment ref="P209" authorId="8" shapeId="0" xr:uid="{00000000-0006-0000-0600-0000CE010000}">
      <text>
        <r>
          <rPr>
            <b/>
            <sz val="9"/>
            <color indexed="81"/>
            <rFont val="Tahoma"/>
            <family val="2"/>
          </rPr>
          <t>Quach, Pauline:</t>
        </r>
        <r>
          <rPr>
            <sz val="9"/>
            <color indexed="81"/>
            <rFont val="Tahoma"/>
            <family val="2"/>
          </rPr>
          <t xml:space="preserve">
BASED ON THOSE WHO COMPLETED.</t>
        </r>
      </text>
    </comment>
    <comment ref="Q209" authorId="8" shapeId="0" xr:uid="{00000000-0006-0000-0600-0000CF010000}">
      <text>
        <r>
          <rPr>
            <b/>
            <sz val="9"/>
            <color indexed="81"/>
            <rFont val="Tahoma"/>
            <family val="2"/>
          </rPr>
          <t>Quach, Pauline:</t>
        </r>
        <r>
          <rPr>
            <sz val="9"/>
            <color indexed="81"/>
            <rFont val="Tahoma"/>
            <family val="2"/>
          </rPr>
          <t xml:space="preserve">
BASED ON THOSE WHO COMPLETED.</t>
        </r>
      </text>
    </comment>
    <comment ref="M210" authorId="9" shapeId="0" xr:uid="{00000000-0006-0000-0600-0000D0010000}">
      <text>
        <r>
          <rPr>
            <b/>
            <sz val="9"/>
            <color indexed="81"/>
            <rFont val="Tahoma"/>
            <family val="2"/>
          </rPr>
          <t>pauline.quach:</t>
        </r>
        <r>
          <rPr>
            <sz val="9"/>
            <color indexed="81"/>
            <rFont val="Tahoma"/>
            <family val="2"/>
          </rPr>
          <t xml:space="preserve">
ranodomized/enrolled between April-Sept 2008. Study lasted 12mo, so end of study was sept 2009.</t>
        </r>
      </text>
    </comment>
    <comment ref="I211" authorId="9" shapeId="0" xr:uid="{00000000-0006-0000-0600-0000D1010000}">
      <text>
        <r>
          <rPr>
            <b/>
            <sz val="9"/>
            <color indexed="81"/>
            <rFont val="Tahoma"/>
            <family val="2"/>
          </rPr>
          <t>pauline.quach:</t>
        </r>
        <r>
          <rPr>
            <sz val="9"/>
            <color indexed="81"/>
            <rFont val="Tahoma"/>
            <family val="2"/>
          </rPr>
          <t xml:space="preserve">
Current Controlled Trials</t>
        </r>
      </text>
    </comment>
    <comment ref="I212" authorId="8" shapeId="0" xr:uid="{00000000-0006-0000-0600-0000D2010000}">
      <text>
        <r>
          <rPr>
            <b/>
            <sz val="9"/>
            <color indexed="81"/>
            <rFont val="Tahoma"/>
            <family val="2"/>
          </rPr>
          <t>Quach, Pauline:</t>
        </r>
        <r>
          <rPr>
            <sz val="9"/>
            <color indexed="81"/>
            <rFont val="Tahoma"/>
            <family val="2"/>
          </rPr>
          <t xml:space="preserve">
Australian New Zealand Clinical Trials Registry</t>
        </r>
      </text>
    </comment>
    <comment ref="M212" authorId="9" shapeId="0" xr:uid="{00000000-0006-0000-0600-0000D3010000}">
      <text>
        <r>
          <rPr>
            <b/>
            <sz val="9"/>
            <color indexed="81"/>
            <rFont val="Tahoma"/>
            <family val="2"/>
          </rPr>
          <t>pauline.quach:</t>
        </r>
        <r>
          <rPr>
            <sz val="9"/>
            <color indexed="81"/>
            <rFont val="Tahoma"/>
            <family val="2"/>
          </rPr>
          <t xml:space="preserve">
Year of publication</t>
        </r>
      </text>
    </comment>
    <comment ref="I213" authorId="8" shapeId="0" xr:uid="{00000000-0006-0000-0600-0000D4010000}">
      <text>
        <r>
          <rPr>
            <b/>
            <sz val="9"/>
            <color indexed="81"/>
            <rFont val="Tahoma"/>
            <family val="2"/>
          </rPr>
          <t>Quach, Pauline:</t>
        </r>
        <r>
          <rPr>
            <sz val="9"/>
            <color indexed="81"/>
            <rFont val="Tahoma"/>
            <family val="2"/>
          </rPr>
          <t xml:space="preserve">
clinicaltrials.gov</t>
        </r>
      </text>
    </comment>
    <comment ref="M213" authorId="8" shapeId="0" xr:uid="{00000000-0006-0000-0600-0000D5010000}">
      <text>
        <r>
          <rPr>
            <b/>
            <sz val="9"/>
            <color indexed="81"/>
            <rFont val="Tahoma"/>
            <family val="2"/>
          </rPr>
          <t>Quach, Pauline:</t>
        </r>
        <r>
          <rPr>
            <sz val="9"/>
            <color indexed="81"/>
            <rFont val="Tahoma"/>
            <family val="2"/>
          </rPr>
          <t xml:space="preserve">
Year of publication</t>
        </r>
      </text>
    </comment>
    <comment ref="O213" authorId="8" shapeId="0" xr:uid="{00000000-0006-0000-0600-0000D6010000}">
      <text>
        <r>
          <rPr>
            <b/>
            <sz val="9"/>
            <color indexed="81"/>
            <rFont val="Tahoma"/>
            <family val="2"/>
          </rPr>
          <t>Quach, Pauline:</t>
        </r>
        <r>
          <rPr>
            <sz val="9"/>
            <color indexed="81"/>
            <rFont val="Tahoma"/>
            <family val="2"/>
          </rPr>
          <t xml:space="preserve">
Only provided per arm, not for whole study</t>
        </r>
      </text>
    </comment>
    <comment ref="P213" authorId="8" shapeId="0" xr:uid="{00000000-0006-0000-0600-0000D7010000}">
      <text>
        <r>
          <rPr>
            <b/>
            <sz val="9"/>
            <color indexed="81"/>
            <rFont val="Tahoma"/>
            <family val="2"/>
          </rPr>
          <t>Quach, Pauline:</t>
        </r>
        <r>
          <rPr>
            <sz val="9"/>
            <color indexed="81"/>
            <rFont val="Tahoma"/>
            <family val="2"/>
          </rPr>
          <t xml:space="preserve">
Only provided per arm, not for whole study</t>
        </r>
      </text>
    </comment>
    <comment ref="Q213" authorId="8" shapeId="0" xr:uid="{00000000-0006-0000-0600-0000D8010000}">
      <text>
        <r>
          <rPr>
            <b/>
            <sz val="9"/>
            <color indexed="81"/>
            <rFont val="Tahoma"/>
            <family val="2"/>
          </rPr>
          <t>Quach, Pauline:</t>
        </r>
        <r>
          <rPr>
            <sz val="9"/>
            <color indexed="81"/>
            <rFont val="Tahoma"/>
            <family val="2"/>
          </rPr>
          <t xml:space="preserve">
Only provided per arm, not for whole study</t>
        </r>
      </text>
    </comment>
    <comment ref="AR213" authorId="8" shapeId="0" xr:uid="{00000000-0006-0000-0600-0000D9010000}">
      <text>
        <r>
          <rPr>
            <b/>
            <sz val="9"/>
            <color rgb="FF000000"/>
            <rFont val="Tahoma"/>
            <family val="2"/>
          </rPr>
          <t>Quach, Pauline:</t>
        </r>
        <r>
          <rPr>
            <sz val="9"/>
            <color rgb="FF000000"/>
            <rFont val="Tahoma"/>
            <family val="2"/>
          </rPr>
          <t xml:space="preserve">
</t>
        </r>
        <r>
          <rPr>
            <sz val="9"/>
            <color rgb="FF000000"/>
            <rFont val="Tahoma"/>
            <family val="2"/>
          </rPr>
          <t>Used web plot digitizer</t>
        </r>
      </text>
    </comment>
    <comment ref="I214" authorId="9" shapeId="0" xr:uid="{00000000-0006-0000-0600-0000DA010000}">
      <text>
        <r>
          <rPr>
            <b/>
            <sz val="9"/>
            <color indexed="81"/>
            <rFont val="Tahoma"/>
            <family val="2"/>
          </rPr>
          <t>pauline.quach:</t>
        </r>
        <r>
          <rPr>
            <sz val="9"/>
            <color indexed="81"/>
            <rFont val="Tahoma"/>
            <family val="2"/>
          </rPr>
          <t xml:space="preserve">
clinicaltrials.gov</t>
        </r>
      </text>
    </comment>
    <comment ref="M214" authorId="9" shapeId="0" xr:uid="{00000000-0006-0000-0600-0000DB010000}">
      <text>
        <r>
          <rPr>
            <b/>
            <sz val="9"/>
            <color indexed="81"/>
            <rFont val="Tahoma"/>
            <family val="2"/>
          </rPr>
          <t>pauline.quach:</t>
        </r>
        <r>
          <rPr>
            <sz val="9"/>
            <color indexed="81"/>
            <rFont val="Tahoma"/>
            <family val="2"/>
          </rPr>
          <t xml:space="preserve">
Year of publication</t>
        </r>
      </text>
    </comment>
    <comment ref="O214" authorId="8" shapeId="0" xr:uid="{00000000-0006-0000-0600-0000DC010000}">
      <text>
        <r>
          <rPr>
            <b/>
            <sz val="9"/>
            <color indexed="81"/>
            <rFont val="Tahoma"/>
            <family val="2"/>
          </rPr>
          <t>Quach, Pauline:</t>
        </r>
        <r>
          <rPr>
            <sz val="9"/>
            <color indexed="81"/>
            <rFont val="Tahoma"/>
            <family val="2"/>
          </rPr>
          <t xml:space="preserve">
Only provided per arm, not for whole study</t>
        </r>
      </text>
    </comment>
    <comment ref="P214" authorId="8" shapeId="0" xr:uid="{00000000-0006-0000-0600-0000DD010000}">
      <text>
        <r>
          <rPr>
            <b/>
            <sz val="9"/>
            <color indexed="81"/>
            <rFont val="Tahoma"/>
            <family val="2"/>
          </rPr>
          <t>Quach, Pauline:</t>
        </r>
        <r>
          <rPr>
            <sz val="9"/>
            <color indexed="81"/>
            <rFont val="Tahoma"/>
            <family val="2"/>
          </rPr>
          <t xml:space="preserve">
Only provided per arm, not for whole study</t>
        </r>
      </text>
    </comment>
    <comment ref="Q214" authorId="8" shapeId="0" xr:uid="{00000000-0006-0000-0600-0000DE010000}">
      <text>
        <r>
          <rPr>
            <b/>
            <sz val="9"/>
            <color indexed="81"/>
            <rFont val="Tahoma"/>
            <family val="2"/>
          </rPr>
          <t>Quach, Pauline:</t>
        </r>
        <r>
          <rPr>
            <sz val="9"/>
            <color indexed="81"/>
            <rFont val="Tahoma"/>
            <family val="2"/>
          </rPr>
          <t xml:space="preserve">
Only provided per arm, not for whole study</t>
        </r>
      </text>
    </comment>
    <comment ref="M215" authorId="9" shapeId="0" xr:uid="{00000000-0006-0000-0600-0000DF010000}">
      <text>
        <r>
          <rPr>
            <b/>
            <sz val="9"/>
            <color indexed="81"/>
            <rFont val="Tahoma"/>
            <family val="2"/>
          </rPr>
          <t>pauline.quach:</t>
        </r>
        <r>
          <rPr>
            <sz val="9"/>
            <color indexed="81"/>
            <rFont val="Tahoma"/>
            <family val="2"/>
          </rPr>
          <t xml:space="preserve">
recruitment ended April 2011, study lasted 10 mo., so end of study conduct approx Feb 2012</t>
        </r>
      </text>
    </comment>
    <comment ref="O215" authorId="8" shapeId="0" xr:uid="{00000000-0006-0000-0600-0000E0010000}">
      <text>
        <r>
          <rPr>
            <b/>
            <sz val="9"/>
            <color indexed="81"/>
            <rFont val="Tahoma"/>
            <family val="2"/>
          </rPr>
          <t>Quach, Pauline:</t>
        </r>
        <r>
          <rPr>
            <sz val="9"/>
            <color indexed="81"/>
            <rFont val="Tahoma"/>
            <family val="2"/>
          </rPr>
          <t xml:space="preserve">
Only provided per arm, not for whole study</t>
        </r>
      </text>
    </comment>
    <comment ref="P215" authorId="8" shapeId="0" xr:uid="{00000000-0006-0000-0600-0000E1010000}">
      <text>
        <r>
          <rPr>
            <b/>
            <sz val="9"/>
            <color indexed="81"/>
            <rFont val="Tahoma"/>
            <family val="2"/>
          </rPr>
          <t>Quach, Pauline:</t>
        </r>
        <r>
          <rPr>
            <sz val="9"/>
            <color indexed="81"/>
            <rFont val="Tahoma"/>
            <family val="2"/>
          </rPr>
          <t xml:space="preserve">
Only provided per arm, not for whole study</t>
        </r>
      </text>
    </comment>
    <comment ref="Q215" authorId="8" shapeId="0" xr:uid="{00000000-0006-0000-0600-0000E2010000}">
      <text>
        <r>
          <rPr>
            <b/>
            <sz val="9"/>
            <color indexed="81"/>
            <rFont val="Tahoma"/>
            <family val="2"/>
          </rPr>
          <t>Quach, Pauline:</t>
        </r>
        <r>
          <rPr>
            <sz val="9"/>
            <color indexed="81"/>
            <rFont val="Tahoma"/>
            <family val="2"/>
          </rPr>
          <t xml:space="preserve">
Only provided per arm, not for whole study</t>
        </r>
      </text>
    </comment>
    <comment ref="I216" authorId="8" shapeId="0" xr:uid="{00000000-0006-0000-0600-0000E3010000}">
      <text>
        <r>
          <rPr>
            <b/>
            <sz val="9"/>
            <color indexed="81"/>
            <rFont val="Tahoma"/>
            <family val="2"/>
          </rPr>
          <t>Quach, Pauline:</t>
        </r>
        <r>
          <rPr>
            <sz val="9"/>
            <color indexed="81"/>
            <rFont val="Tahoma"/>
            <family val="2"/>
          </rPr>
          <t xml:space="preserve">
clinicaltrials.gov</t>
        </r>
      </text>
    </comment>
    <comment ref="M216" authorId="8" shapeId="0" xr:uid="{00000000-0006-0000-0600-0000E4010000}">
      <text>
        <r>
          <rPr>
            <b/>
            <sz val="9"/>
            <color indexed="81"/>
            <rFont val="Tahoma"/>
            <family val="2"/>
          </rPr>
          <t>Quach, Pauline:</t>
        </r>
        <r>
          <rPr>
            <sz val="9"/>
            <color indexed="81"/>
            <rFont val="Tahoma"/>
            <family val="2"/>
          </rPr>
          <t xml:space="preserve">
Year of publication</t>
        </r>
      </text>
    </comment>
    <comment ref="Q216" authorId="8" shapeId="0" xr:uid="{00000000-0006-0000-0600-0000E5010000}">
      <text>
        <r>
          <rPr>
            <b/>
            <sz val="9"/>
            <color indexed="81"/>
            <rFont val="Tahoma"/>
            <family val="2"/>
          </rPr>
          <t>Quach, Pauline:</t>
        </r>
        <r>
          <rPr>
            <sz val="9"/>
            <color indexed="81"/>
            <rFont val="Tahoma"/>
            <family val="2"/>
          </rPr>
          <t xml:space="preserve">
Only provided per arm, not for whole study</t>
        </r>
      </text>
    </comment>
    <comment ref="I217" authorId="8" shapeId="0" xr:uid="{00000000-0006-0000-0600-0000E6010000}">
      <text>
        <r>
          <rPr>
            <b/>
            <sz val="9"/>
            <color indexed="81"/>
            <rFont val="Tahoma"/>
            <family val="2"/>
          </rPr>
          <t>Quach, Pauline:</t>
        </r>
        <r>
          <rPr>
            <sz val="9"/>
            <color indexed="81"/>
            <rFont val="Tahoma"/>
            <family val="2"/>
          </rPr>
          <t xml:space="preserve">
clinicaltrials.gov</t>
        </r>
      </text>
    </comment>
    <comment ref="O217" authorId="8" shapeId="0" xr:uid="{00000000-0006-0000-0600-0000E7010000}">
      <text>
        <r>
          <rPr>
            <b/>
            <sz val="9"/>
            <color indexed="81"/>
            <rFont val="Tahoma"/>
            <family val="2"/>
          </rPr>
          <t>Quach, Pauline:</t>
        </r>
        <r>
          <rPr>
            <sz val="9"/>
            <color indexed="81"/>
            <rFont val="Tahoma"/>
            <family val="2"/>
          </rPr>
          <t xml:space="preserve">
Only provided per arm, not for whole study</t>
        </r>
      </text>
    </comment>
    <comment ref="P217" authorId="8" shapeId="0" xr:uid="{00000000-0006-0000-0600-0000E8010000}">
      <text>
        <r>
          <rPr>
            <b/>
            <sz val="9"/>
            <color indexed="81"/>
            <rFont val="Tahoma"/>
            <family val="2"/>
          </rPr>
          <t>Quach, Pauline:</t>
        </r>
        <r>
          <rPr>
            <sz val="9"/>
            <color indexed="81"/>
            <rFont val="Tahoma"/>
            <family val="2"/>
          </rPr>
          <t xml:space="preserve">
Only provided per arm, not for whole study</t>
        </r>
      </text>
    </comment>
    <comment ref="Q217" authorId="8" shapeId="0" xr:uid="{00000000-0006-0000-0600-0000E9010000}">
      <text>
        <r>
          <rPr>
            <b/>
            <sz val="9"/>
            <color indexed="81"/>
            <rFont val="Tahoma"/>
            <family val="2"/>
          </rPr>
          <t>Quach, Pauline:</t>
        </r>
        <r>
          <rPr>
            <sz val="9"/>
            <color indexed="81"/>
            <rFont val="Tahoma"/>
            <family val="2"/>
          </rPr>
          <t xml:space="preserve">
Only provided per arm, not for whole study</t>
        </r>
      </text>
    </comment>
    <comment ref="S217" authorId="8" shapeId="0" xr:uid="{00000000-0006-0000-0600-0000EA010000}">
      <text>
        <r>
          <rPr>
            <b/>
            <sz val="9"/>
            <color indexed="81"/>
            <rFont val="Tahoma"/>
            <family val="2"/>
          </rPr>
          <t>Quach, Pauline:</t>
        </r>
        <r>
          <rPr>
            <sz val="9"/>
            <color indexed="81"/>
            <rFont val="Tahoma"/>
            <family val="2"/>
          </rPr>
          <t xml:space="preserve">
Includes patients with diabetes, hyptertension or heart failure-- ORIGINAL DATA.
Contacted authors who gave us data for DM patients only. (total N=1366)
</t>
        </r>
      </text>
    </comment>
    <comment ref="B218" authorId="8" shapeId="0" xr:uid="{00000000-0006-0000-0600-0000EB010000}">
      <text>
        <r>
          <rPr>
            <b/>
            <sz val="9"/>
            <color indexed="81"/>
            <rFont val="Tahoma"/>
            <family val="2"/>
          </rPr>
          <t>Quach, Pauline:</t>
        </r>
        <r>
          <rPr>
            <sz val="9"/>
            <color indexed="81"/>
            <rFont val="Tahoma"/>
            <family val="2"/>
          </rPr>
          <t xml:space="preserve">
Perceived as co-pub to Lancet ID 5809, but couldn't say for sure. Contacted authors and no response. Kept as unique study. 
5809 is only 1 year and only includes 2 primary care centers. ID 12352 is 2 years and includes 12 primary care centers</t>
        </r>
      </text>
    </comment>
    <comment ref="I218" authorId="8" shapeId="0" xr:uid="{00000000-0006-0000-0600-0000EC010000}">
      <text>
        <r>
          <rPr>
            <b/>
            <sz val="9"/>
            <color indexed="81"/>
            <rFont val="Tahoma"/>
            <family val="2"/>
          </rPr>
          <t>Quach, Pauline:</t>
        </r>
        <r>
          <rPr>
            <sz val="9"/>
            <color indexed="81"/>
            <rFont val="Tahoma"/>
            <family val="2"/>
          </rPr>
          <t xml:space="preserve">
FOUND on clinicaltrials.gov</t>
        </r>
      </text>
    </comment>
    <comment ref="M218" authorId="8" shapeId="0" xr:uid="{00000000-0006-0000-0600-0000ED010000}">
      <text>
        <r>
          <rPr>
            <b/>
            <sz val="9"/>
            <color indexed="81"/>
            <rFont val="Tahoma"/>
            <family val="2"/>
          </rPr>
          <t>Quach, Pauline:</t>
        </r>
        <r>
          <rPr>
            <sz val="9"/>
            <color indexed="81"/>
            <rFont val="Tahoma"/>
            <family val="2"/>
          </rPr>
          <t xml:space="preserve">
Recruitment ended March 2008. Study lasted 2 years, so approx end of study conduct would be March 2010.</t>
        </r>
      </text>
    </comment>
    <comment ref="O218" authorId="8" shapeId="0" xr:uid="{00000000-0006-0000-0600-0000EE010000}">
      <text>
        <r>
          <rPr>
            <b/>
            <sz val="9"/>
            <color indexed="81"/>
            <rFont val="Tahoma"/>
            <family val="2"/>
          </rPr>
          <t>Quach, Pauline:</t>
        </r>
        <r>
          <rPr>
            <sz val="9"/>
            <color indexed="81"/>
            <rFont val="Tahoma"/>
            <family val="2"/>
          </rPr>
          <t xml:space="preserve">
Only provided per arm, not for whole study</t>
        </r>
      </text>
    </comment>
    <comment ref="P218" authorId="8" shapeId="0" xr:uid="{00000000-0006-0000-0600-0000EF010000}">
      <text>
        <r>
          <rPr>
            <b/>
            <sz val="9"/>
            <color indexed="81"/>
            <rFont val="Tahoma"/>
            <family val="2"/>
          </rPr>
          <t>Quach, Pauline:</t>
        </r>
        <r>
          <rPr>
            <sz val="9"/>
            <color indexed="81"/>
            <rFont val="Tahoma"/>
            <family val="2"/>
          </rPr>
          <t xml:space="preserve">
Only provided per arm, not for whole study</t>
        </r>
      </text>
    </comment>
    <comment ref="Q218" authorId="8" shapeId="0" xr:uid="{00000000-0006-0000-0600-0000F0010000}">
      <text>
        <r>
          <rPr>
            <b/>
            <sz val="9"/>
            <color indexed="81"/>
            <rFont val="Tahoma"/>
            <family val="2"/>
          </rPr>
          <t>Quach, Pauline:</t>
        </r>
        <r>
          <rPr>
            <sz val="9"/>
            <color indexed="81"/>
            <rFont val="Tahoma"/>
            <family val="2"/>
          </rPr>
          <t xml:space="preserve">
Only provided per arm, not for whole study</t>
        </r>
      </text>
    </comment>
    <comment ref="V218" authorId="8" shapeId="0" xr:uid="{00000000-0006-0000-0600-0000F1010000}">
      <text>
        <r>
          <rPr>
            <b/>
            <sz val="9"/>
            <color indexed="81"/>
            <rFont val="Tahoma"/>
            <family val="2"/>
          </rPr>
          <t>Quach, Pauline:</t>
        </r>
        <r>
          <rPr>
            <sz val="9"/>
            <color indexed="81"/>
            <rFont val="Tahoma"/>
            <family val="2"/>
          </rPr>
          <t xml:space="preserve">
Note: n=42 were moved into control group after since they did not receive intervention, 
n=271 equals # originally randomized to control group.
# reported by authors for analysis (n=313)</t>
        </r>
      </text>
    </comment>
    <comment ref="W218" authorId="8" shapeId="0" xr:uid="{00000000-0006-0000-0600-0000F2010000}">
      <text>
        <r>
          <rPr>
            <b/>
            <sz val="9"/>
            <color indexed="81"/>
            <rFont val="Tahoma"/>
            <family val="2"/>
          </rPr>
          <t>Quach, Pauline:</t>
        </r>
        <r>
          <rPr>
            <sz val="9"/>
            <color indexed="81"/>
            <rFont val="Tahoma"/>
            <family val="2"/>
          </rPr>
          <t xml:space="preserve">
Note: n=42 were moved out of  Intervention group after since they did not receive intervention, 
n=274 equals # originally randomized to control group.
# reported by authors for analysis (n=232)</t>
        </r>
      </text>
    </comment>
    <comment ref="O219" authorId="8" shapeId="0" xr:uid="{00000000-0006-0000-0600-0000F3010000}">
      <text>
        <r>
          <rPr>
            <b/>
            <sz val="9"/>
            <color indexed="81"/>
            <rFont val="Tahoma"/>
            <family val="2"/>
          </rPr>
          <t>Quach, Pauline:</t>
        </r>
        <r>
          <rPr>
            <sz val="9"/>
            <color indexed="81"/>
            <rFont val="Tahoma"/>
            <family val="2"/>
          </rPr>
          <t xml:space="preserve">
Only provided per arm, not for whole study</t>
        </r>
      </text>
    </comment>
    <comment ref="P219" authorId="8" shapeId="0" xr:uid="{00000000-0006-0000-0600-0000F4010000}">
      <text>
        <r>
          <rPr>
            <b/>
            <sz val="9"/>
            <color indexed="81"/>
            <rFont val="Tahoma"/>
            <family val="2"/>
          </rPr>
          <t>Quach, Pauline:</t>
        </r>
        <r>
          <rPr>
            <sz val="9"/>
            <color indexed="81"/>
            <rFont val="Tahoma"/>
            <family val="2"/>
          </rPr>
          <t xml:space="preserve">
Only provided per arm, not for whole study</t>
        </r>
      </text>
    </comment>
    <comment ref="Q219" authorId="8" shapeId="0" xr:uid="{00000000-0006-0000-0600-0000F5010000}">
      <text>
        <r>
          <rPr>
            <b/>
            <sz val="9"/>
            <color indexed="81"/>
            <rFont val="Tahoma"/>
            <family val="2"/>
          </rPr>
          <t>Quach, Pauline:</t>
        </r>
        <r>
          <rPr>
            <sz val="9"/>
            <color indexed="81"/>
            <rFont val="Tahoma"/>
            <family val="2"/>
          </rPr>
          <t xml:space="preserve">
Only provided per arm, not for whole study</t>
        </r>
      </text>
    </comment>
    <comment ref="I220" authorId="8" shapeId="0" xr:uid="{00000000-0006-0000-0600-0000F6010000}">
      <text>
        <r>
          <rPr>
            <b/>
            <sz val="9"/>
            <color indexed="81"/>
            <rFont val="Tahoma"/>
            <family val="2"/>
          </rPr>
          <t>Quach, Pauline:</t>
        </r>
        <r>
          <rPr>
            <sz val="9"/>
            <color indexed="81"/>
            <rFont val="Tahoma"/>
            <family val="2"/>
          </rPr>
          <t xml:space="preserve">
clinicaltrials.gov</t>
        </r>
      </text>
    </comment>
    <comment ref="M220" authorId="8" shapeId="0" xr:uid="{00000000-0006-0000-0600-0000F7010000}">
      <text>
        <r>
          <rPr>
            <b/>
            <sz val="9"/>
            <color indexed="81"/>
            <rFont val="Tahoma"/>
            <family val="2"/>
          </rPr>
          <t>Quach, Pauline:</t>
        </r>
        <r>
          <rPr>
            <sz val="9"/>
            <color indexed="81"/>
            <rFont val="Tahoma"/>
            <family val="2"/>
          </rPr>
          <t xml:space="preserve">
Year of publication</t>
        </r>
      </text>
    </comment>
    <comment ref="O220" authorId="8" shapeId="0" xr:uid="{00000000-0006-0000-0600-0000F8010000}">
      <text>
        <r>
          <rPr>
            <b/>
            <sz val="9"/>
            <color indexed="81"/>
            <rFont val="Tahoma"/>
            <family val="2"/>
          </rPr>
          <t>Quach, Pauline:</t>
        </r>
        <r>
          <rPr>
            <sz val="9"/>
            <color indexed="81"/>
            <rFont val="Tahoma"/>
            <family val="2"/>
          </rPr>
          <t xml:space="preserve">
Only provided per arm, not for whole study</t>
        </r>
      </text>
    </comment>
    <comment ref="P220" authorId="8" shapeId="0" xr:uid="{00000000-0006-0000-0600-0000F9010000}">
      <text>
        <r>
          <rPr>
            <b/>
            <sz val="9"/>
            <color indexed="81"/>
            <rFont val="Tahoma"/>
            <family val="2"/>
          </rPr>
          <t>Quach, Pauline:</t>
        </r>
        <r>
          <rPr>
            <sz val="9"/>
            <color indexed="81"/>
            <rFont val="Tahoma"/>
            <family val="2"/>
          </rPr>
          <t xml:space="preserve">
Only provided per arm, not for whole study</t>
        </r>
      </text>
    </comment>
    <comment ref="I221" authorId="8" shapeId="0" xr:uid="{00000000-0006-0000-0600-0000FA010000}">
      <text>
        <r>
          <rPr>
            <b/>
            <sz val="9"/>
            <color indexed="81"/>
            <rFont val="Tahoma"/>
            <family val="2"/>
          </rPr>
          <t>Quach, Pauline:</t>
        </r>
        <r>
          <rPr>
            <sz val="9"/>
            <color indexed="81"/>
            <rFont val="Tahoma"/>
            <family val="2"/>
          </rPr>
          <t xml:space="preserve">
clinicaltrials.gov</t>
        </r>
      </text>
    </comment>
    <comment ref="K221" authorId="8" shapeId="0" xr:uid="{00000000-0006-0000-0600-0000FB010000}">
      <text>
        <r>
          <rPr>
            <b/>
            <sz val="9"/>
            <color indexed="81"/>
            <rFont val="Tahoma"/>
            <family val="2"/>
          </rPr>
          <t>Quach, Pauline:</t>
        </r>
        <r>
          <rPr>
            <sz val="9"/>
            <color indexed="81"/>
            <rFont val="Tahoma"/>
            <family val="2"/>
          </rPr>
          <t xml:space="preserve">
randomized by village units</t>
        </r>
      </text>
    </comment>
    <comment ref="M221" authorId="8" shapeId="0" xr:uid="{00000000-0006-0000-0600-0000FC010000}">
      <text>
        <r>
          <rPr>
            <b/>
            <sz val="9"/>
            <color indexed="81"/>
            <rFont val="Tahoma"/>
            <family val="2"/>
          </rPr>
          <t>Quach, Pauline:</t>
        </r>
        <r>
          <rPr>
            <sz val="9"/>
            <color indexed="81"/>
            <rFont val="Tahoma"/>
            <family val="2"/>
          </rPr>
          <t xml:space="preserve">
end of enrollment May 2010. study lasted 12 months, so approx end study year would be May 2011</t>
        </r>
      </text>
    </comment>
    <comment ref="N221" authorId="8" shapeId="0" xr:uid="{00000000-0006-0000-0600-0000FD010000}">
      <text>
        <r>
          <rPr>
            <b/>
            <sz val="9"/>
            <color indexed="81"/>
            <rFont val="Tahoma"/>
            <family val="2"/>
          </rPr>
          <t>Quach, Pauline:</t>
        </r>
        <r>
          <rPr>
            <sz val="9"/>
            <color indexed="81"/>
            <rFont val="Tahoma"/>
            <family val="2"/>
          </rPr>
          <t xml:space="preserve">
American Samoa</t>
        </r>
      </text>
    </comment>
    <comment ref="P222" authorId="8" shapeId="0" xr:uid="{00000000-0006-0000-0600-0000FE010000}">
      <text>
        <r>
          <rPr>
            <b/>
            <sz val="9"/>
            <color indexed="81"/>
            <rFont val="Tahoma"/>
            <family val="2"/>
          </rPr>
          <t>Quach, Pauline:</t>
        </r>
        <r>
          <rPr>
            <sz val="9"/>
            <color indexed="81"/>
            <rFont val="Tahoma"/>
            <family val="2"/>
          </rPr>
          <t xml:space="preserve">
Only provided per arm, not for whole study</t>
        </r>
      </text>
    </comment>
    <comment ref="I223" authorId="8" shapeId="0" xr:uid="{00000000-0006-0000-0600-0000FF010000}">
      <text>
        <r>
          <rPr>
            <b/>
            <sz val="9"/>
            <color indexed="81"/>
            <rFont val="Tahoma"/>
            <family val="2"/>
          </rPr>
          <t>Quach, Pauline:</t>
        </r>
        <r>
          <rPr>
            <sz val="9"/>
            <color indexed="81"/>
            <rFont val="Tahoma"/>
            <family val="2"/>
          </rPr>
          <t xml:space="preserve">
Current Controlled Trials</t>
        </r>
      </text>
    </comment>
    <comment ref="M223" authorId="8" shapeId="0" xr:uid="{00000000-0006-0000-0600-000000020000}">
      <text>
        <r>
          <rPr>
            <b/>
            <sz val="9"/>
            <color indexed="81"/>
            <rFont val="Tahoma"/>
            <family val="2"/>
          </rPr>
          <t>Quach, Pauline:</t>
        </r>
        <r>
          <rPr>
            <sz val="9"/>
            <color indexed="81"/>
            <rFont val="Tahoma"/>
            <family val="2"/>
          </rPr>
          <t xml:space="preserve">
recruited between May 2006 and Feb 2007, study lated 14 months, so approx study end date is April 08.</t>
        </r>
      </text>
    </comment>
    <comment ref="O223" authorId="8" shapeId="0" xr:uid="{00000000-0006-0000-0600-000001020000}">
      <text>
        <r>
          <rPr>
            <b/>
            <sz val="9"/>
            <color indexed="81"/>
            <rFont val="Tahoma"/>
            <family val="2"/>
          </rPr>
          <t>Quach, Pauline:</t>
        </r>
        <r>
          <rPr>
            <sz val="9"/>
            <color indexed="81"/>
            <rFont val="Tahoma"/>
            <family val="2"/>
          </rPr>
          <t xml:space="preserve">
Only provided per arm, not for whole study</t>
        </r>
      </text>
    </comment>
    <comment ref="P223" authorId="8" shapeId="0" xr:uid="{00000000-0006-0000-0600-000002020000}">
      <text>
        <r>
          <rPr>
            <b/>
            <sz val="9"/>
            <color indexed="81"/>
            <rFont val="Tahoma"/>
            <family val="2"/>
          </rPr>
          <t>Quach, Pauline:</t>
        </r>
        <r>
          <rPr>
            <sz val="9"/>
            <color indexed="81"/>
            <rFont val="Tahoma"/>
            <family val="2"/>
          </rPr>
          <t xml:space="preserve">
Only provided per arm, not for whole study</t>
        </r>
      </text>
    </comment>
    <comment ref="Q223" authorId="8" shapeId="0" xr:uid="{00000000-0006-0000-0600-000003020000}">
      <text>
        <r>
          <rPr>
            <b/>
            <sz val="9"/>
            <color indexed="81"/>
            <rFont val="Tahoma"/>
            <family val="2"/>
          </rPr>
          <t>Quach, Pauline:</t>
        </r>
        <r>
          <rPr>
            <sz val="9"/>
            <color indexed="81"/>
            <rFont val="Tahoma"/>
            <family val="2"/>
          </rPr>
          <t xml:space="preserve">
Only provided per arm, not for whole study</t>
        </r>
      </text>
    </comment>
    <comment ref="B224" authorId="3" shapeId="0" xr:uid="{00000000-0006-0000-0600-000004020000}">
      <text>
        <r>
          <rPr>
            <b/>
            <sz val="9"/>
            <color indexed="81"/>
            <rFont val="Verdana"/>
            <family val="2"/>
          </rPr>
          <t>Kristin Danko:</t>
        </r>
        <r>
          <rPr>
            <sz val="9"/>
            <color indexed="81"/>
            <rFont val="Verdana"/>
            <family val="2"/>
          </rPr>
          <t xml:space="preserve">
note related, but independent study of 10243 and 9023.
co-pub to excluded ID 10238 (excluded b/c does not refer to collecting/analyzing any of our outcomes of interest)</t>
        </r>
      </text>
    </comment>
    <comment ref="M224" authorId="8" shapeId="0" xr:uid="{00000000-0006-0000-0600-000005020000}">
      <text>
        <r>
          <rPr>
            <b/>
            <sz val="9"/>
            <color indexed="81"/>
            <rFont val="Tahoma"/>
            <family val="2"/>
          </rPr>
          <t>Quach, Pauline:</t>
        </r>
        <r>
          <rPr>
            <sz val="9"/>
            <color indexed="81"/>
            <rFont val="Tahoma"/>
            <family val="2"/>
          </rPr>
          <t xml:space="preserve">
Year of publication</t>
        </r>
      </text>
    </comment>
    <comment ref="I225" authorId="8" shapeId="0" xr:uid="{00000000-0006-0000-0600-000006020000}">
      <text>
        <r>
          <rPr>
            <b/>
            <sz val="9"/>
            <color indexed="81"/>
            <rFont val="Tahoma"/>
            <family val="2"/>
          </rPr>
          <t>Quach, Pauline:</t>
        </r>
        <r>
          <rPr>
            <sz val="9"/>
            <color indexed="81"/>
            <rFont val="Tahoma"/>
            <family val="2"/>
          </rPr>
          <t xml:space="preserve">
clinicaltrials.gov</t>
        </r>
      </text>
    </comment>
    <comment ref="I226" authorId="8" shapeId="0" xr:uid="{00000000-0006-0000-0600-000007020000}">
      <text>
        <r>
          <rPr>
            <b/>
            <sz val="9"/>
            <color indexed="81"/>
            <rFont val="Tahoma"/>
            <family val="2"/>
          </rPr>
          <t>Quach, Pauline:</t>
        </r>
        <r>
          <rPr>
            <sz val="9"/>
            <color indexed="81"/>
            <rFont val="Tahoma"/>
            <family val="2"/>
          </rPr>
          <t xml:space="preserve">
clinicaltrials.gov</t>
        </r>
      </text>
    </comment>
    <comment ref="M226" authorId="8" shapeId="0" xr:uid="{00000000-0006-0000-0600-000008020000}">
      <text>
        <r>
          <rPr>
            <b/>
            <sz val="9"/>
            <color indexed="81"/>
            <rFont val="Tahoma"/>
            <family val="2"/>
          </rPr>
          <t>Quach, Pauline:</t>
        </r>
        <r>
          <rPr>
            <sz val="9"/>
            <color indexed="81"/>
            <rFont val="Tahoma"/>
            <family val="2"/>
          </rPr>
          <t xml:space="preserve">
recruitment b/w March 2008- December 2009. Study lasted 12 months, so approx end of study conduct is Dec 2010.</t>
        </r>
      </text>
    </comment>
    <comment ref="Q226" authorId="8" shapeId="0" xr:uid="{00000000-0006-0000-0600-000009020000}">
      <text>
        <r>
          <rPr>
            <b/>
            <sz val="9"/>
            <color indexed="81"/>
            <rFont val="Tahoma"/>
            <family val="2"/>
          </rPr>
          <t>Quach, Pauline:</t>
        </r>
        <r>
          <rPr>
            <sz val="9"/>
            <color indexed="81"/>
            <rFont val="Tahoma"/>
            <family val="2"/>
          </rPr>
          <t xml:space="preserve">
Only provided per arm, not for whole study</t>
        </r>
      </text>
    </comment>
    <comment ref="I227" authorId="8" shapeId="0" xr:uid="{00000000-0006-0000-0600-00000A020000}">
      <text>
        <r>
          <rPr>
            <b/>
            <sz val="9"/>
            <color indexed="81"/>
            <rFont val="Tahoma"/>
            <family val="2"/>
          </rPr>
          <t>Quach, Pauline:</t>
        </r>
        <r>
          <rPr>
            <sz val="9"/>
            <color indexed="81"/>
            <rFont val="Tahoma"/>
            <family val="2"/>
          </rPr>
          <t xml:space="preserve">
www.chictr.org</t>
        </r>
      </text>
    </comment>
    <comment ref="M227" authorId="8" shapeId="0" xr:uid="{00000000-0006-0000-0600-00000B020000}">
      <text>
        <r>
          <rPr>
            <b/>
            <sz val="9"/>
            <color indexed="81"/>
            <rFont val="Tahoma"/>
            <family val="2"/>
          </rPr>
          <t>Quach, Pauline:</t>
        </r>
        <r>
          <rPr>
            <sz val="9"/>
            <color indexed="81"/>
            <rFont val="Tahoma"/>
            <family val="2"/>
          </rPr>
          <t xml:space="preserve">
recruitment until Dec 31, 2002, follow up was 7 yrs, so end of study was 2009.</t>
        </r>
      </text>
    </comment>
    <comment ref="M228" authorId="9" shapeId="0" xr:uid="{00000000-0006-0000-0600-00000C020000}">
      <text>
        <r>
          <rPr>
            <b/>
            <sz val="9"/>
            <color indexed="81"/>
            <rFont val="Tahoma"/>
            <family val="2"/>
          </rPr>
          <t>pauline.quach:</t>
        </r>
        <r>
          <rPr>
            <sz val="9"/>
            <color indexed="81"/>
            <rFont val="Tahoma"/>
            <family val="2"/>
          </rPr>
          <t xml:space="preserve">
patients recruited until June 2011, study lasted 1 year, so approx study end date is June 2012.</t>
        </r>
      </text>
    </comment>
    <comment ref="AC228" authorId="9" shapeId="0" xr:uid="{00000000-0006-0000-0600-00000D020000}">
      <text>
        <r>
          <rPr>
            <b/>
            <sz val="9"/>
            <color indexed="81"/>
            <rFont val="Tahoma"/>
            <family val="2"/>
          </rPr>
          <t>pauline.quach:</t>
        </r>
        <r>
          <rPr>
            <sz val="9"/>
            <color indexed="81"/>
            <rFont val="Tahoma"/>
            <family val="2"/>
          </rPr>
          <t xml:space="preserve">
study actually lasted 12 months, but they provide interim 6 months data here.</t>
        </r>
      </text>
    </comment>
    <comment ref="I229" authorId="9" shapeId="0" xr:uid="{00000000-0006-0000-0600-00000E020000}">
      <text>
        <r>
          <rPr>
            <b/>
            <sz val="9"/>
            <color indexed="81"/>
            <rFont val="Tahoma"/>
            <family val="2"/>
          </rPr>
          <t>pauline.quach:</t>
        </r>
        <r>
          <rPr>
            <sz val="9"/>
            <color indexed="81"/>
            <rFont val="Tahoma"/>
            <family val="2"/>
          </rPr>
          <t xml:space="preserve">
clinicaltrials.gov</t>
        </r>
      </text>
    </comment>
    <comment ref="M229" authorId="9" shapeId="0" xr:uid="{00000000-0006-0000-0600-00000F020000}">
      <text>
        <r>
          <rPr>
            <b/>
            <sz val="9"/>
            <color indexed="81"/>
            <rFont val="Tahoma"/>
            <family val="2"/>
          </rPr>
          <t>pauline.quach:</t>
        </r>
        <r>
          <rPr>
            <sz val="9"/>
            <color indexed="81"/>
            <rFont val="Tahoma"/>
            <family val="2"/>
          </rPr>
          <t xml:space="preserve">
enrollment until May 2010, study lasted1 year, so approx end of study was May 2011.</t>
        </r>
      </text>
    </comment>
    <comment ref="AC229" authorId="9" shapeId="0" xr:uid="{00000000-0006-0000-0600-000010020000}">
      <text>
        <r>
          <rPr>
            <b/>
            <sz val="9"/>
            <color indexed="81"/>
            <rFont val="Tahoma"/>
            <family val="2"/>
          </rPr>
          <t>pauline.quach:</t>
        </r>
        <r>
          <rPr>
            <sz val="9"/>
            <color indexed="81"/>
            <rFont val="Tahoma"/>
            <family val="2"/>
          </rPr>
          <t xml:space="preserve">
and 6 months to 12 months, but not baseline to 12 months, so will report on baseline to 6 monts.</t>
        </r>
      </text>
    </comment>
    <comment ref="M230" authorId="8" shapeId="0" xr:uid="{00000000-0006-0000-0600-000011020000}">
      <text>
        <r>
          <rPr>
            <b/>
            <sz val="9"/>
            <color indexed="81"/>
            <rFont val="Tahoma"/>
            <family val="2"/>
          </rPr>
          <t>Quach, Pauline:</t>
        </r>
        <r>
          <rPr>
            <sz val="9"/>
            <color indexed="81"/>
            <rFont val="Tahoma"/>
            <family val="2"/>
          </rPr>
          <t xml:space="preserve">
Year of publication</t>
        </r>
      </text>
    </comment>
    <comment ref="O230" authorId="8" shapeId="0" xr:uid="{00000000-0006-0000-0600-000012020000}">
      <text>
        <r>
          <rPr>
            <b/>
            <sz val="9"/>
            <color indexed="81"/>
            <rFont val="Tahoma"/>
            <family val="2"/>
          </rPr>
          <t>Quach, Pauline:</t>
        </r>
        <r>
          <rPr>
            <sz val="9"/>
            <color indexed="81"/>
            <rFont val="Tahoma"/>
            <family val="2"/>
          </rPr>
          <t xml:space="preserve">
RANGE: 18-39</t>
        </r>
      </text>
    </comment>
    <comment ref="M231" authorId="8" shapeId="0" xr:uid="{00000000-0006-0000-0600-000013020000}">
      <text>
        <r>
          <rPr>
            <b/>
            <sz val="9"/>
            <color indexed="81"/>
            <rFont val="Tahoma"/>
            <family val="2"/>
          </rPr>
          <t>Quach, Pauline:</t>
        </r>
        <r>
          <rPr>
            <sz val="9"/>
            <color indexed="81"/>
            <rFont val="Tahoma"/>
            <family val="2"/>
          </rPr>
          <t xml:space="preserve">
year of publication.</t>
        </r>
      </text>
    </comment>
    <comment ref="O231" authorId="8" shapeId="0" xr:uid="{00000000-0006-0000-0600-000014020000}">
      <text>
        <r>
          <rPr>
            <b/>
            <sz val="9"/>
            <color indexed="81"/>
            <rFont val="Tahoma"/>
            <family val="2"/>
          </rPr>
          <t>Quach, Pauline:</t>
        </r>
        <r>
          <rPr>
            <sz val="9"/>
            <color indexed="81"/>
            <rFont val="Tahoma"/>
            <family val="2"/>
          </rPr>
          <t xml:space="preserve">
Mean only provided per arm, not for whole study. Range was 21-86</t>
        </r>
      </text>
    </comment>
    <comment ref="O232" authorId="8" shapeId="0" xr:uid="{00000000-0006-0000-0600-000015020000}">
      <text>
        <r>
          <rPr>
            <b/>
            <sz val="9"/>
            <color indexed="81"/>
            <rFont val="Tahoma"/>
            <family val="2"/>
          </rPr>
          <t>Quach, Pauline:</t>
        </r>
        <r>
          <rPr>
            <sz val="9"/>
            <color indexed="81"/>
            <rFont val="Tahoma"/>
            <family val="2"/>
          </rPr>
          <t xml:space="preserve">
Only provided per arm, not for whole study</t>
        </r>
      </text>
    </comment>
    <comment ref="P232" authorId="8" shapeId="0" xr:uid="{00000000-0006-0000-0600-000016020000}">
      <text>
        <r>
          <rPr>
            <b/>
            <sz val="9"/>
            <color indexed="81"/>
            <rFont val="Tahoma"/>
            <family val="2"/>
          </rPr>
          <t>Quach, Pauline:</t>
        </r>
        <r>
          <rPr>
            <sz val="9"/>
            <color indexed="81"/>
            <rFont val="Tahoma"/>
            <family val="2"/>
          </rPr>
          <t xml:space="preserve">
Only provided per arm, not for whole study</t>
        </r>
      </text>
    </comment>
    <comment ref="Q232" authorId="8" shapeId="0" xr:uid="{00000000-0006-0000-0600-000017020000}">
      <text>
        <r>
          <rPr>
            <b/>
            <sz val="9"/>
            <color indexed="81"/>
            <rFont val="Tahoma"/>
            <family val="2"/>
          </rPr>
          <t>Quach, Pauline:</t>
        </r>
        <r>
          <rPr>
            <sz val="9"/>
            <color indexed="81"/>
            <rFont val="Tahoma"/>
            <family val="2"/>
          </rPr>
          <t xml:space="preserve">
Only provided per arm, not for whole study</t>
        </r>
      </text>
    </comment>
    <comment ref="M233" authorId="8" shapeId="0" xr:uid="{00000000-0006-0000-0600-000018020000}">
      <text>
        <r>
          <rPr>
            <b/>
            <sz val="9"/>
            <color indexed="81"/>
            <rFont val="Tahoma"/>
            <family val="2"/>
          </rPr>
          <t>Quach, Pauline:</t>
        </r>
        <r>
          <rPr>
            <sz val="9"/>
            <color indexed="81"/>
            <rFont val="Tahoma"/>
            <family val="2"/>
          </rPr>
          <t xml:space="preserve">
Year of publication</t>
        </r>
      </text>
    </comment>
    <comment ref="O233" authorId="8" shapeId="0" xr:uid="{00000000-0006-0000-0600-000019020000}">
      <text>
        <r>
          <rPr>
            <b/>
            <sz val="9"/>
            <color indexed="81"/>
            <rFont val="Tahoma"/>
            <family val="2"/>
          </rPr>
          <t>Quach, Pauline:</t>
        </r>
        <r>
          <rPr>
            <sz val="9"/>
            <color indexed="81"/>
            <rFont val="Tahoma"/>
            <family val="2"/>
          </rPr>
          <t xml:space="preserve">
Only provided per arm, not for whole study</t>
        </r>
      </text>
    </comment>
    <comment ref="P233" authorId="8" shapeId="0" xr:uid="{00000000-0006-0000-0600-00001A020000}">
      <text>
        <r>
          <rPr>
            <b/>
            <sz val="9"/>
            <color indexed="81"/>
            <rFont val="Tahoma"/>
            <family val="2"/>
          </rPr>
          <t>Quach, Pauline:</t>
        </r>
        <r>
          <rPr>
            <sz val="9"/>
            <color indexed="81"/>
            <rFont val="Tahoma"/>
            <family val="2"/>
          </rPr>
          <t xml:space="preserve">
Only provided per arm, not for whole study</t>
        </r>
      </text>
    </comment>
    <comment ref="Q233" authorId="8" shapeId="0" xr:uid="{00000000-0006-0000-0600-00001B020000}">
      <text>
        <r>
          <rPr>
            <b/>
            <sz val="9"/>
            <color indexed="81"/>
            <rFont val="Tahoma"/>
            <family val="2"/>
          </rPr>
          <t>Quach, Pauline:</t>
        </r>
        <r>
          <rPr>
            <sz val="9"/>
            <color indexed="81"/>
            <rFont val="Tahoma"/>
            <family val="2"/>
          </rPr>
          <t xml:space="preserve">
Only provided per arm, not for whole study</t>
        </r>
      </text>
    </comment>
    <comment ref="I234" authorId="8" shapeId="0" xr:uid="{00000000-0006-0000-0600-00001C020000}">
      <text>
        <r>
          <rPr>
            <b/>
            <sz val="9"/>
            <color indexed="81"/>
            <rFont val="Tahoma"/>
            <family val="2"/>
          </rPr>
          <t>Quach, Pauline:</t>
        </r>
        <r>
          <rPr>
            <sz val="9"/>
            <color indexed="81"/>
            <rFont val="Tahoma"/>
            <family val="2"/>
          </rPr>
          <t xml:space="preserve">
clinicaltrials.gov</t>
        </r>
      </text>
    </comment>
    <comment ref="I235" authorId="8" shapeId="0" xr:uid="{00000000-0006-0000-0600-00001D020000}">
      <text>
        <r>
          <rPr>
            <b/>
            <sz val="9"/>
            <color indexed="81"/>
            <rFont val="Tahoma"/>
            <family val="2"/>
          </rPr>
          <t>Quach, Pauline:</t>
        </r>
        <r>
          <rPr>
            <sz val="9"/>
            <color indexed="81"/>
            <rFont val="Tahoma"/>
            <family val="2"/>
          </rPr>
          <t xml:space="preserve">
clinicaltrials.gov</t>
        </r>
      </text>
    </comment>
    <comment ref="O235" authorId="8" shapeId="0" xr:uid="{00000000-0006-0000-0600-00001E020000}">
      <text>
        <r>
          <rPr>
            <b/>
            <sz val="9"/>
            <color indexed="81"/>
            <rFont val="Tahoma"/>
            <family val="2"/>
          </rPr>
          <t>Quach, Pauline:</t>
        </r>
        <r>
          <rPr>
            <sz val="9"/>
            <color indexed="81"/>
            <rFont val="Tahoma"/>
            <family val="2"/>
          </rPr>
          <t xml:space="preserve">
Only provided per arm, not for whole study</t>
        </r>
      </text>
    </comment>
    <comment ref="P235" authorId="8" shapeId="0" xr:uid="{00000000-0006-0000-0600-00001F020000}">
      <text>
        <r>
          <rPr>
            <b/>
            <sz val="9"/>
            <color indexed="81"/>
            <rFont val="Tahoma"/>
            <family val="2"/>
          </rPr>
          <t>Quach, Pauline:</t>
        </r>
        <r>
          <rPr>
            <sz val="9"/>
            <color indexed="81"/>
            <rFont val="Tahoma"/>
            <family val="2"/>
          </rPr>
          <t xml:space="preserve">
Only provided per arm, not for whole study</t>
        </r>
      </text>
    </comment>
    <comment ref="Q235" authorId="8" shapeId="0" xr:uid="{00000000-0006-0000-0600-000020020000}">
      <text>
        <r>
          <rPr>
            <b/>
            <sz val="9"/>
            <color indexed="81"/>
            <rFont val="Tahoma"/>
            <family val="2"/>
          </rPr>
          <t>Quach, Pauline:</t>
        </r>
        <r>
          <rPr>
            <sz val="9"/>
            <color indexed="81"/>
            <rFont val="Tahoma"/>
            <family val="2"/>
          </rPr>
          <t xml:space="preserve">
Only provided per arm, not for whole study</t>
        </r>
      </text>
    </comment>
    <comment ref="V235" authorId="8" shapeId="0" xr:uid="{00000000-0006-0000-0600-000021020000}">
      <text>
        <r>
          <rPr>
            <b/>
            <sz val="9"/>
            <color indexed="81"/>
            <rFont val="Tahoma"/>
            <family val="2"/>
          </rPr>
          <t>Quach, Pauline:</t>
        </r>
        <r>
          <rPr>
            <sz val="9"/>
            <color indexed="81"/>
            <rFont val="Tahoma"/>
            <family val="2"/>
          </rPr>
          <t xml:space="preserve">
they say it was 1:1 randomization but it's not an even #.
N=643</t>
        </r>
      </text>
    </comment>
    <comment ref="W235" authorId="8" shapeId="0" xr:uid="{00000000-0006-0000-0600-000022020000}">
      <text>
        <r>
          <rPr>
            <b/>
            <sz val="9"/>
            <color indexed="81"/>
            <rFont val="Tahoma"/>
            <family val="2"/>
          </rPr>
          <t>Quach, Pauline:</t>
        </r>
        <r>
          <rPr>
            <sz val="9"/>
            <color indexed="81"/>
            <rFont val="Tahoma"/>
            <family val="2"/>
          </rPr>
          <t xml:space="preserve">
n=646</t>
        </r>
      </text>
    </comment>
    <comment ref="I236" authorId="8" shapeId="0" xr:uid="{00000000-0006-0000-0600-000023020000}">
      <text>
        <r>
          <rPr>
            <b/>
            <sz val="9"/>
            <color indexed="81"/>
            <rFont val="Tahoma"/>
            <family val="2"/>
          </rPr>
          <t>Quach, Pauline:</t>
        </r>
        <r>
          <rPr>
            <sz val="9"/>
            <color indexed="81"/>
            <rFont val="Tahoma"/>
            <family val="2"/>
          </rPr>
          <t xml:space="preserve">
www.isrctn.org</t>
        </r>
      </text>
    </comment>
    <comment ref="O236" authorId="8" shapeId="0" xr:uid="{00000000-0006-0000-0600-000024020000}">
      <text>
        <r>
          <rPr>
            <b/>
            <sz val="9"/>
            <color indexed="81"/>
            <rFont val="Tahoma"/>
            <family val="2"/>
          </rPr>
          <t>Quach, Pauline:</t>
        </r>
        <r>
          <rPr>
            <sz val="9"/>
            <color indexed="81"/>
            <rFont val="Tahoma"/>
            <family val="2"/>
          </rPr>
          <t xml:space="preserve">
Only provided per arm, not for whole study</t>
        </r>
      </text>
    </comment>
    <comment ref="P236" authorId="8" shapeId="0" xr:uid="{00000000-0006-0000-0600-000025020000}">
      <text>
        <r>
          <rPr>
            <b/>
            <sz val="9"/>
            <color indexed="81"/>
            <rFont val="Tahoma"/>
            <family val="2"/>
          </rPr>
          <t>Quach, Pauline:</t>
        </r>
        <r>
          <rPr>
            <sz val="9"/>
            <color indexed="81"/>
            <rFont val="Tahoma"/>
            <family val="2"/>
          </rPr>
          <t xml:space="preserve">
Only provided per arm, not for whole study</t>
        </r>
      </text>
    </comment>
    <comment ref="Q236" authorId="8" shapeId="0" xr:uid="{00000000-0006-0000-0600-000026020000}">
      <text>
        <r>
          <rPr>
            <b/>
            <sz val="9"/>
            <color indexed="81"/>
            <rFont val="Tahoma"/>
            <family val="2"/>
          </rPr>
          <t>Quach, Pauline:</t>
        </r>
        <r>
          <rPr>
            <sz val="9"/>
            <color indexed="81"/>
            <rFont val="Tahoma"/>
            <family val="2"/>
          </rPr>
          <t xml:space="preserve">
Only provided per arm, not for whole study</t>
        </r>
      </text>
    </comment>
    <comment ref="I237" authorId="8" shapeId="0" xr:uid="{00000000-0006-0000-0600-000027020000}">
      <text>
        <r>
          <rPr>
            <b/>
            <sz val="9"/>
            <color indexed="81"/>
            <rFont val="Tahoma"/>
            <family val="2"/>
          </rPr>
          <t>Quach, Pauline:</t>
        </r>
        <r>
          <rPr>
            <sz val="9"/>
            <color indexed="81"/>
            <rFont val="Tahoma"/>
            <family val="2"/>
          </rPr>
          <t xml:space="preserve">
clinicaltrials.gov</t>
        </r>
      </text>
    </comment>
    <comment ref="O237" authorId="8" shapeId="0" xr:uid="{00000000-0006-0000-0600-000028020000}">
      <text>
        <r>
          <rPr>
            <b/>
            <sz val="9"/>
            <color indexed="81"/>
            <rFont val="Tahoma"/>
            <family val="2"/>
          </rPr>
          <t>Quach, Pauline:</t>
        </r>
        <r>
          <rPr>
            <sz val="9"/>
            <color indexed="81"/>
            <rFont val="Tahoma"/>
            <family val="2"/>
          </rPr>
          <t xml:space="preserve">
Only provided per arm, not for whole study</t>
        </r>
      </text>
    </comment>
    <comment ref="P237" authorId="8" shapeId="0" xr:uid="{00000000-0006-0000-0600-000029020000}">
      <text>
        <r>
          <rPr>
            <b/>
            <sz val="9"/>
            <color indexed="81"/>
            <rFont val="Tahoma"/>
            <family val="2"/>
          </rPr>
          <t>Quach, Pauline:</t>
        </r>
        <r>
          <rPr>
            <sz val="9"/>
            <color indexed="81"/>
            <rFont val="Tahoma"/>
            <family val="2"/>
          </rPr>
          <t xml:space="preserve">
Only provided per arm, not for whole study</t>
        </r>
      </text>
    </comment>
    <comment ref="Q237" authorId="8" shapeId="0" xr:uid="{00000000-0006-0000-0600-00002A020000}">
      <text>
        <r>
          <rPr>
            <b/>
            <sz val="9"/>
            <color indexed="81"/>
            <rFont val="Tahoma"/>
            <family val="2"/>
          </rPr>
          <t>Quach, Pauline:</t>
        </r>
        <r>
          <rPr>
            <sz val="9"/>
            <color indexed="81"/>
            <rFont val="Tahoma"/>
            <family val="2"/>
          </rPr>
          <t xml:space="preserve">
Only provided per arm, not for whole study</t>
        </r>
      </text>
    </comment>
    <comment ref="I238" authorId="8" shapeId="0" xr:uid="{00000000-0006-0000-0600-00002B020000}">
      <text>
        <r>
          <rPr>
            <b/>
            <sz val="9"/>
            <color indexed="81"/>
            <rFont val="Tahoma"/>
            <family val="2"/>
          </rPr>
          <t>Quach, Pauline:</t>
        </r>
        <r>
          <rPr>
            <sz val="9"/>
            <color indexed="81"/>
            <rFont val="Tahoma"/>
            <family val="2"/>
          </rPr>
          <t xml:space="preserve">
International standard ranodimzed controlled trial number register</t>
        </r>
      </text>
    </comment>
    <comment ref="M238" authorId="8" shapeId="0" xr:uid="{00000000-0006-0000-0600-00002C020000}">
      <text>
        <r>
          <rPr>
            <b/>
            <sz val="9"/>
            <color indexed="81"/>
            <rFont val="Tahoma"/>
            <family val="2"/>
          </rPr>
          <t>Quach, Pauline:</t>
        </r>
        <r>
          <rPr>
            <sz val="9"/>
            <color indexed="81"/>
            <rFont val="Tahoma"/>
            <family val="2"/>
          </rPr>
          <t xml:space="preserve">
Year of publication</t>
        </r>
      </text>
    </comment>
    <comment ref="O238" authorId="8" shapeId="0" xr:uid="{00000000-0006-0000-0600-00002D020000}">
      <text>
        <r>
          <rPr>
            <b/>
            <sz val="9"/>
            <color indexed="81"/>
            <rFont val="Tahoma"/>
            <family val="2"/>
          </rPr>
          <t>Quach, Pauline:</t>
        </r>
        <r>
          <rPr>
            <sz val="9"/>
            <color indexed="81"/>
            <rFont val="Tahoma"/>
            <family val="2"/>
          </rPr>
          <t xml:space="preserve">
Only provided per arm, not for whole study</t>
        </r>
      </text>
    </comment>
    <comment ref="P238" authorId="8" shapeId="0" xr:uid="{00000000-0006-0000-0600-00002E020000}">
      <text>
        <r>
          <rPr>
            <b/>
            <sz val="9"/>
            <color indexed="81"/>
            <rFont val="Tahoma"/>
            <family val="2"/>
          </rPr>
          <t>Quach, Pauline:</t>
        </r>
        <r>
          <rPr>
            <sz val="9"/>
            <color indexed="81"/>
            <rFont val="Tahoma"/>
            <family val="2"/>
          </rPr>
          <t xml:space="preserve">
Only provided per arm, not for whole study</t>
        </r>
      </text>
    </comment>
    <comment ref="Q238" authorId="8" shapeId="0" xr:uid="{00000000-0006-0000-0600-00002F020000}">
      <text>
        <r>
          <rPr>
            <b/>
            <sz val="9"/>
            <color indexed="81"/>
            <rFont val="Tahoma"/>
            <family val="2"/>
          </rPr>
          <t>Quach, Pauline:</t>
        </r>
        <r>
          <rPr>
            <sz val="9"/>
            <color indexed="81"/>
            <rFont val="Tahoma"/>
            <family val="2"/>
          </rPr>
          <t xml:space="preserve">
Only provided per arm, not for whole study</t>
        </r>
      </text>
    </comment>
    <comment ref="I239" authorId="8" shapeId="0" xr:uid="{00000000-0006-0000-0600-000030020000}">
      <text>
        <r>
          <rPr>
            <b/>
            <sz val="9"/>
            <color indexed="81"/>
            <rFont val="Tahoma"/>
            <family val="2"/>
          </rPr>
          <t>Quach, Pauline:</t>
        </r>
        <r>
          <rPr>
            <sz val="9"/>
            <color indexed="81"/>
            <rFont val="Tahoma"/>
            <family val="2"/>
          </rPr>
          <t xml:space="preserve">
clinicaltrials.gov</t>
        </r>
      </text>
    </comment>
    <comment ref="P239" authorId="8" shapeId="0" xr:uid="{00000000-0006-0000-0600-000031020000}">
      <text>
        <r>
          <rPr>
            <b/>
            <sz val="9"/>
            <color indexed="81"/>
            <rFont val="Tahoma"/>
            <family val="2"/>
          </rPr>
          <t>Quach, Pauline:</t>
        </r>
        <r>
          <rPr>
            <sz val="9"/>
            <color indexed="81"/>
            <rFont val="Tahoma"/>
            <family val="2"/>
          </rPr>
          <t xml:space="preserve">
IMPUTED, SE WAS 1.1</t>
        </r>
      </text>
    </comment>
    <comment ref="O240" authorId="8" shapeId="0" xr:uid="{00000000-0006-0000-0600-000032020000}">
      <text>
        <r>
          <rPr>
            <b/>
            <sz val="9"/>
            <color indexed="81"/>
            <rFont val="Tahoma"/>
            <family val="2"/>
          </rPr>
          <t>Quach, Pauline:</t>
        </r>
        <r>
          <rPr>
            <sz val="9"/>
            <color indexed="81"/>
            <rFont val="Tahoma"/>
            <family val="2"/>
          </rPr>
          <t xml:space="preserve">
Only provided per arm, not for whole study</t>
        </r>
      </text>
    </comment>
    <comment ref="P240" authorId="8" shapeId="0" xr:uid="{00000000-0006-0000-0600-000033020000}">
      <text>
        <r>
          <rPr>
            <b/>
            <sz val="9"/>
            <color indexed="81"/>
            <rFont val="Tahoma"/>
            <family val="2"/>
          </rPr>
          <t>Quach, Pauline:</t>
        </r>
        <r>
          <rPr>
            <sz val="9"/>
            <color indexed="81"/>
            <rFont val="Tahoma"/>
            <family val="2"/>
          </rPr>
          <t xml:space="preserve">
Only provided per arm, not for whole study</t>
        </r>
      </text>
    </comment>
    <comment ref="Q240" authorId="8" shapeId="0" xr:uid="{00000000-0006-0000-0600-000034020000}">
      <text>
        <r>
          <rPr>
            <b/>
            <sz val="9"/>
            <color indexed="81"/>
            <rFont val="Tahoma"/>
            <family val="2"/>
          </rPr>
          <t>Quach, Pauline:</t>
        </r>
        <r>
          <rPr>
            <sz val="9"/>
            <color indexed="81"/>
            <rFont val="Tahoma"/>
            <family val="2"/>
          </rPr>
          <t xml:space="preserve">
Only provided per arm, not for whole study</t>
        </r>
      </text>
    </comment>
    <comment ref="T240" authorId="8" shapeId="0" xr:uid="{00000000-0006-0000-0600-000035020000}">
      <text>
        <r>
          <rPr>
            <b/>
            <sz val="9"/>
            <color indexed="81"/>
            <rFont val="Tahoma"/>
            <family val="2"/>
          </rPr>
          <t>Quach, Pauline:</t>
        </r>
        <r>
          <rPr>
            <sz val="9"/>
            <color indexed="81"/>
            <rFont val="Tahoma"/>
            <family val="2"/>
          </rPr>
          <t xml:space="preserve">
unclear how many randomized, they only provide actual #s for those who have completed
N=43</t>
        </r>
      </text>
    </comment>
    <comment ref="V240" authorId="8" shapeId="0" xr:uid="{00000000-0006-0000-0600-000036020000}">
      <text>
        <r>
          <rPr>
            <b/>
            <sz val="9"/>
            <color indexed="81"/>
            <rFont val="Tahoma"/>
            <family val="2"/>
          </rPr>
          <t>Quach, Pauline:</t>
        </r>
        <r>
          <rPr>
            <sz val="9"/>
            <color indexed="81"/>
            <rFont val="Tahoma"/>
            <family val="2"/>
          </rPr>
          <t xml:space="preserve">
n=24</t>
        </r>
      </text>
    </comment>
    <comment ref="W240" authorId="8" shapeId="0" xr:uid="{00000000-0006-0000-0600-000037020000}">
      <text>
        <r>
          <rPr>
            <b/>
            <sz val="9"/>
            <color indexed="81"/>
            <rFont val="Tahoma"/>
            <family val="2"/>
          </rPr>
          <t>Quach, Pauline:</t>
        </r>
        <r>
          <rPr>
            <sz val="9"/>
            <color indexed="81"/>
            <rFont val="Tahoma"/>
            <family val="2"/>
          </rPr>
          <t xml:space="preserve">
n=19</t>
        </r>
      </text>
    </comment>
    <comment ref="B241" authorId="8" shapeId="0" xr:uid="{00000000-0006-0000-0600-000038020000}">
      <text>
        <r>
          <rPr>
            <b/>
            <sz val="9"/>
            <color indexed="81"/>
            <rFont val="Tahoma"/>
            <family val="2"/>
          </rPr>
          <t>Quach, Pauline:</t>
        </r>
        <r>
          <rPr>
            <sz val="9"/>
            <color indexed="81"/>
            <rFont val="Tahoma"/>
            <family val="2"/>
          </rPr>
          <t xml:space="preserve">
extension RCT to Lancet 8019; we chose to include it as a separate study</t>
        </r>
      </text>
    </comment>
    <comment ref="G241" authorId="8" shapeId="0" xr:uid="{00000000-0006-0000-0600-000039020000}">
      <text>
        <r>
          <rPr>
            <b/>
            <sz val="9"/>
            <color indexed="81"/>
            <rFont val="Tahoma"/>
            <family val="2"/>
          </rPr>
          <t>Quach, Pauline:</t>
        </r>
        <r>
          <rPr>
            <sz val="9"/>
            <color indexed="81"/>
            <rFont val="Tahoma"/>
            <family val="2"/>
          </rPr>
          <t xml:space="preserve">
co-pub to Lancet ID: 8019</t>
        </r>
      </text>
    </comment>
    <comment ref="I241" authorId="8" shapeId="0" xr:uid="{00000000-0006-0000-0600-00003A020000}">
      <text>
        <r>
          <rPr>
            <b/>
            <sz val="9"/>
            <color indexed="81"/>
            <rFont val="Tahoma"/>
            <family val="2"/>
          </rPr>
          <t>Quach, Pauline:</t>
        </r>
        <r>
          <rPr>
            <sz val="9"/>
            <color indexed="81"/>
            <rFont val="Tahoma"/>
            <family val="2"/>
          </rPr>
          <t xml:space="preserve">
clinicaltrials.gov</t>
        </r>
      </text>
    </comment>
    <comment ref="Q241" authorId="8" shapeId="0" xr:uid="{00000000-0006-0000-0600-00003B020000}">
      <text>
        <r>
          <rPr>
            <b/>
            <sz val="9"/>
            <color indexed="81"/>
            <rFont val="Tahoma"/>
            <family val="2"/>
          </rPr>
          <t>Quach, Pauline:</t>
        </r>
        <r>
          <rPr>
            <sz val="9"/>
            <color indexed="81"/>
            <rFont val="Tahoma"/>
            <family val="2"/>
          </rPr>
          <t xml:space="preserve">
Only provided per arm, not for whole study</t>
        </r>
      </text>
    </comment>
    <comment ref="T241" authorId="8" shapeId="0" xr:uid="{00000000-0006-0000-0600-00003C020000}">
      <text>
        <r>
          <rPr>
            <b/>
            <sz val="9"/>
            <color indexed="81"/>
            <rFont val="Tahoma"/>
            <family val="2"/>
          </rPr>
          <t>Quach, Pauline:</t>
        </r>
        <r>
          <rPr>
            <sz val="9"/>
            <color indexed="81"/>
            <rFont val="Tahoma"/>
            <family val="2"/>
          </rPr>
          <t xml:space="preserve">
DiaTel original from Care Coordination group re-randomized into Usual Care or Care Coordination.</t>
        </r>
      </text>
    </comment>
    <comment ref="B242" authorId="8" shapeId="0" xr:uid="{00000000-0006-0000-0600-00003D020000}">
      <text>
        <r>
          <rPr>
            <b/>
            <sz val="9"/>
            <color indexed="81"/>
            <rFont val="Tahoma"/>
            <family val="2"/>
          </rPr>
          <t>Quach, Pauline:</t>
        </r>
        <r>
          <rPr>
            <sz val="9"/>
            <color indexed="81"/>
            <rFont val="Tahoma"/>
            <family val="2"/>
          </rPr>
          <t xml:space="preserve">
extension RCT to Lancet 8019; we chose to include it as a separate study</t>
        </r>
      </text>
    </comment>
    <comment ref="G242" authorId="8" shapeId="0" xr:uid="{00000000-0006-0000-0600-00003E020000}">
      <text>
        <r>
          <rPr>
            <b/>
            <sz val="9"/>
            <color indexed="81"/>
            <rFont val="Tahoma"/>
            <family val="2"/>
          </rPr>
          <t>Quach, Pauline:</t>
        </r>
        <r>
          <rPr>
            <sz val="9"/>
            <color indexed="81"/>
            <rFont val="Tahoma"/>
            <family val="2"/>
          </rPr>
          <t xml:space="preserve">
co-pub to Lancet ID: 8019</t>
        </r>
      </text>
    </comment>
    <comment ref="I242" authorId="8" shapeId="0" xr:uid="{00000000-0006-0000-0600-00003F020000}">
      <text>
        <r>
          <rPr>
            <b/>
            <sz val="9"/>
            <color indexed="81"/>
            <rFont val="Tahoma"/>
            <family val="2"/>
          </rPr>
          <t>Quach, Pauline:</t>
        </r>
        <r>
          <rPr>
            <sz val="9"/>
            <color indexed="81"/>
            <rFont val="Tahoma"/>
            <family val="2"/>
          </rPr>
          <t xml:space="preserve">
clinicaltrials.gov</t>
        </r>
      </text>
    </comment>
    <comment ref="Q242" authorId="8" shapeId="0" xr:uid="{00000000-0006-0000-0600-000040020000}">
      <text>
        <r>
          <rPr>
            <b/>
            <sz val="9"/>
            <color indexed="81"/>
            <rFont val="Tahoma"/>
            <family val="2"/>
          </rPr>
          <t>Quach, Pauline:</t>
        </r>
        <r>
          <rPr>
            <sz val="9"/>
            <color indexed="81"/>
            <rFont val="Tahoma"/>
            <family val="2"/>
          </rPr>
          <t xml:space="preserve">
Only provided per arm, not for whole study</t>
        </r>
      </text>
    </comment>
    <comment ref="T242" authorId="8" shapeId="0" xr:uid="{00000000-0006-0000-0600-000041020000}">
      <text>
        <r>
          <rPr>
            <b/>
            <sz val="9"/>
            <color indexed="81"/>
            <rFont val="Tahoma"/>
            <family val="2"/>
          </rPr>
          <t>Quach, Pauline:</t>
        </r>
        <r>
          <rPr>
            <sz val="9"/>
            <color indexed="81"/>
            <rFont val="Tahoma"/>
            <family val="2"/>
          </rPr>
          <t xml:space="preserve">
DiaTel original from Active Care Management group re-randomized into Care Coordination or Care Coordination with continued home monitoring.</t>
        </r>
      </text>
    </comment>
    <comment ref="E247" authorId="0" shapeId="0" xr:uid="{00000000-0006-0000-0600-000042020000}">
      <text>
        <r>
          <rPr>
            <b/>
            <sz val="9"/>
            <color indexed="81"/>
            <rFont val="Tahoma"/>
            <family val="2"/>
          </rPr>
          <t>Mostafa:</t>
        </r>
        <r>
          <rPr>
            <sz val="9"/>
            <color indexed="81"/>
            <rFont val="Tahoma"/>
            <family val="2"/>
          </rPr>
          <t xml:space="preserve">
Double-check this email address</t>
        </r>
      </text>
    </comment>
    <comment ref="M247" authorId="1" shapeId="0" xr:uid="{00000000-0006-0000-0600-000043020000}">
      <text>
        <r>
          <rPr>
            <b/>
            <sz val="9"/>
            <color indexed="81"/>
            <rFont val="Verdana"/>
            <family val="2"/>
          </rPr>
          <t>Andrea Tricco:</t>
        </r>
        <r>
          <rPr>
            <sz val="9"/>
            <color indexed="81"/>
            <rFont val="Verdana"/>
            <family val="2"/>
          </rPr>
          <t xml:space="preserve">
yr of publication
</t>
        </r>
      </text>
    </comment>
    <comment ref="M250" authorId="1" shapeId="0" xr:uid="{00000000-0006-0000-0600-000044020000}">
      <text>
        <r>
          <rPr>
            <b/>
            <sz val="9"/>
            <color indexed="81"/>
            <rFont val="Verdana"/>
            <family val="2"/>
          </rPr>
          <t>Andrea Tricco:</t>
        </r>
        <r>
          <rPr>
            <sz val="9"/>
            <color indexed="81"/>
            <rFont val="Verdana"/>
            <family val="2"/>
          </rPr>
          <t xml:space="preserve">
yr of publication
</t>
        </r>
      </text>
    </comment>
    <comment ref="A251" authorId="4" shapeId="0" xr:uid="{00000000-0006-0000-0600-000045020000}">
      <text>
        <r>
          <rPr>
            <b/>
            <sz val="8"/>
            <color indexed="81"/>
            <rFont val="Tahoma"/>
            <family val="2"/>
          </rPr>
          <t>Natasha Krahn:</t>
        </r>
        <r>
          <rPr>
            <sz val="8"/>
            <color indexed="81"/>
            <rFont val="Tahoma"/>
            <family val="2"/>
          </rPr>
          <t xml:space="preserve">
Blood pressure (KD: I think she means Hypertension control group)</t>
        </r>
      </text>
    </comment>
    <comment ref="M254" authorId="1" shapeId="0" xr:uid="{00000000-0006-0000-0600-000046020000}">
      <text>
        <r>
          <rPr>
            <b/>
            <sz val="9"/>
            <color indexed="81"/>
            <rFont val="Verdana"/>
            <family val="2"/>
          </rPr>
          <t>Andrea Tricco:</t>
        </r>
        <r>
          <rPr>
            <sz val="9"/>
            <color indexed="81"/>
            <rFont val="Verdana"/>
            <family val="2"/>
          </rPr>
          <t xml:space="preserve">
yr of publication
</t>
        </r>
      </text>
    </comment>
    <comment ref="AC254" authorId="1" shapeId="0" xr:uid="{00000000-0006-0000-0600-000047020000}">
      <text>
        <r>
          <rPr>
            <b/>
            <sz val="9"/>
            <color indexed="81"/>
            <rFont val="Verdana"/>
            <family val="2"/>
          </rPr>
          <t>Andrea Tricco:</t>
        </r>
        <r>
          <rPr>
            <sz val="9"/>
            <color indexed="81"/>
            <rFont val="Verdana"/>
            <family val="2"/>
          </rPr>
          <t xml:space="preserve">
1 time
</t>
        </r>
      </text>
    </comment>
    <comment ref="AN256" authorId="3" shapeId="0" xr:uid="{00000000-0006-0000-0600-000048020000}">
      <text>
        <r>
          <rPr>
            <b/>
            <sz val="9"/>
            <color indexed="81"/>
            <rFont val="Calibri"/>
            <family val="2"/>
          </rPr>
          <t>Kristin Danko:</t>
        </r>
        <r>
          <rPr>
            <sz val="9"/>
            <color indexed="81"/>
            <rFont val="Calibri"/>
            <family val="2"/>
          </rPr>
          <t xml:space="preserve">
note report effect estimate but no post mean values- cannot use</t>
        </r>
      </text>
    </comment>
    <comment ref="M258" authorId="1" shapeId="0" xr:uid="{00000000-0006-0000-0600-000049020000}">
      <text>
        <r>
          <rPr>
            <b/>
            <sz val="9"/>
            <color indexed="81"/>
            <rFont val="Verdana"/>
            <family val="2"/>
          </rPr>
          <t>Andrea Tricco:</t>
        </r>
        <r>
          <rPr>
            <sz val="9"/>
            <color indexed="81"/>
            <rFont val="Verdana"/>
            <family val="2"/>
          </rPr>
          <t xml:space="preserve">
yr of publication
</t>
        </r>
      </text>
    </comment>
    <comment ref="O258" authorId="3" shapeId="0" xr:uid="{00000000-0006-0000-0600-00004A020000}">
      <text>
        <r>
          <rPr>
            <b/>
            <sz val="9"/>
            <color indexed="81"/>
            <rFont val="Verdana"/>
            <family val="2"/>
          </rPr>
          <t>Kristin Danko:</t>
        </r>
        <r>
          <rPr>
            <sz val="9"/>
            <color indexed="81"/>
            <rFont val="Verdana"/>
            <family val="2"/>
          </rPr>
          <t xml:space="preserve">
not reported in study,Table 1 only reports arm means suggest 'NR'
</t>
        </r>
        <r>
          <rPr>
            <b/>
            <sz val="9"/>
            <color indexed="81"/>
            <rFont val="Verdana"/>
            <family val="2"/>
          </rPr>
          <t>Confirmed with NI to keep</t>
        </r>
      </text>
    </comment>
    <comment ref="P258" authorId="4" shapeId="0" xr:uid="{00000000-0006-0000-0600-00004B020000}">
      <text>
        <r>
          <rPr>
            <b/>
            <sz val="8"/>
            <color indexed="81"/>
            <rFont val="Tahoma"/>
            <family val="2"/>
          </rPr>
          <t>Natasha Krahn:</t>
        </r>
        <r>
          <rPr>
            <sz val="8"/>
            <color indexed="81"/>
            <rFont val="Tahoma"/>
            <family val="2"/>
          </rPr>
          <t xml:space="preserve">
IQR
KD: IQR for tx group receiving clinic tx. Suggest NR for study as whole
</t>
        </r>
        <r>
          <rPr>
            <b/>
            <sz val="8"/>
            <color indexed="81"/>
            <rFont val="Tahoma"/>
            <family val="2"/>
          </rPr>
          <t>Confirmed with NI to keep</t>
        </r>
      </text>
    </comment>
    <comment ref="Q258" authorId="3" shapeId="0" xr:uid="{00000000-0006-0000-0600-00004C020000}">
      <text>
        <r>
          <rPr>
            <b/>
            <sz val="9"/>
            <color indexed="81"/>
            <rFont val="Verdana"/>
            <family val="2"/>
          </rPr>
          <t>Kristin Danko:</t>
        </r>
        <r>
          <rPr>
            <sz val="9"/>
            <color indexed="81"/>
            <rFont val="Verdana"/>
            <family val="2"/>
          </rPr>
          <t xml:space="preserve">
average of 2 arms in table 1 - use? 
</t>
        </r>
        <r>
          <rPr>
            <b/>
            <sz val="9"/>
            <color indexed="81"/>
            <rFont val="Verdana"/>
            <family val="2"/>
          </rPr>
          <t>Confirmed with Noah to keep</t>
        </r>
      </text>
    </comment>
    <comment ref="T258" authorId="7" shapeId="0" xr:uid="{00000000-0006-0000-0600-00004D020000}">
      <text>
        <r>
          <rPr>
            <b/>
            <sz val="8"/>
            <color indexed="81"/>
            <rFont val="Tahoma"/>
            <family val="2"/>
          </rPr>
          <t>kdanko:</t>
        </r>
        <r>
          <rPr>
            <sz val="8"/>
            <color indexed="81"/>
            <rFont val="Tahoma"/>
            <family val="2"/>
          </rPr>
          <t xml:space="preserve">
should be 1014 if only HTN clinic vs. control (506 +508)
</t>
        </r>
        <r>
          <rPr>
            <b/>
            <sz val="8"/>
            <color indexed="81"/>
            <rFont val="Tahoma"/>
            <family val="2"/>
          </rPr>
          <t>Changed after confirmation from NI</t>
        </r>
      </text>
    </comment>
    <comment ref="O259" authorId="1" shapeId="0" xr:uid="{00000000-0006-0000-0600-00004E020000}">
      <text>
        <r>
          <rPr>
            <b/>
            <sz val="9"/>
            <color indexed="81"/>
            <rFont val="Verdana"/>
            <family val="2"/>
          </rPr>
          <t>Andrea Tricco:</t>
        </r>
        <r>
          <rPr>
            <sz val="9"/>
            <color indexed="81"/>
            <rFont val="Verdana"/>
            <family val="2"/>
          </rPr>
          <t xml:space="preserve">
Estimated based on distribution of data
</t>
        </r>
      </text>
    </comment>
    <comment ref="P259" authorId="1" shapeId="0" xr:uid="{00000000-0006-0000-0600-00004F020000}">
      <text>
        <r>
          <rPr>
            <b/>
            <sz val="9"/>
            <color indexed="81"/>
            <rFont val="Verdana"/>
            <family val="2"/>
          </rPr>
          <t>Andrea Tricco:</t>
        </r>
        <r>
          <rPr>
            <sz val="9"/>
            <color indexed="81"/>
            <rFont val="Verdana"/>
            <family val="2"/>
          </rPr>
          <t xml:space="preserve">
Estimated based on distribution of data
</t>
        </r>
      </text>
    </comment>
    <comment ref="AC259" authorId="1" shapeId="0" xr:uid="{00000000-0006-0000-0600-000050020000}">
      <text>
        <r>
          <rPr>
            <b/>
            <sz val="9"/>
            <color indexed="81"/>
            <rFont val="Verdana"/>
            <family val="2"/>
          </rPr>
          <t>Andrea Tricco:</t>
        </r>
        <r>
          <rPr>
            <sz val="9"/>
            <color indexed="81"/>
            <rFont val="Verdana"/>
            <family val="2"/>
          </rPr>
          <t xml:space="preserve">
One time thing</t>
        </r>
      </text>
    </comment>
    <comment ref="I261" authorId="8" shapeId="0" xr:uid="{00000000-0006-0000-0600-000051020000}">
      <text>
        <r>
          <rPr>
            <b/>
            <sz val="9"/>
            <color indexed="81"/>
            <rFont val="Tahoma"/>
            <family val="2"/>
          </rPr>
          <t>Quach, Pauline:</t>
        </r>
        <r>
          <rPr>
            <sz val="9"/>
            <color indexed="81"/>
            <rFont val="Tahoma"/>
            <family val="2"/>
          </rPr>
          <t xml:space="preserve">
clinicaltrials.gov</t>
        </r>
      </text>
    </comment>
    <comment ref="I262" authorId="8" shapeId="0" xr:uid="{00000000-0006-0000-0600-000052020000}">
      <text>
        <r>
          <rPr>
            <b/>
            <sz val="9"/>
            <color indexed="81"/>
            <rFont val="Tahoma"/>
            <family val="2"/>
          </rPr>
          <t>Quach, Pauline:</t>
        </r>
        <r>
          <rPr>
            <sz val="9"/>
            <color indexed="81"/>
            <rFont val="Tahoma"/>
            <family val="2"/>
          </rPr>
          <t xml:space="preserve">
FOUND on clinicaltrails.gov. I'm pretty sure this is related to the article but not 100% sure, since outcomes are a bit different.</t>
        </r>
      </text>
    </comment>
    <comment ref="O262" authorId="8" shapeId="0" xr:uid="{00000000-0006-0000-0600-000053020000}">
      <text>
        <r>
          <rPr>
            <b/>
            <sz val="9"/>
            <color indexed="81"/>
            <rFont val="Tahoma"/>
            <family val="2"/>
          </rPr>
          <t>Quach, Pauline:</t>
        </r>
        <r>
          <rPr>
            <sz val="9"/>
            <color indexed="81"/>
            <rFont val="Tahoma"/>
            <family val="2"/>
          </rPr>
          <t xml:space="preserve">
based on those analyzed</t>
        </r>
      </text>
    </comment>
    <comment ref="P262" authorId="8" shapeId="0" xr:uid="{00000000-0006-0000-0600-000054020000}">
      <text>
        <r>
          <rPr>
            <b/>
            <sz val="9"/>
            <color indexed="81"/>
            <rFont val="Tahoma"/>
            <family val="2"/>
          </rPr>
          <t>Quach, Pauline:</t>
        </r>
        <r>
          <rPr>
            <sz val="9"/>
            <color indexed="81"/>
            <rFont val="Tahoma"/>
            <family val="2"/>
          </rPr>
          <t xml:space="preserve">
Only provided per arm, not for whole study</t>
        </r>
      </text>
    </comment>
    <comment ref="Q262" authorId="8" shapeId="0" xr:uid="{00000000-0006-0000-0600-000055020000}">
      <text>
        <r>
          <rPr>
            <b/>
            <sz val="9"/>
            <color indexed="81"/>
            <rFont val="Tahoma"/>
            <family val="2"/>
          </rPr>
          <t>Quach, Pauline:</t>
        </r>
        <r>
          <rPr>
            <sz val="9"/>
            <color indexed="81"/>
            <rFont val="Tahoma"/>
            <family val="2"/>
          </rPr>
          <t xml:space="preserve">
based on those analyzed</t>
        </r>
      </text>
    </comment>
    <comment ref="A263" authorId="8" shapeId="0" xr:uid="{00000000-0006-0000-0600-000056020000}">
      <text>
        <r>
          <rPr>
            <b/>
            <sz val="9"/>
            <color indexed="81"/>
            <rFont val="Tahoma"/>
            <family val="2"/>
          </rPr>
          <t>Quach, Pauline:</t>
        </r>
        <r>
          <rPr>
            <sz val="9"/>
            <color indexed="81"/>
            <rFont val="Tahoma"/>
            <family val="2"/>
          </rPr>
          <t xml:space="preserve">
Authors provide baseline values for both black and white TOGETHER- but then go on to separate the results by race---added results from both races together for results.</t>
        </r>
      </text>
    </comment>
    <comment ref="I263" authorId="8" shapeId="0" xr:uid="{00000000-0006-0000-0600-000057020000}">
      <text>
        <r>
          <rPr>
            <b/>
            <sz val="9"/>
            <color indexed="81"/>
            <rFont val="Tahoma"/>
            <family val="2"/>
          </rPr>
          <t>Quach, Pauline:</t>
        </r>
        <r>
          <rPr>
            <sz val="9"/>
            <color indexed="81"/>
            <rFont val="Tahoma"/>
            <family val="2"/>
          </rPr>
          <t xml:space="preserve">
FOUND on clinicaltrials.gov</t>
        </r>
      </text>
    </comment>
    <comment ref="I264" authorId="8" shapeId="0" xr:uid="{00000000-0006-0000-0600-000058020000}">
      <text>
        <r>
          <rPr>
            <b/>
            <sz val="9"/>
            <color indexed="81"/>
            <rFont val="Tahoma"/>
            <family val="2"/>
          </rPr>
          <t>Quach, Pauline:</t>
        </r>
        <r>
          <rPr>
            <sz val="9"/>
            <color indexed="81"/>
            <rFont val="Tahoma"/>
            <family val="2"/>
          </rPr>
          <t xml:space="preserve">
clinicaltrials.gov</t>
        </r>
      </text>
    </comment>
    <comment ref="O264" authorId="8" shapeId="0" xr:uid="{00000000-0006-0000-0600-000059020000}">
      <text>
        <r>
          <rPr>
            <b/>
            <sz val="9"/>
            <color indexed="81"/>
            <rFont val="Tahoma"/>
            <family val="2"/>
          </rPr>
          <t>Quach, Pauline:</t>
        </r>
        <r>
          <rPr>
            <sz val="9"/>
            <color indexed="81"/>
            <rFont val="Tahoma"/>
            <family val="2"/>
          </rPr>
          <t xml:space="preserve">
Only provided per arm, not for whole study</t>
        </r>
      </text>
    </comment>
    <comment ref="P264" authorId="8" shapeId="0" xr:uid="{00000000-0006-0000-0600-00005A020000}">
      <text>
        <r>
          <rPr>
            <b/>
            <sz val="9"/>
            <color indexed="81"/>
            <rFont val="Tahoma"/>
            <family val="2"/>
          </rPr>
          <t>Quach, Pauline:</t>
        </r>
        <r>
          <rPr>
            <sz val="9"/>
            <color indexed="81"/>
            <rFont val="Tahoma"/>
            <family val="2"/>
          </rPr>
          <t xml:space="preserve">
Only provided per arm, not for whole study</t>
        </r>
      </text>
    </comment>
    <comment ref="Q264" authorId="8" shapeId="0" xr:uid="{00000000-0006-0000-0600-00005B020000}">
      <text>
        <r>
          <rPr>
            <b/>
            <sz val="9"/>
            <color indexed="81"/>
            <rFont val="Tahoma"/>
            <family val="2"/>
          </rPr>
          <t>Quach, Pauline:</t>
        </r>
        <r>
          <rPr>
            <sz val="9"/>
            <color indexed="81"/>
            <rFont val="Tahoma"/>
            <family val="2"/>
          </rPr>
          <t xml:space="preserve">
Only provided per arm, not for whole study</t>
        </r>
      </text>
    </comment>
    <comment ref="I265" authorId="8" shapeId="0" xr:uid="{00000000-0006-0000-0600-00005C020000}">
      <text>
        <r>
          <rPr>
            <b/>
            <sz val="9"/>
            <color indexed="81"/>
            <rFont val="Tahoma"/>
            <family val="2"/>
          </rPr>
          <t>Quach, Pauline:</t>
        </r>
        <r>
          <rPr>
            <sz val="9"/>
            <color indexed="81"/>
            <rFont val="Tahoma"/>
            <family val="2"/>
          </rPr>
          <t xml:space="preserve">
FOUND on clinicaltrials.gov
The paper does also reference a manuscript with they had published outlining the DESIGN of the study.</t>
        </r>
      </text>
    </comment>
    <comment ref="O265" authorId="8" shapeId="0" xr:uid="{00000000-0006-0000-0600-00005D020000}">
      <text>
        <r>
          <rPr>
            <b/>
            <sz val="9"/>
            <color indexed="81"/>
            <rFont val="Tahoma"/>
            <family val="2"/>
          </rPr>
          <t>Quach, Pauline:</t>
        </r>
        <r>
          <rPr>
            <sz val="9"/>
            <color indexed="81"/>
            <rFont val="Tahoma"/>
            <family val="2"/>
          </rPr>
          <t xml:space="preserve">
Only provided per arm, not for whole study</t>
        </r>
      </text>
    </comment>
    <comment ref="P265" authorId="8" shapeId="0" xr:uid="{00000000-0006-0000-0600-00005E020000}">
      <text>
        <r>
          <rPr>
            <b/>
            <sz val="9"/>
            <color indexed="81"/>
            <rFont val="Tahoma"/>
            <family val="2"/>
          </rPr>
          <t>Quach, Pauline:</t>
        </r>
        <r>
          <rPr>
            <sz val="9"/>
            <color indexed="81"/>
            <rFont val="Tahoma"/>
            <family val="2"/>
          </rPr>
          <t xml:space="preserve">
Only provided per arm, not for whole study</t>
        </r>
      </text>
    </comment>
    <comment ref="Q265" authorId="8" shapeId="0" xr:uid="{00000000-0006-0000-0600-00005F020000}">
      <text>
        <r>
          <rPr>
            <b/>
            <sz val="9"/>
            <color indexed="81"/>
            <rFont val="Tahoma"/>
            <family val="2"/>
          </rPr>
          <t>Quach, Pauline:</t>
        </r>
        <r>
          <rPr>
            <sz val="9"/>
            <color indexed="81"/>
            <rFont val="Tahoma"/>
            <family val="2"/>
          </rPr>
          <t xml:space="preserve">
Only provided per arm, not for whole study</t>
        </r>
      </text>
    </comment>
    <comment ref="M266" authorId="9" shapeId="0" xr:uid="{00000000-0006-0000-0600-000060020000}">
      <text>
        <r>
          <rPr>
            <b/>
            <sz val="9"/>
            <color indexed="81"/>
            <rFont val="Tahoma"/>
            <family val="2"/>
          </rPr>
          <t>pauline.quach:</t>
        </r>
        <r>
          <rPr>
            <sz val="9"/>
            <color indexed="81"/>
            <rFont val="Tahoma"/>
            <family val="2"/>
          </rPr>
          <t xml:space="preserve">
Received intervention package end date August 10, 2007, study lasted 9 months, so approx study end date is May 10, 2008.</t>
        </r>
      </text>
    </comment>
    <comment ref="O266" authorId="8" shapeId="0" xr:uid="{00000000-0006-0000-0600-000061020000}">
      <text>
        <r>
          <rPr>
            <b/>
            <sz val="9"/>
            <color indexed="81"/>
            <rFont val="Tahoma"/>
            <family val="2"/>
          </rPr>
          <t>Quach, Pauline:</t>
        </r>
        <r>
          <rPr>
            <sz val="9"/>
            <color indexed="81"/>
            <rFont val="Tahoma"/>
            <family val="2"/>
          </rPr>
          <t xml:space="preserve">
Only provided per arm, not for whole study</t>
        </r>
      </text>
    </comment>
    <comment ref="P266" authorId="8" shapeId="0" xr:uid="{00000000-0006-0000-0600-000062020000}">
      <text>
        <r>
          <rPr>
            <b/>
            <sz val="9"/>
            <color indexed="81"/>
            <rFont val="Tahoma"/>
            <family val="2"/>
          </rPr>
          <t>Quach, Pauline:</t>
        </r>
        <r>
          <rPr>
            <sz val="9"/>
            <color indexed="81"/>
            <rFont val="Tahoma"/>
            <family val="2"/>
          </rPr>
          <t xml:space="preserve">
Only provided per arm, not for whole study</t>
        </r>
      </text>
    </comment>
    <comment ref="Q266" authorId="8" shapeId="0" xr:uid="{00000000-0006-0000-0600-000063020000}">
      <text>
        <r>
          <rPr>
            <b/>
            <sz val="9"/>
            <color indexed="81"/>
            <rFont val="Tahoma"/>
            <family val="2"/>
          </rPr>
          <t>Quach, Pauline:</t>
        </r>
        <r>
          <rPr>
            <sz val="9"/>
            <color indexed="81"/>
            <rFont val="Tahoma"/>
            <family val="2"/>
          </rPr>
          <t xml:space="preserve">
Only provided per arm, not for whole study</t>
        </r>
      </text>
    </comment>
    <comment ref="S266" authorId="8" shapeId="0" xr:uid="{00000000-0006-0000-0600-000064020000}">
      <text>
        <r>
          <rPr>
            <b/>
            <sz val="9"/>
            <color indexed="81"/>
            <rFont val="Tahoma"/>
            <family val="2"/>
          </rPr>
          <t>Quach, Pauline:</t>
        </r>
        <r>
          <rPr>
            <sz val="9"/>
            <color indexed="81"/>
            <rFont val="Tahoma"/>
            <family val="2"/>
          </rPr>
          <t xml:space="preserve">
or CAD</t>
        </r>
      </text>
    </comment>
    <comment ref="V266" authorId="3" shapeId="0" xr:uid="{00000000-0006-0000-0600-000065020000}">
      <text>
        <r>
          <rPr>
            <b/>
            <sz val="9"/>
            <color indexed="81"/>
            <rFont val="Verdana"/>
            <family val="2"/>
          </rPr>
          <t>Kristin Danko:</t>
        </r>
        <r>
          <rPr>
            <sz val="9"/>
            <color indexed="81"/>
            <rFont val="Verdana"/>
            <family val="2"/>
          </rPr>
          <t xml:space="preserve">
diabetes subgroup</t>
        </r>
      </text>
    </comment>
    <comment ref="M267" authorId="3" shapeId="0" xr:uid="{00000000-0006-0000-0600-000066020000}">
      <text>
        <r>
          <rPr>
            <b/>
            <sz val="9"/>
            <color indexed="81"/>
            <rFont val="Verdana"/>
            <family val="2"/>
          </rPr>
          <t>Kristin Danko:</t>
        </r>
        <r>
          <rPr>
            <sz val="9"/>
            <color indexed="81"/>
            <rFont val="Verdana"/>
            <family val="2"/>
          </rPr>
          <t xml:space="preserve">
Yr publication
</t>
        </r>
      </text>
    </comment>
    <comment ref="AN267" authorId="3" shapeId="0" xr:uid="{00000000-0006-0000-0600-000067020000}">
      <text>
        <r>
          <rPr>
            <b/>
            <sz val="9"/>
            <color indexed="81"/>
            <rFont val="Calibri"/>
            <family val="2"/>
          </rPr>
          <t>Kristin Danko:</t>
        </r>
        <r>
          <rPr>
            <sz val="9"/>
            <color indexed="81"/>
            <rFont val="Calibri"/>
            <family val="2"/>
          </rPr>
          <t xml:space="preserve">
removed because no baseline values to calculate post values from</t>
        </r>
      </text>
    </comment>
    <comment ref="I268" authorId="8" shapeId="0" xr:uid="{00000000-0006-0000-0600-000068020000}">
      <text>
        <r>
          <rPr>
            <b/>
            <sz val="9"/>
            <color indexed="81"/>
            <rFont val="Tahoma"/>
            <family val="2"/>
          </rPr>
          <t>Quach, Pauline:</t>
        </r>
        <r>
          <rPr>
            <sz val="9"/>
            <color indexed="81"/>
            <rFont val="Tahoma"/>
            <family val="2"/>
          </rPr>
          <t xml:space="preserve">
Clinical Trial Registry of India</t>
        </r>
      </text>
    </comment>
    <comment ref="O268" authorId="8" shapeId="0" xr:uid="{00000000-0006-0000-0600-000069020000}">
      <text>
        <r>
          <rPr>
            <b/>
            <sz val="9"/>
            <color indexed="81"/>
            <rFont val="Tahoma"/>
            <family val="2"/>
          </rPr>
          <t>Quach, Pauline:</t>
        </r>
        <r>
          <rPr>
            <sz val="9"/>
            <color indexed="81"/>
            <rFont val="Tahoma"/>
            <family val="2"/>
          </rPr>
          <t xml:space="preserve">
range: 28-75</t>
        </r>
      </text>
    </comment>
    <comment ref="P268" authorId="8" shapeId="0" xr:uid="{00000000-0006-0000-0600-00006A020000}">
      <text>
        <r>
          <rPr>
            <b/>
            <sz val="9"/>
            <color indexed="81"/>
            <rFont val="Tahoma"/>
            <family val="2"/>
          </rPr>
          <t>Quach, Pauline:</t>
        </r>
        <r>
          <rPr>
            <sz val="9"/>
            <color indexed="81"/>
            <rFont val="Tahoma"/>
            <family val="2"/>
          </rPr>
          <t xml:space="preserve">
Only provided per arm, not for whole study</t>
        </r>
      </text>
    </comment>
    <comment ref="I269" authorId="8" shapeId="0" xr:uid="{00000000-0006-0000-0600-00006B020000}">
      <text>
        <r>
          <rPr>
            <b/>
            <sz val="9"/>
            <color indexed="81"/>
            <rFont val="Tahoma"/>
            <family val="2"/>
          </rPr>
          <t>Quach, Pauline:</t>
        </r>
        <r>
          <rPr>
            <sz val="9"/>
            <color indexed="81"/>
            <rFont val="Tahoma"/>
            <family val="2"/>
          </rPr>
          <t xml:space="preserve">
clinicaltrials.gov</t>
        </r>
      </text>
    </comment>
    <comment ref="K269" authorId="8" shapeId="0" xr:uid="{00000000-0006-0000-0600-00006C020000}">
      <text>
        <r>
          <rPr>
            <b/>
            <sz val="9"/>
            <color indexed="81"/>
            <rFont val="Tahoma"/>
            <family val="2"/>
          </rPr>
          <t>Quach, Pauline:</t>
        </r>
        <r>
          <rPr>
            <sz val="9"/>
            <color indexed="81"/>
            <rFont val="Tahoma"/>
            <family val="2"/>
          </rPr>
          <t xml:space="preserve">
from clinical data study.</t>
        </r>
      </text>
    </comment>
    <comment ref="O269" authorId="8" shapeId="0" xr:uid="{00000000-0006-0000-0600-00006D020000}">
      <text>
        <r>
          <rPr>
            <b/>
            <sz val="9"/>
            <color indexed="81"/>
            <rFont val="Tahoma"/>
            <family val="2"/>
          </rPr>
          <t>Quach, Pauline:</t>
        </r>
        <r>
          <rPr>
            <sz val="9"/>
            <color indexed="81"/>
            <rFont val="Tahoma"/>
            <family val="2"/>
          </rPr>
          <t xml:space="preserve">
Only provided per arm, not for whole study</t>
        </r>
      </text>
    </comment>
    <comment ref="P269" authorId="8" shapeId="0" xr:uid="{00000000-0006-0000-0600-00006E020000}">
      <text>
        <r>
          <rPr>
            <b/>
            <sz val="9"/>
            <color indexed="81"/>
            <rFont val="Tahoma"/>
            <family val="2"/>
          </rPr>
          <t>Quach, Pauline:</t>
        </r>
        <r>
          <rPr>
            <sz val="9"/>
            <color indexed="81"/>
            <rFont val="Tahoma"/>
            <family val="2"/>
          </rPr>
          <t xml:space="preserve">
Only provided per arm, not for whole study</t>
        </r>
      </text>
    </comment>
    <comment ref="Q269" authorId="8" shapeId="0" xr:uid="{00000000-0006-0000-0600-00006F020000}">
      <text>
        <r>
          <rPr>
            <b/>
            <sz val="9"/>
            <color indexed="81"/>
            <rFont val="Tahoma"/>
            <family val="2"/>
          </rPr>
          <t>Quach, Pauline:</t>
        </r>
        <r>
          <rPr>
            <sz val="9"/>
            <color indexed="81"/>
            <rFont val="Tahoma"/>
            <family val="2"/>
          </rPr>
          <t xml:space="preserve">
Only provided per arm, not for whole study</t>
        </r>
      </text>
    </comment>
    <comment ref="T269" authorId="8" shapeId="0" xr:uid="{00000000-0006-0000-0600-000070020000}">
      <text>
        <r>
          <rPr>
            <b/>
            <sz val="9"/>
            <color indexed="81"/>
            <rFont val="Tahoma"/>
            <family val="2"/>
          </rPr>
          <t>Quach, Pauline:</t>
        </r>
        <r>
          <rPr>
            <sz val="9"/>
            <color indexed="81"/>
            <rFont val="Tahoma"/>
            <family val="2"/>
          </rPr>
          <t xml:space="preserve">
# of patients randomly selected from the groups for outcome data.</t>
        </r>
      </text>
    </comment>
    <comment ref="B270" authorId="3" shapeId="0" xr:uid="{00000000-0006-0000-0600-000071020000}">
      <text>
        <r>
          <rPr>
            <b/>
            <sz val="9"/>
            <color indexed="81"/>
            <rFont val="Verdana"/>
            <family val="2"/>
          </rPr>
          <t>Kristin Danko:</t>
        </r>
        <r>
          <rPr>
            <sz val="9"/>
            <color indexed="81"/>
            <rFont val="Verdana"/>
            <family val="2"/>
          </rPr>
          <t xml:space="preserve">
note there is a different included study called ERIC (10364); different acroynym, different study - not copub</t>
        </r>
      </text>
    </comment>
    <comment ref="I270" authorId="8" shapeId="0" xr:uid="{00000000-0006-0000-0600-000072020000}">
      <text>
        <r>
          <rPr>
            <b/>
            <sz val="9"/>
            <color indexed="81"/>
            <rFont val="Tahoma"/>
            <family val="2"/>
          </rPr>
          <t>Quach, Pauline:</t>
        </r>
        <r>
          <rPr>
            <sz val="9"/>
            <color indexed="81"/>
            <rFont val="Tahoma"/>
            <family val="2"/>
          </rPr>
          <t xml:space="preserve">
clinicaltrials.gov</t>
        </r>
      </text>
    </comment>
    <comment ref="M270" authorId="8" shapeId="0" xr:uid="{00000000-0006-0000-0600-000073020000}">
      <text>
        <r>
          <rPr>
            <b/>
            <sz val="9"/>
            <color indexed="81"/>
            <rFont val="Tahoma"/>
            <family val="2"/>
          </rPr>
          <t>Quach, Pauline:</t>
        </r>
        <r>
          <rPr>
            <sz val="9"/>
            <color indexed="81"/>
            <rFont val="Tahoma"/>
            <family val="2"/>
          </rPr>
          <t xml:space="preserve">
Year of publication</t>
        </r>
      </text>
    </comment>
    <comment ref="O270" authorId="8" shapeId="0" xr:uid="{00000000-0006-0000-0600-000074020000}">
      <text>
        <r>
          <rPr>
            <b/>
            <sz val="9"/>
            <color indexed="81"/>
            <rFont val="Tahoma"/>
            <family val="2"/>
          </rPr>
          <t>Quach, Pauline:</t>
        </r>
        <r>
          <rPr>
            <sz val="9"/>
            <color indexed="81"/>
            <rFont val="Tahoma"/>
            <family val="2"/>
          </rPr>
          <t xml:space="preserve">
Only provided per arm, not for whole study</t>
        </r>
      </text>
    </comment>
    <comment ref="P270" authorId="8" shapeId="0" xr:uid="{00000000-0006-0000-0600-000075020000}">
      <text>
        <r>
          <rPr>
            <b/>
            <sz val="9"/>
            <color indexed="81"/>
            <rFont val="Tahoma"/>
            <family val="2"/>
          </rPr>
          <t>Quach, Pauline:</t>
        </r>
        <r>
          <rPr>
            <sz val="9"/>
            <color indexed="81"/>
            <rFont val="Tahoma"/>
            <family val="2"/>
          </rPr>
          <t xml:space="preserve">
Only provided per arm, not for whole study</t>
        </r>
      </text>
    </comment>
    <comment ref="Q270" authorId="8" shapeId="0" xr:uid="{00000000-0006-0000-0600-000076020000}">
      <text>
        <r>
          <rPr>
            <b/>
            <sz val="9"/>
            <color indexed="81"/>
            <rFont val="Tahoma"/>
            <family val="2"/>
          </rPr>
          <t>Quach, Pauline:</t>
        </r>
        <r>
          <rPr>
            <sz val="9"/>
            <color indexed="81"/>
            <rFont val="Tahoma"/>
            <family val="2"/>
          </rPr>
          <t xml:space="preserve">
Only provided per arm, not for whole study</t>
        </r>
      </text>
    </comment>
    <comment ref="O271" authorId="8" shapeId="0" xr:uid="{00000000-0006-0000-0600-000077020000}">
      <text>
        <r>
          <rPr>
            <b/>
            <sz val="9"/>
            <color indexed="81"/>
            <rFont val="Tahoma"/>
            <family val="2"/>
          </rPr>
          <t>Quach, Pauline:</t>
        </r>
        <r>
          <rPr>
            <sz val="9"/>
            <color indexed="81"/>
            <rFont val="Tahoma"/>
            <family val="2"/>
          </rPr>
          <t xml:space="preserve">
Only provided per arm, not for whole study</t>
        </r>
      </text>
    </comment>
    <comment ref="P271" authorId="8" shapeId="0" xr:uid="{00000000-0006-0000-0600-000078020000}">
      <text>
        <r>
          <rPr>
            <b/>
            <sz val="9"/>
            <color indexed="81"/>
            <rFont val="Tahoma"/>
            <family val="2"/>
          </rPr>
          <t>Quach, Pauline:</t>
        </r>
        <r>
          <rPr>
            <sz val="9"/>
            <color indexed="81"/>
            <rFont val="Tahoma"/>
            <family val="2"/>
          </rPr>
          <t xml:space="preserve">
Only provided per arm, not for whole study</t>
        </r>
      </text>
    </comment>
    <comment ref="Q271" authorId="8" shapeId="0" xr:uid="{00000000-0006-0000-0600-000079020000}">
      <text>
        <r>
          <rPr>
            <b/>
            <sz val="9"/>
            <color indexed="81"/>
            <rFont val="Tahoma"/>
            <family val="2"/>
          </rPr>
          <t>Quach, Pauline:</t>
        </r>
        <r>
          <rPr>
            <sz val="9"/>
            <color indexed="81"/>
            <rFont val="Tahoma"/>
            <family val="2"/>
          </rPr>
          <t xml:space="preserve">
Only provided per arm, not for whole study</t>
        </r>
      </text>
    </comment>
    <comment ref="M272" authorId="8" shapeId="0" xr:uid="{00000000-0006-0000-0600-00007A020000}">
      <text>
        <r>
          <rPr>
            <b/>
            <sz val="9"/>
            <color indexed="81"/>
            <rFont val="Tahoma"/>
            <family val="2"/>
          </rPr>
          <t>Quach, Pauline:</t>
        </r>
        <r>
          <rPr>
            <sz val="9"/>
            <color indexed="81"/>
            <rFont val="Tahoma"/>
            <family val="2"/>
          </rPr>
          <t xml:space="preserve">
Year of publication.</t>
        </r>
      </text>
    </comment>
    <comment ref="O272" authorId="8" shapeId="0" xr:uid="{00000000-0006-0000-0600-00007B020000}">
      <text>
        <r>
          <rPr>
            <b/>
            <sz val="9"/>
            <color indexed="81"/>
            <rFont val="Tahoma"/>
            <family val="2"/>
          </rPr>
          <t>Quach, Pauline:</t>
        </r>
        <r>
          <rPr>
            <sz val="9"/>
            <color indexed="81"/>
            <rFont val="Tahoma"/>
            <family val="2"/>
          </rPr>
          <t xml:space="preserve">
Only provided per arm, not for whole study</t>
        </r>
      </text>
    </comment>
    <comment ref="P272" authorId="8" shapeId="0" xr:uid="{00000000-0006-0000-0600-00007C020000}">
      <text>
        <r>
          <rPr>
            <b/>
            <sz val="9"/>
            <color indexed="81"/>
            <rFont val="Tahoma"/>
            <family val="2"/>
          </rPr>
          <t>Quach, Pauline:</t>
        </r>
        <r>
          <rPr>
            <sz val="9"/>
            <color indexed="81"/>
            <rFont val="Tahoma"/>
            <family val="2"/>
          </rPr>
          <t xml:space="preserve">
Only provided per arm, not for whole study</t>
        </r>
      </text>
    </comment>
    <comment ref="Q272" authorId="8" shapeId="0" xr:uid="{00000000-0006-0000-0600-00007D020000}">
      <text>
        <r>
          <rPr>
            <b/>
            <sz val="9"/>
            <color indexed="81"/>
            <rFont val="Tahoma"/>
            <family val="2"/>
          </rPr>
          <t>Quach, Pauline:</t>
        </r>
        <r>
          <rPr>
            <sz val="9"/>
            <color indexed="81"/>
            <rFont val="Tahoma"/>
            <family val="2"/>
          </rPr>
          <t xml:space="preserve">
Only provided per arm, not for whole study</t>
        </r>
      </text>
    </comment>
    <comment ref="I273" authorId="8" shapeId="0" xr:uid="{00000000-0006-0000-0600-00007E020000}">
      <text>
        <r>
          <rPr>
            <b/>
            <sz val="9"/>
            <color indexed="81"/>
            <rFont val="Tahoma"/>
            <family val="2"/>
          </rPr>
          <t>Quach, Pauline:</t>
        </r>
        <r>
          <rPr>
            <sz val="9"/>
            <color indexed="81"/>
            <rFont val="Tahoma"/>
            <family val="2"/>
          </rPr>
          <t xml:space="preserve">
clinicaltrials.gov</t>
        </r>
      </text>
    </comment>
    <comment ref="J273" authorId="3" shapeId="0" xr:uid="{00000000-0006-0000-0600-00007F020000}">
      <text>
        <r>
          <rPr>
            <b/>
            <sz val="9"/>
            <color indexed="81"/>
            <rFont val="Calibri"/>
            <family val="2"/>
          </rPr>
          <t>Kristin Danko:</t>
        </r>
        <r>
          <rPr>
            <sz val="9"/>
            <color indexed="81"/>
            <rFont val="Calibri"/>
            <family val="2"/>
          </rPr>
          <t xml:space="preserve">
self described as cluster, but randomized patients and accounted for clustering of intervention delivery; ICC extracted</t>
        </r>
      </text>
    </comment>
    <comment ref="M273" authorId="8" shapeId="0" xr:uid="{00000000-0006-0000-0600-000080020000}">
      <text>
        <r>
          <rPr>
            <b/>
            <sz val="9"/>
            <color indexed="81"/>
            <rFont val="Tahoma"/>
            <family val="2"/>
          </rPr>
          <t>Quach, Pauline:</t>
        </r>
        <r>
          <rPr>
            <sz val="9"/>
            <color indexed="81"/>
            <rFont val="Tahoma"/>
            <family val="2"/>
          </rPr>
          <t xml:space="preserve">
year of publication</t>
        </r>
      </text>
    </comment>
    <comment ref="O273" authorId="8" shapeId="0" xr:uid="{00000000-0006-0000-0600-000081020000}">
      <text>
        <r>
          <rPr>
            <b/>
            <sz val="9"/>
            <color indexed="81"/>
            <rFont val="Tahoma"/>
            <family val="2"/>
          </rPr>
          <t>Quach, Pauline:</t>
        </r>
        <r>
          <rPr>
            <sz val="9"/>
            <color indexed="81"/>
            <rFont val="Tahoma"/>
            <family val="2"/>
          </rPr>
          <t xml:space="preserve">
Only provided per arm, not for whole study</t>
        </r>
      </text>
    </comment>
    <comment ref="P273" authorId="8" shapeId="0" xr:uid="{00000000-0006-0000-0600-000082020000}">
      <text>
        <r>
          <rPr>
            <b/>
            <sz val="9"/>
            <color indexed="81"/>
            <rFont val="Tahoma"/>
            <family val="2"/>
          </rPr>
          <t>Quach, Pauline:</t>
        </r>
        <r>
          <rPr>
            <sz val="9"/>
            <color indexed="81"/>
            <rFont val="Tahoma"/>
            <family val="2"/>
          </rPr>
          <t xml:space="preserve">
Only provided per arm, not for whole study</t>
        </r>
      </text>
    </comment>
    <comment ref="Q273" authorId="8" shapeId="0" xr:uid="{00000000-0006-0000-0600-000083020000}">
      <text>
        <r>
          <rPr>
            <b/>
            <sz val="9"/>
            <color indexed="81"/>
            <rFont val="Tahoma"/>
            <family val="2"/>
          </rPr>
          <t>Quach, Pauline:</t>
        </r>
        <r>
          <rPr>
            <sz val="9"/>
            <color indexed="81"/>
            <rFont val="Tahoma"/>
            <family val="2"/>
          </rPr>
          <t xml:space="preserve">
Only provided per arm, not for whole study</t>
        </r>
      </text>
    </comment>
    <comment ref="S273" authorId="8" shapeId="0" xr:uid="{00000000-0006-0000-0600-000084020000}">
      <text>
        <r>
          <rPr>
            <b/>
            <sz val="9"/>
            <color indexed="81"/>
            <rFont val="Tahoma"/>
            <family val="2"/>
          </rPr>
          <t>Quach, Pauline:</t>
        </r>
        <r>
          <rPr>
            <sz val="9"/>
            <color indexed="81"/>
            <rFont val="Tahoma"/>
            <family val="2"/>
          </rPr>
          <t xml:space="preserve">
Includes patients with cogestive heart failure OR coronary artery disease OR  type 2 diabetes. Hierarchy for classifation for those with more than one condition. CHF-CAD-T2D. CHF patients could have CAD and/or T2D, but not other way around.
NOTE: RESULTS ARE PROVIDED SEPERATELY FOR TYPE 2 DIABETES</t>
        </r>
      </text>
    </comment>
    <comment ref="AA273" authorId="8" shapeId="0" xr:uid="{00000000-0006-0000-0600-000085020000}">
      <text>
        <r>
          <rPr>
            <b/>
            <sz val="9"/>
            <color rgb="FF000000"/>
            <rFont val="Tahoma"/>
            <family val="2"/>
          </rPr>
          <t>Quach, Pauline:</t>
        </r>
        <r>
          <rPr>
            <sz val="9"/>
            <color rgb="FF000000"/>
            <rFont val="Tahoma"/>
            <family val="2"/>
          </rPr>
          <t xml:space="preserve">
</t>
        </r>
        <r>
          <rPr>
            <sz val="9"/>
            <color rgb="FF000000"/>
            <rFont val="Tahoma"/>
            <family val="2"/>
          </rPr>
          <t>Not very clear, blinded nurses collected BP and waist circumference measures, but blinding of lab data extracted not clear.</t>
        </r>
      </text>
    </comment>
    <comment ref="A277" authorId="1" shapeId="0" xr:uid="{00000000-0006-0000-0600-000086020000}">
      <text>
        <r>
          <rPr>
            <b/>
            <sz val="9"/>
            <color indexed="81"/>
            <rFont val="Verdana"/>
            <family val="2"/>
          </rPr>
          <t xml:space="preserve">Kristin:
</t>
        </r>
        <r>
          <rPr>
            <sz val="9"/>
            <color indexed="81"/>
            <rFont val="Verdana"/>
            <family val="2"/>
          </rPr>
          <t>Dropped b/c too few clusters as per MT and JG May 2016</t>
        </r>
      </text>
    </comment>
    <comment ref="E277" authorId="0" shapeId="0" xr:uid="{00000000-0006-0000-0600-000087020000}">
      <text>
        <r>
          <rPr>
            <b/>
            <sz val="9"/>
            <color rgb="FF000000"/>
            <rFont val="Tahoma"/>
            <family val="2"/>
          </rPr>
          <t>Mostafa:</t>
        </r>
        <r>
          <rPr>
            <sz val="9"/>
            <color rgb="FF000000"/>
            <rFont val="Tahoma"/>
            <family val="2"/>
          </rPr>
          <t xml:space="preserve">
</t>
        </r>
        <r>
          <rPr>
            <sz val="9"/>
            <color rgb="FF000000"/>
            <rFont val="Tahoma"/>
            <family val="2"/>
          </rPr>
          <t xml:space="preserve">(1) "The new formal competency-based curriculum and informal curriculum at Indiana University School of Medicine: overview and five-year analysis"; 2007
</t>
        </r>
        <r>
          <rPr>
            <sz val="9"/>
            <color rgb="FF000000"/>
            <rFont val="Tahoma"/>
            <family val="2"/>
          </rPr>
          <t xml:space="preserve">
</t>
        </r>
        <r>
          <rPr>
            <sz val="9"/>
            <color rgb="FF000000"/>
            <rFont val="Tahoma"/>
            <family val="2"/>
          </rPr>
          <t xml:space="preserve">Matched for affiliation
</t>
        </r>
        <r>
          <rPr>
            <sz val="9"/>
            <color rgb="FF000000"/>
            <rFont val="Tahoma"/>
            <family val="2"/>
          </rPr>
          <t xml:space="preserve">
</t>
        </r>
      </text>
    </comment>
    <comment ref="A278" authorId="3" shapeId="0" xr:uid="{00000000-0006-0000-0600-000088020000}">
      <text>
        <r>
          <rPr>
            <b/>
            <sz val="9"/>
            <color indexed="81"/>
            <rFont val="Verdana"/>
            <family val="2"/>
          </rPr>
          <t>Kristin Danko:</t>
        </r>
        <r>
          <rPr>
            <sz val="9"/>
            <color indexed="81"/>
            <rFont val="Verdana"/>
            <family val="2"/>
          </rPr>
          <t xml:space="preserve">
less than 3 clusters/arm</t>
        </r>
      </text>
    </comment>
    <comment ref="A279" authorId="1" shapeId="0" xr:uid="{00000000-0006-0000-0600-000089020000}">
      <text>
        <r>
          <rPr>
            <b/>
            <sz val="9"/>
            <color indexed="81"/>
            <rFont val="Verdana"/>
            <family val="2"/>
          </rPr>
          <t>Andrea Tricco:</t>
        </r>
        <r>
          <rPr>
            <sz val="9"/>
            <color indexed="81"/>
            <rFont val="Verdana"/>
            <family val="2"/>
          </rPr>
          <t xml:space="preserve">
Only 2 clusters, does not report the # of physicians
</t>
        </r>
        <r>
          <rPr>
            <b/>
            <sz val="9"/>
            <color indexed="81"/>
            <rFont val="Verdana"/>
            <family val="2"/>
          </rPr>
          <t>Kristin Danko:</t>
        </r>
        <r>
          <rPr>
            <sz val="9"/>
            <color indexed="81"/>
            <rFont val="Verdana"/>
            <family val="2"/>
          </rPr>
          <t xml:space="preserve">
Less than 3 clusters per/arm
</t>
        </r>
      </text>
    </comment>
    <comment ref="M279" authorId="1" shapeId="0" xr:uid="{00000000-0006-0000-0600-00008A020000}">
      <text>
        <r>
          <rPr>
            <b/>
            <sz val="9"/>
            <color indexed="81"/>
            <rFont val="Verdana"/>
            <family val="2"/>
          </rPr>
          <t>Andrea Tricco:</t>
        </r>
        <r>
          <rPr>
            <sz val="9"/>
            <color indexed="81"/>
            <rFont val="Verdana"/>
            <family val="2"/>
          </rPr>
          <t xml:space="preserve">
yr of publication
</t>
        </r>
      </text>
    </comment>
    <comment ref="A280" authorId="3" shapeId="0" xr:uid="{00000000-0006-0000-0600-00008B020000}">
      <text>
        <r>
          <rPr>
            <b/>
            <sz val="9"/>
            <color indexed="81"/>
            <rFont val="Verdana"/>
            <family val="2"/>
          </rPr>
          <t>Kristin Danko:</t>
        </r>
        <r>
          <rPr>
            <sz val="9"/>
            <color indexed="81"/>
            <rFont val="Verdana"/>
            <family val="2"/>
          </rPr>
          <t xml:space="preserve">
Less than 3 clusters/arm</t>
        </r>
      </text>
    </comment>
    <comment ref="M281" authorId="9" shapeId="0" xr:uid="{00000000-0006-0000-0600-00008C020000}">
      <text>
        <r>
          <rPr>
            <b/>
            <sz val="9"/>
            <color indexed="81"/>
            <rFont val="Tahoma"/>
            <family val="2"/>
          </rPr>
          <t>pauline.quach:</t>
        </r>
        <r>
          <rPr>
            <sz val="9"/>
            <color indexed="81"/>
            <rFont val="Tahoma"/>
            <family val="2"/>
          </rPr>
          <t xml:space="preserve">
Recruitment end date is July 2009. Study lasted 12 mo, end of study conduct is approx July 2010.</t>
        </r>
      </text>
    </comment>
    <comment ref="O281" authorId="8" shapeId="0" xr:uid="{00000000-0006-0000-0600-00008D020000}">
      <text>
        <r>
          <rPr>
            <b/>
            <sz val="9"/>
            <color indexed="81"/>
            <rFont val="Tahoma"/>
            <family val="2"/>
          </rPr>
          <t>Quach, Pauline:</t>
        </r>
        <r>
          <rPr>
            <sz val="9"/>
            <color indexed="81"/>
            <rFont val="Tahoma"/>
            <family val="2"/>
          </rPr>
          <t xml:space="preserve">
Only provided per arm, not for whole study</t>
        </r>
      </text>
    </comment>
    <comment ref="P281" authorId="8" shapeId="0" xr:uid="{00000000-0006-0000-0600-00008E020000}">
      <text>
        <r>
          <rPr>
            <b/>
            <sz val="9"/>
            <color indexed="81"/>
            <rFont val="Tahoma"/>
            <family val="2"/>
          </rPr>
          <t>Quach, Pauline:</t>
        </r>
        <r>
          <rPr>
            <sz val="9"/>
            <color indexed="81"/>
            <rFont val="Tahoma"/>
            <family val="2"/>
          </rPr>
          <t xml:space="preserve">
Only provided per arm, not for whole study</t>
        </r>
      </text>
    </comment>
    <comment ref="Q281" authorId="8" shapeId="0" xr:uid="{00000000-0006-0000-0600-00008F020000}">
      <text>
        <r>
          <rPr>
            <b/>
            <sz val="9"/>
            <color indexed="81"/>
            <rFont val="Tahoma"/>
            <family val="2"/>
          </rPr>
          <t>Quach, Pauline:</t>
        </r>
        <r>
          <rPr>
            <sz val="9"/>
            <color indexed="81"/>
            <rFont val="Tahoma"/>
            <family val="2"/>
          </rPr>
          <t xml:space="preserve">
Only provided per arm, not for whole study</t>
        </r>
      </text>
    </comment>
    <comment ref="O282" authorId="8" shapeId="0" xr:uid="{00000000-0006-0000-0600-000090020000}">
      <text>
        <r>
          <rPr>
            <b/>
            <sz val="9"/>
            <color indexed="81"/>
            <rFont val="Tahoma"/>
            <family val="2"/>
          </rPr>
          <t>Quach, Pauline:</t>
        </r>
        <r>
          <rPr>
            <sz val="9"/>
            <color indexed="81"/>
            <rFont val="Tahoma"/>
            <family val="2"/>
          </rPr>
          <t xml:space="preserve">
Only provided per arm, not for whole study</t>
        </r>
      </text>
    </comment>
    <comment ref="P282" authorId="8" shapeId="0" xr:uid="{00000000-0006-0000-0600-000091020000}">
      <text>
        <r>
          <rPr>
            <b/>
            <sz val="9"/>
            <color indexed="81"/>
            <rFont val="Tahoma"/>
            <family val="2"/>
          </rPr>
          <t>Quach, Pauline:</t>
        </r>
        <r>
          <rPr>
            <sz val="9"/>
            <color indexed="81"/>
            <rFont val="Tahoma"/>
            <family val="2"/>
          </rPr>
          <t xml:space="preserve">
based on those analyzed, (ie. those who received allocated intervention). They included data from those who were lost to follow up between intiial chart review and final chart review.
NB: a  lot of people were lost to follow up between randomization and initial chart review and are not included in baseline data.</t>
        </r>
      </text>
    </comment>
    <comment ref="Q282" authorId="8" shapeId="0" xr:uid="{00000000-0006-0000-0600-000092020000}">
      <text>
        <r>
          <rPr>
            <b/>
            <sz val="9"/>
            <color indexed="81"/>
            <rFont val="Tahoma"/>
            <family val="2"/>
          </rPr>
          <t>Quach, Pauline:</t>
        </r>
        <r>
          <rPr>
            <sz val="9"/>
            <color indexed="81"/>
            <rFont val="Tahoma"/>
            <family val="2"/>
          </rPr>
          <t xml:space="preserve">
Only provided per arm, not for whole study</t>
        </r>
      </text>
    </comment>
    <comment ref="T282" authorId="8" shapeId="0" xr:uid="{00000000-0006-0000-0600-000093020000}">
      <text>
        <r>
          <rPr>
            <b/>
            <sz val="9"/>
            <color indexed="81"/>
            <rFont val="Tahoma"/>
            <family val="2"/>
          </rPr>
          <t>Quach, Pauline:</t>
        </r>
        <r>
          <rPr>
            <sz val="9"/>
            <color indexed="81"/>
            <rFont val="Tahoma"/>
            <family val="2"/>
          </rPr>
          <t xml:space="preserve">
baseline based on those who had initital chart review data (but note a lot of people were lost to follow up between randomization and initial chart review)</t>
        </r>
      </text>
    </comment>
    <comment ref="V282" authorId="8" shapeId="0" xr:uid="{00000000-0006-0000-0600-000094020000}">
      <text>
        <r>
          <rPr>
            <b/>
            <sz val="9"/>
            <color indexed="81"/>
            <rFont val="Tahoma"/>
            <family val="2"/>
          </rPr>
          <t>Quach, Pauline:</t>
        </r>
        <r>
          <rPr>
            <sz val="9"/>
            <color indexed="81"/>
            <rFont val="Tahoma"/>
            <family val="2"/>
          </rPr>
          <t xml:space="preserve">
baseline based on those who had initital chart review data (but note a lot of people were lost to follow up between randomization and initial chart review)</t>
        </r>
      </text>
    </comment>
    <comment ref="W282" authorId="8" shapeId="0" xr:uid="{00000000-0006-0000-0600-000095020000}">
      <text>
        <r>
          <rPr>
            <b/>
            <sz val="9"/>
            <color indexed="81"/>
            <rFont val="Tahoma"/>
            <family val="2"/>
          </rPr>
          <t>Quach, Pauline:</t>
        </r>
        <r>
          <rPr>
            <sz val="9"/>
            <color indexed="81"/>
            <rFont val="Tahoma"/>
            <family val="2"/>
          </rPr>
          <t xml:space="preserve">
baseline based on those who had initital chart review data (but note a lot of people were lost to follow up between randomization and initial chart review)</t>
        </r>
      </text>
    </comment>
    <comment ref="A286" authorId="3" shapeId="0" xr:uid="{00000000-0006-0000-0600-000096020000}">
      <text>
        <r>
          <rPr>
            <b/>
            <sz val="9"/>
            <color indexed="81"/>
            <rFont val="Calibri"/>
            <family val="2"/>
          </rPr>
          <t>Kristin Danko:</t>
        </r>
        <r>
          <rPr>
            <sz val="9"/>
            <color indexed="81"/>
            <rFont val="Calibri"/>
            <family val="2"/>
          </rPr>
          <t xml:space="preserve">
focus on improving LDL testing, and report LDL levels only among those tested - varying samples baseline and f/u among 3 arms. Decided with NI this was probably not a suitable study for inclusion</t>
        </r>
      </text>
    </comment>
    <comment ref="M286" authorId="1" shapeId="0" xr:uid="{00000000-0006-0000-0600-000097020000}">
      <text>
        <r>
          <rPr>
            <b/>
            <sz val="9"/>
            <color indexed="81"/>
            <rFont val="Verdana"/>
            <family val="2"/>
          </rPr>
          <t>Andrea Tricco:</t>
        </r>
        <r>
          <rPr>
            <sz val="9"/>
            <color indexed="81"/>
            <rFont val="Verdana"/>
            <family val="2"/>
          </rPr>
          <t xml:space="preserve">
yr of publication
</t>
        </r>
      </text>
    </comment>
    <comment ref="AE286" authorId="4" shapeId="0" xr:uid="{00000000-0006-0000-0600-000098020000}">
      <text>
        <r>
          <rPr>
            <b/>
            <sz val="8"/>
            <color indexed="81"/>
            <rFont val="Tahoma"/>
            <family val="2"/>
          </rPr>
          <t>Natasha Krahn:</t>
        </r>
        <r>
          <rPr>
            <sz val="8"/>
            <color indexed="81"/>
            <rFont val="Tahoma"/>
            <family val="2"/>
          </rPr>
          <t xml:space="preserve">
I don't know what is most useful here</t>
        </r>
      </text>
    </comment>
    <comment ref="B327" authorId="8" shapeId="0" xr:uid="{00000000-0006-0000-0600-000099020000}">
      <text>
        <r>
          <rPr>
            <b/>
            <sz val="9"/>
            <color indexed="81"/>
            <rFont val="Tahoma"/>
            <family val="2"/>
          </rPr>
          <t>Quach, Pauline:</t>
        </r>
        <r>
          <rPr>
            <sz val="9"/>
            <color indexed="81"/>
            <rFont val="Tahoma"/>
            <family val="2"/>
          </rPr>
          <t xml:space="preserve">
Co-pub to FT ID 12059, 12534, 12548 and included ID 11241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kdanko</author>
    <author>lturner</author>
    <author>Mish</author>
    <author>Kristin Danko</author>
    <author>Noah Ivers</author>
    <author>Quach, Pauline</author>
  </authors>
  <commentList>
    <comment ref="K3" authorId="0" shapeId="0" xr:uid="{00000000-0006-0000-0200-000001000000}">
      <text>
        <r>
          <rPr>
            <b/>
            <sz val="8"/>
            <color indexed="81"/>
            <rFont val="Tahoma"/>
            <family val="2"/>
          </rPr>
          <t>kdanko:</t>
        </r>
        <r>
          <rPr>
            <sz val="8"/>
            <color indexed="81"/>
            <rFont val="Tahoma"/>
            <family val="2"/>
          </rPr>
          <t xml:space="preserve">
"The data from the patients in the modem group were examined carefully by the investigators with Glucofacts, and the patients were counseled by telephone every week after tranferring the results to adjust insulin dosage or food intake, if necessary" pg 2</t>
        </r>
      </text>
    </comment>
    <comment ref="L3" authorId="0" shapeId="0" xr:uid="{00000000-0006-0000-0200-000002000000}">
      <text>
        <r>
          <rPr>
            <b/>
            <sz val="8"/>
            <color indexed="81"/>
            <rFont val="Tahoma"/>
            <family val="2"/>
          </rPr>
          <t>kdanko:</t>
        </r>
        <r>
          <rPr>
            <sz val="8"/>
            <color indexed="81"/>
            <rFont val="Tahoma"/>
            <family val="2"/>
          </rPr>
          <t xml:space="preserve">
"They were all familiar with testing blood glucose accurately because they had been enrolled in the Diabetes Education Center of the hospital" pg 2</t>
        </r>
      </text>
    </comment>
    <comment ref="M3" authorId="0" shapeId="0" xr:uid="{00000000-0006-0000-0200-000003000000}">
      <text>
        <r>
          <rPr>
            <b/>
            <sz val="8"/>
            <color indexed="81"/>
            <rFont val="Tahoma"/>
            <family val="2"/>
          </rPr>
          <t>kdanko:</t>
        </r>
        <r>
          <rPr>
            <sz val="8"/>
            <color indexed="81"/>
            <rFont val="Tahoma"/>
            <family val="2"/>
          </rPr>
          <t xml:space="preserve">
"They were all familiar with testing blood glucose accurately because they had been enrolled in the Diabetes Education Center of the hospital" pg 2</t>
        </r>
      </text>
    </comment>
    <comment ref="K4" authorId="1" shapeId="0" xr:uid="{00000000-0006-0000-0200-000004000000}">
      <text>
        <r>
          <rPr>
            <b/>
            <sz val="9"/>
            <color indexed="81"/>
            <rFont val="Tahoma"/>
            <family val="2"/>
          </rPr>
          <t>lturner:</t>
        </r>
        <r>
          <rPr>
            <sz val="9"/>
            <color indexed="81"/>
            <rFont val="Tahoma"/>
            <family val="2"/>
          </rPr>
          <t xml:space="preserve">
LT included 8/8/2012</t>
        </r>
      </text>
    </comment>
    <comment ref="M4" authorId="0" shapeId="0" xr:uid="{00000000-0006-0000-0200-000005000000}">
      <text>
        <r>
          <rPr>
            <b/>
            <sz val="8"/>
            <color indexed="81"/>
            <rFont val="Tahoma"/>
            <family val="2"/>
          </rPr>
          <t>kdanko:</t>
        </r>
        <r>
          <rPr>
            <sz val="8"/>
            <color indexed="81"/>
            <rFont val="Tahoma"/>
            <family val="2"/>
          </rPr>
          <t xml:space="preserve">
"blood glucose meters and strips" pg 4</t>
        </r>
      </text>
    </comment>
    <comment ref="F5" authorId="0" shapeId="0" xr:uid="{00000000-0006-0000-0200-000006000000}">
      <text>
        <r>
          <rPr>
            <b/>
            <sz val="8"/>
            <color indexed="81"/>
            <rFont val="Tahoma"/>
            <family val="2"/>
          </rPr>
          <t>kdanko:</t>
        </r>
        <r>
          <rPr>
            <sz val="8"/>
            <color indexed="81"/>
            <rFont val="Tahoma"/>
            <family val="2"/>
          </rPr>
          <t xml:space="preserve">
title "case management"; "nurse case manager", pg 2</t>
        </r>
      </text>
    </comment>
    <comment ref="G5" authorId="0" shapeId="0" xr:uid="{00000000-0006-0000-0200-000007000000}">
      <text>
        <r>
          <rPr>
            <b/>
            <sz val="8"/>
            <color indexed="81"/>
            <rFont val="Tahoma"/>
            <family val="2"/>
          </rPr>
          <t>kdanko:</t>
        </r>
        <r>
          <rPr>
            <sz val="8"/>
            <color indexed="81"/>
            <rFont val="Tahoma"/>
            <family val="2"/>
          </rPr>
          <t xml:space="preserve">
"under the direction of a board-certified family medicine physician and an endocrinologist who were responsible for all diabetes management decisions for patients in the intervention group but were not primary care providers for these patients." pg 3</t>
        </r>
      </text>
    </comment>
    <comment ref="L5" authorId="0" shapeId="0" xr:uid="{00000000-0006-0000-0200-000008000000}">
      <text>
        <r>
          <rPr>
            <b/>
            <sz val="8"/>
            <color indexed="81"/>
            <rFont val="Tahoma"/>
            <family val="2"/>
          </rPr>
          <t>kdanko:</t>
        </r>
        <r>
          <rPr>
            <sz val="8"/>
            <color indexed="81"/>
            <rFont val="Tahoma"/>
            <family val="2"/>
          </rPr>
          <t xml:space="preserve">
"diabetes education program" pg 3</t>
        </r>
      </text>
    </comment>
    <comment ref="M5" authorId="0" shapeId="0" xr:uid="{00000000-0006-0000-0200-000009000000}">
      <text>
        <r>
          <rPr>
            <b/>
            <sz val="8"/>
            <color indexed="81"/>
            <rFont val="Tahoma"/>
            <family val="2"/>
          </rPr>
          <t>kdanko:</t>
        </r>
        <r>
          <rPr>
            <sz val="8"/>
            <color indexed="81"/>
            <rFont val="Tahoma"/>
            <family val="2"/>
          </rPr>
          <t xml:space="preserve">
"blood glucose monitoring schedule" pg 3</t>
        </r>
      </text>
    </comment>
    <comment ref="K7" authorId="0" shapeId="0" xr:uid="{00000000-0006-0000-0200-00000A000000}">
      <text>
        <r>
          <rPr>
            <b/>
            <sz val="8"/>
            <color indexed="81"/>
            <rFont val="Tahoma"/>
            <family val="2"/>
          </rPr>
          <t>kdanko: 
"</t>
        </r>
        <r>
          <rPr>
            <sz val="8"/>
            <color indexed="81"/>
            <rFont val="Tahoma"/>
            <family val="2"/>
          </rPr>
          <t>The meters could be connected to the preprogrammed modem, which automatically uploads the data via the analog telephone system to the diabetes centre." pg 3; "Figure 1. The telemedical system (+image)", pg 3.</t>
        </r>
      </text>
    </comment>
    <comment ref="M8" authorId="0" shapeId="0" xr:uid="{00000000-0006-0000-0200-00000B000000}">
      <text>
        <r>
          <rPr>
            <b/>
            <sz val="8"/>
            <color indexed="81"/>
            <rFont val="Tahoma"/>
            <family val="2"/>
          </rPr>
          <t>kdanko:</t>
        </r>
        <r>
          <rPr>
            <sz val="8"/>
            <color indexed="81"/>
            <rFont val="Tahoma"/>
            <family val="2"/>
          </rPr>
          <t xml:space="preserve">
crossover design to "conventional reflectance meter (Glucometer Il, Ames) and
5MBG recorded on booklets (booklet period) and another
with computerized 5MBG assisted by telematics
(telematic period)." pg 2</t>
        </r>
      </text>
    </comment>
    <comment ref="K9" authorId="0" shapeId="0" xr:uid="{00000000-0006-0000-0200-00000C000000}">
      <text>
        <r>
          <rPr>
            <b/>
            <sz val="8"/>
            <color indexed="81"/>
            <rFont val="Tahoma"/>
            <family val="2"/>
          </rPr>
          <t>kdanko:</t>
        </r>
        <r>
          <rPr>
            <sz val="8"/>
            <color indexed="81"/>
            <rFont val="Tahoma"/>
            <family val="2"/>
          </rPr>
          <t xml:space="preserve">
"We tried to improve communication between patientsand physicians by transmitting computerized SMBG data through a telematic network", pg 1</t>
        </r>
      </text>
    </comment>
    <comment ref="M9" authorId="0" shapeId="0" xr:uid="{00000000-0006-0000-0200-00000D000000}">
      <text>
        <r>
          <rPr>
            <b/>
            <sz val="8"/>
            <color indexed="81"/>
            <rFont val="Tahoma"/>
            <family val="2"/>
          </rPr>
          <t>kdanko:</t>
        </r>
        <r>
          <rPr>
            <sz val="8"/>
            <color indexed="81"/>
            <rFont val="Tahoma"/>
            <family val="2"/>
          </rPr>
          <t xml:space="preserve">
crossover design to "conventional reflectance meter (Glucometer Il, Ames) and 5MBG recorded on booklets (booklet period) and another with computerized 5MBG assisted by telematics (telematic period)." pg 2</t>
        </r>
      </text>
    </comment>
    <comment ref="K11" authorId="0" shapeId="0" xr:uid="{00000000-0006-0000-0200-00000E000000}">
      <text>
        <r>
          <rPr>
            <b/>
            <sz val="8"/>
            <color indexed="81"/>
            <rFont val="Tahoma"/>
            <family val="2"/>
          </rPr>
          <t>kdanko:</t>
        </r>
        <r>
          <rPr>
            <sz val="8"/>
            <color indexed="81"/>
            <rFont val="Tahoma"/>
            <family val="2"/>
          </rPr>
          <t xml:space="preserve">
"Patients were randomly assigned to one of two groups: one group had HbA1 c levels determined at the time of the office visit with the benchtop analyzer so that results of the HbA1c test were available to the individual physicians at the beginning of the visit (immediate assay group)" pg 1</t>
        </r>
      </text>
    </comment>
    <comment ref="G13" authorId="0" shapeId="0" xr:uid="{00000000-0006-0000-0200-00000F000000}">
      <text>
        <r>
          <rPr>
            <b/>
            <sz val="8"/>
            <color indexed="81"/>
            <rFont val="Tahoma"/>
            <family val="2"/>
          </rPr>
          <t>kdanko:</t>
        </r>
        <r>
          <rPr>
            <sz val="8"/>
            <color indexed="81"/>
            <rFont val="Tahoma"/>
            <family val="2"/>
          </rPr>
          <t xml:space="preserve">
"Group visits were co-led by a primary care internal medicine physician and diabetes nurse educator…meeting monthly for 6 months" pg 2</t>
        </r>
      </text>
    </comment>
    <comment ref="L13" authorId="0" shapeId="0" xr:uid="{00000000-0006-0000-0200-000010000000}">
      <text>
        <r>
          <rPr>
            <b/>
            <sz val="8"/>
            <color indexed="81"/>
            <rFont val="Tahoma"/>
            <family val="2"/>
          </rPr>
          <t>kdanko:</t>
        </r>
        <r>
          <rPr>
            <sz val="8"/>
            <color indexed="81"/>
            <rFont val="Tahoma"/>
            <family val="2"/>
          </rPr>
          <t xml:space="preserve">
"…educatorional topics…nutrition, exercise, sick day management, and stress management" pg 3</t>
        </r>
      </text>
    </comment>
    <comment ref="F15" authorId="0" shapeId="0" xr:uid="{00000000-0006-0000-0200-000011000000}">
      <text>
        <r>
          <rPr>
            <b/>
            <sz val="8"/>
            <color indexed="81"/>
            <rFont val="Tahoma"/>
            <family val="2"/>
          </rPr>
          <t>kdanko:</t>
        </r>
        <r>
          <rPr>
            <sz val="8"/>
            <color indexed="81"/>
            <rFont val="Tahoma"/>
            <family val="2"/>
          </rPr>
          <t xml:space="preserve">
"All patients randomised to the PCP attended appointments with an experienced clinical pharmacist at six- weekly intervals for six months" pg 2</t>
        </r>
      </text>
    </comment>
    <comment ref="G15" authorId="0" shapeId="0" xr:uid="{00000000-0006-0000-0200-000012000000}">
      <text>
        <r>
          <rPr>
            <b/>
            <sz val="8"/>
            <color indexed="81"/>
            <rFont val="Tahoma"/>
            <family val="2"/>
          </rPr>
          <t>kdanko:</t>
        </r>
        <r>
          <rPr>
            <sz val="8"/>
            <color indexed="81"/>
            <rFont val="Tahoma"/>
            <family val="2"/>
          </rPr>
          <t xml:space="preserve">
"All patients randomised to the PCP attended appointments with an experienced clinical pharmacist at six- weekly intervals for six months" pg 2; "in co-operation with the diabetes physicians
and other members of the diabetes health
care team" pg. 3</t>
        </r>
      </text>
    </comment>
    <comment ref="E17" authorId="0" shapeId="0" xr:uid="{00000000-0006-0000-0200-000013000000}">
      <text>
        <r>
          <rPr>
            <b/>
            <sz val="8"/>
            <color indexed="81"/>
            <rFont val="Tahoma"/>
            <family val="2"/>
          </rPr>
          <t>kdanko:</t>
        </r>
        <r>
          <rPr>
            <sz val="8"/>
            <color indexed="81"/>
            <rFont val="Tahoma"/>
            <family val="2"/>
          </rPr>
          <t xml:space="preserve">
"The doctors received annual descriptive feedback reports on individual patients." pg 2</t>
        </r>
      </text>
    </comment>
    <comment ref="I17" authorId="0" shapeId="0" xr:uid="{00000000-0006-0000-0200-000014000000}">
      <text>
        <r>
          <rPr>
            <b/>
            <sz val="8"/>
            <color indexed="81"/>
            <rFont val="Tahoma"/>
            <family val="2"/>
          </rPr>
          <t>kdanko:</t>
        </r>
        <r>
          <rPr>
            <sz val="8"/>
            <color indexed="81"/>
            <rFont val="Tahoma"/>
            <family val="2"/>
          </rPr>
          <t xml:space="preserve">
"The general practitioners were introduced to possible solutions to therapeutic problems through clinical guidelines supported by an annual half day seminar." pg 2</t>
        </r>
      </text>
    </comment>
    <comment ref="J17" authorId="0" shapeId="0" xr:uid="{00000000-0006-0000-0200-000015000000}">
      <text>
        <r>
          <rPr>
            <b/>
            <sz val="8"/>
            <color indexed="81"/>
            <rFont val="Tahoma"/>
            <family val="2"/>
          </rPr>
          <t>kdanko:</t>
        </r>
        <r>
          <rPr>
            <sz val="8"/>
            <color indexed="81"/>
            <rFont val="Tahoma"/>
            <family val="2"/>
          </rPr>
          <t xml:space="preserve">
"In the intervention group, follow up every three months and annual screening for diabetic complications were supported by sending a questionnaire to the general practitioner one month before the next expected consultation. The general practitioner was also requested to define, together with the patient, the best possible goals for blood glucose concentration" pg 2</t>
        </r>
      </text>
    </comment>
    <comment ref="L17" authorId="0" shapeId="0" xr:uid="{00000000-0006-0000-0200-000016000000}">
      <text>
        <r>
          <rPr>
            <b/>
            <sz val="8"/>
            <color indexed="81"/>
            <rFont val="Tahoma"/>
            <family val="2"/>
          </rPr>
          <t>kdanko:</t>
        </r>
        <r>
          <rPr>
            <sz val="8"/>
            <color indexed="81"/>
            <rFont val="Tahoma"/>
            <family val="2"/>
          </rPr>
          <t xml:space="preserve">
"but four patient leaflets were produced for
the doctor to hand out." pg 2</t>
        </r>
      </text>
    </comment>
    <comment ref="M17" authorId="0" shapeId="0" xr:uid="{00000000-0006-0000-0200-000017000000}">
      <text>
        <r>
          <rPr>
            <b/>
            <sz val="8"/>
            <color indexed="81"/>
            <rFont val="Tahoma"/>
            <family val="2"/>
          </rPr>
          <t>kdanko:</t>
        </r>
        <r>
          <rPr>
            <sz val="8"/>
            <color indexed="81"/>
            <rFont val="Tahoma"/>
            <family val="2"/>
          </rPr>
          <t xml:space="preserve">
"The general practitioner was also requested to define, together with the patient, the best possible goals for blood glucose concentration" pg 2</t>
        </r>
      </text>
    </comment>
    <comment ref="L18" authorId="0" shapeId="0" xr:uid="{00000000-0006-0000-0200-000018000000}">
      <text>
        <r>
          <rPr>
            <b/>
            <sz val="8"/>
            <color indexed="81"/>
            <rFont val="Tahoma"/>
            <family val="2"/>
          </rPr>
          <t>kdanko:</t>
        </r>
        <r>
          <rPr>
            <sz val="8"/>
            <color indexed="81"/>
            <rFont val="Tahoma"/>
            <family val="2"/>
          </rPr>
          <t xml:space="preserve">
"Nutritional goals designed to improve glycemic control were introduced, and general principles of nutrition management were discussed" pg 2</t>
        </r>
      </text>
    </comment>
    <comment ref="G19" authorId="0" shapeId="0" xr:uid="{00000000-0006-0000-0200-000019000000}">
      <text>
        <r>
          <rPr>
            <b/>
            <sz val="8"/>
            <color indexed="81"/>
            <rFont val="Tahoma"/>
            <family val="2"/>
          </rPr>
          <t>kdanko:</t>
        </r>
        <r>
          <rPr>
            <sz val="8"/>
            <color indexed="81"/>
            <rFont val="Tahoma"/>
            <family val="2"/>
          </rPr>
          <t xml:space="preserve">
"The dietitian then made a recommendation to the referring physician regarding adding or changing the type of medical therapy or therapeutic doses of medications (such as oral agents or insulin)" pg 2</t>
        </r>
      </text>
    </comment>
    <comment ref="L19" authorId="0" shapeId="0" xr:uid="{00000000-0006-0000-0200-00001A000000}">
      <text>
        <r>
          <rPr>
            <b/>
            <sz val="8"/>
            <color indexed="81"/>
            <rFont val="Tahoma"/>
            <family val="2"/>
          </rPr>
          <t>kdanko:</t>
        </r>
        <r>
          <rPr>
            <sz val="8"/>
            <color indexed="81"/>
            <rFont val="Tahoma"/>
            <family val="2"/>
          </rPr>
          <t xml:space="preserve">
"…dietician…educational intervention" pg 2</t>
        </r>
      </text>
    </comment>
    <comment ref="M19" authorId="0" shapeId="0" xr:uid="{00000000-0006-0000-0200-00001B000000}">
      <text>
        <r>
          <rPr>
            <b/>
            <sz val="8"/>
            <color indexed="81"/>
            <rFont val="Tahoma"/>
            <family val="2"/>
          </rPr>
          <t>kdanko:</t>
        </r>
        <r>
          <rPr>
            <sz val="8"/>
            <color indexed="81"/>
            <rFont val="Tahoma"/>
            <family val="2"/>
          </rPr>
          <t xml:space="preserve">
"Nutrition interventions designed to achieve glucose goals were implemented, and achievement of glucose goals was evaluated at the second follow-up visit (approximately 6 weeks after the initial session)" pg 2</t>
        </r>
      </text>
    </comment>
    <comment ref="E21" authorId="0" shapeId="0" xr:uid="{00000000-0006-0000-0200-00001C000000}">
      <text>
        <r>
          <rPr>
            <b/>
            <sz val="8"/>
            <color indexed="81"/>
            <rFont val="Tahoma"/>
            <family val="2"/>
          </rPr>
          <t>kdanko:</t>
        </r>
        <r>
          <rPr>
            <sz val="8"/>
            <color indexed="81"/>
            <rFont val="Tahoma"/>
            <family val="2"/>
          </rPr>
          <t xml:space="preserve">
"The intervention group received feedback reports" pg 1; "Before this visit,
each GP in the practice received an individualized feedback report based on baseline performance data." pg 2</t>
        </r>
      </text>
    </comment>
    <comment ref="I21" authorId="0" shapeId="0" xr:uid="{00000000-0006-0000-0200-00001D000000}">
      <text>
        <r>
          <rPr>
            <b/>
            <sz val="8"/>
            <color indexed="81"/>
            <rFont val="Tahoma"/>
            <family val="2"/>
          </rPr>
          <t>kdanko:</t>
        </r>
        <r>
          <rPr>
            <sz val="8"/>
            <color indexed="81"/>
            <rFont val="Tahoma"/>
            <family val="2"/>
          </rPr>
          <t xml:space="preserve">
"…support from a facilitator" pg 1; "Each practice received support from one facilitator; in partnerships, the facilitator could see more than one GP at the same time. As part of a visit, the facilitator specifically addressed the clinical decision making for patients with Type 2 diabetes mellitus" pg 2</t>
        </r>
      </text>
    </comment>
    <comment ref="O21" authorId="0" shapeId="0" xr:uid="{00000000-0006-0000-0200-00001E000000}">
      <text>
        <r>
          <rPr>
            <b/>
            <sz val="8"/>
            <color indexed="81"/>
            <rFont val="Tahoma"/>
            <family val="2"/>
          </rPr>
          <t>kdanko:</t>
        </r>
        <r>
          <rPr>
            <sz val="8"/>
            <color indexed="81"/>
            <rFont val="Tahoma"/>
            <family val="2"/>
          </rPr>
          <t xml:space="preserve">
"The facilitator provided guidance,
support, and educational materials to facilitate improvement. At the next visit, the facilitator and the GPs discussed the extent to which the plans were carried out and which aspects of decision
making needed further attention." pg 2</t>
        </r>
      </text>
    </comment>
    <comment ref="F23" authorId="0" shapeId="0" xr:uid="{00000000-0006-0000-0200-00001F000000}">
      <text>
        <r>
          <rPr>
            <b/>
            <sz val="8"/>
            <color indexed="81"/>
            <rFont val="Tahoma"/>
            <family val="2"/>
          </rPr>
          <t>kdanko:</t>
        </r>
        <r>
          <rPr>
            <sz val="8"/>
            <color indexed="81"/>
            <rFont val="Tahoma"/>
            <family val="2"/>
          </rPr>
          <t xml:space="preserve">
"In either case, intervention subjects received brief follow-up phone calls ~1 and 3 weeks after their office visit. Phone calls reviewed patients progress toward their goal and focused on barriers-based problem solving" pg 3</t>
        </r>
      </text>
    </comment>
    <comment ref="J23" authorId="0" shapeId="0" xr:uid="{00000000-0006-0000-0200-000020000000}">
      <text>
        <r>
          <rPr>
            <b/>
            <sz val="8"/>
            <color indexed="81"/>
            <rFont val="Tahoma"/>
            <family val="2"/>
          </rPr>
          <t>kdanko:</t>
        </r>
        <r>
          <rPr>
            <sz val="8"/>
            <color indexed="81"/>
            <rFont val="Tahoma"/>
            <family val="2"/>
          </rPr>
          <t xml:space="preserve">
"…brightly colored one-page feedback form" pg 3</t>
        </r>
      </text>
    </comment>
    <comment ref="K23" authorId="0" shapeId="0" xr:uid="{00000000-0006-0000-0200-000021000000}">
      <text>
        <r>
          <rPr>
            <b/>
            <sz val="8"/>
            <color indexed="81"/>
            <rFont val="Tahoma"/>
            <family val="2"/>
          </rPr>
          <t>kdanko:</t>
        </r>
        <r>
          <rPr>
            <sz val="8"/>
            <color indexed="81"/>
            <rFont val="Tahoma"/>
            <family val="2"/>
          </rPr>
          <t xml:space="preserve">
"A separate brightly colored one-page feedback form for the physician containing information on the patient's fat intake as well as a condensed summary of the barriers to low-fat eating faced by the patient was also printed and attached to the front of the patient's chart" pg 3</t>
        </r>
      </text>
    </comment>
    <comment ref="L23" authorId="0" shapeId="0" xr:uid="{00000000-0006-0000-0200-000022000000}">
      <text>
        <r>
          <rPr>
            <b/>
            <sz val="8"/>
            <color indexed="81"/>
            <rFont val="Tahoma"/>
            <family val="2"/>
          </rPr>
          <t>kdanko:</t>
        </r>
        <r>
          <rPr>
            <sz val="8"/>
            <color indexed="81"/>
            <rFont val="Tahoma"/>
            <family val="2"/>
          </rPr>
          <t xml:space="preserve">
"…patient received…a self-help pamphlet with sections relevant to their goal highlighted" pg 3</t>
        </r>
      </text>
    </comment>
    <comment ref="M23" authorId="0" shapeId="0" xr:uid="{00000000-0006-0000-0200-000023000000}">
      <text>
        <r>
          <rPr>
            <b/>
            <sz val="8"/>
            <color indexed="81"/>
            <rFont val="Tahoma"/>
            <family val="2"/>
          </rPr>
          <t>kdanko:</t>
        </r>
        <r>
          <rPr>
            <sz val="8"/>
            <color indexed="81"/>
            <rFont val="Tahoma"/>
            <family val="2"/>
          </rPr>
          <t xml:space="preserve">
"Patient participation in goal setting" pg 3; "…at the conclusion of which the patient received a copy of the mutually developed goal setting/strategy worksheet and a self-help pamphlet with sections relevant to their goal highlighted" pg 3</t>
        </r>
      </text>
    </comment>
    <comment ref="G25" authorId="0" shapeId="0" xr:uid="{00000000-0006-0000-0200-000024000000}">
      <text>
        <r>
          <rPr>
            <b/>
            <sz val="8"/>
            <color indexed="81"/>
            <rFont val="Tahoma"/>
            <family val="2"/>
          </rPr>
          <t>kdanko:</t>
        </r>
        <r>
          <rPr>
            <sz val="8"/>
            <color indexed="81"/>
            <rFont val="Tahoma"/>
            <family val="2"/>
          </rPr>
          <t xml:space="preserve">
"…seen at the Diabetes Service by a diabetes educator (a nurse) and a dietician"</t>
        </r>
      </text>
    </comment>
    <comment ref="L25" authorId="0" shapeId="0" xr:uid="{00000000-0006-0000-0200-000025000000}">
      <text>
        <r>
          <rPr>
            <b/>
            <sz val="8"/>
            <color indexed="81"/>
            <rFont val="Tahoma"/>
            <family val="2"/>
          </rPr>
          <t>kdanko:</t>
        </r>
        <r>
          <rPr>
            <sz val="8"/>
            <color indexed="81"/>
            <rFont val="Tahoma"/>
            <family val="2"/>
          </rPr>
          <t xml:space="preserve">
"Although patients and GPs received information about blood pressure and weight and the Diabetes Service dietician informed patients about a cholesterol-lowering diet, intervention only influenced metabolic control" pg 5</t>
        </r>
      </text>
    </comment>
    <comment ref="E26" authorId="0" shapeId="0" xr:uid="{00000000-0006-0000-0200-000026000000}">
      <text>
        <r>
          <rPr>
            <b/>
            <sz val="8"/>
            <color indexed="81"/>
            <rFont val="Tahoma"/>
            <family val="2"/>
          </rPr>
          <t>kdanko:</t>
        </r>
        <r>
          <rPr>
            <sz val="8"/>
            <color indexed="81"/>
            <rFont val="Tahoma"/>
            <family val="2"/>
          </rPr>
          <t xml:space="preserve">
"... lists of their diabetes patients with their diabetic retinopathy screening exam status." pg 2</t>
        </r>
      </text>
    </comment>
    <comment ref="I26" authorId="0" shapeId="0" xr:uid="{00000000-0006-0000-0200-000027000000}">
      <text>
        <r>
          <rPr>
            <b/>
            <sz val="8"/>
            <color indexed="81"/>
            <rFont val="Tahoma"/>
            <family val="2"/>
          </rPr>
          <t>kdanko:</t>
        </r>
        <r>
          <rPr>
            <sz val="8"/>
            <color indexed="81"/>
            <rFont val="Tahoma"/>
            <family val="2"/>
          </rPr>
          <t xml:space="preserve">
"a letter explaining the program,
the current American Diabetes Association (ADA) guidelines for retinal examinations" pg 2</t>
        </r>
      </text>
    </comment>
    <comment ref="L26" authorId="0" shapeId="0" xr:uid="{00000000-0006-0000-0200-000028000000}">
      <text>
        <r>
          <rPr>
            <b/>
            <sz val="8"/>
            <color indexed="81"/>
            <rFont val="Tahoma"/>
            <family val="2"/>
          </rPr>
          <t>kdanko:</t>
        </r>
        <r>
          <rPr>
            <sz val="8"/>
            <color indexed="81"/>
            <rFont val="Tahoma"/>
            <family val="2"/>
          </rPr>
          <t xml:space="preserve">
"diabetic members who did not have a record of a diabetic retinopathy exam received educational materials and a report of their current DRE status" pg 2</t>
        </r>
      </text>
    </comment>
    <comment ref="N26" authorId="0" shapeId="0" xr:uid="{00000000-0006-0000-0200-000029000000}">
      <text>
        <r>
          <rPr>
            <b/>
            <sz val="8"/>
            <color indexed="81"/>
            <rFont val="Tahoma"/>
            <family val="2"/>
          </rPr>
          <t>kdanko:</t>
        </r>
        <r>
          <rPr>
            <sz val="8"/>
            <color indexed="81"/>
            <rFont val="Tahoma"/>
            <family val="2"/>
          </rPr>
          <t xml:space="preserve">
"diabetic members who did not have a record of a diabetic retinopathy exam received educational materials and a report of their current DRE status" pg 2</t>
        </r>
      </text>
    </comment>
    <comment ref="E27" authorId="0" shapeId="0" xr:uid="{00000000-0006-0000-0200-00002A000000}">
      <text>
        <r>
          <rPr>
            <b/>
            <sz val="8"/>
            <color indexed="81"/>
            <rFont val="Tahoma"/>
            <family val="2"/>
          </rPr>
          <t>kdanko:</t>
        </r>
        <r>
          <rPr>
            <sz val="8"/>
            <color indexed="81"/>
            <rFont val="Tahoma"/>
            <family val="2"/>
          </rPr>
          <t xml:space="preserve">
"... lists of their diabetes patients with their diabetic retinopathy screening exam status." pg 2</t>
        </r>
      </text>
    </comment>
    <comment ref="I27" authorId="0" shapeId="0" xr:uid="{00000000-0006-0000-0200-00002B000000}">
      <text>
        <r>
          <rPr>
            <b/>
            <sz val="8"/>
            <color indexed="81"/>
            <rFont val="Tahoma"/>
            <family val="2"/>
          </rPr>
          <t>kdanko:</t>
        </r>
        <r>
          <rPr>
            <sz val="8"/>
            <color indexed="81"/>
            <rFont val="Tahoma"/>
            <family val="2"/>
          </rPr>
          <t xml:space="preserve">
"a letter explaining the program, the current American Diabetes Association (ADA) guidelines for retinal examinations" pg 2</t>
        </r>
      </text>
    </comment>
    <comment ref="L27" authorId="0" shapeId="0" xr:uid="{00000000-0006-0000-0200-00002C000000}">
      <text>
        <r>
          <rPr>
            <b/>
            <sz val="8"/>
            <color indexed="81"/>
            <rFont val="Tahoma"/>
            <family val="2"/>
          </rPr>
          <t>kdanko:</t>
        </r>
        <r>
          <rPr>
            <sz val="8"/>
            <color indexed="81"/>
            <rFont val="Tahoma"/>
            <family val="2"/>
          </rPr>
          <t xml:space="preserve">
"diabetic members who did not have a record of a diabetic retinopathy exam received educational materials and a report of their current DRE status" pg 2</t>
        </r>
      </text>
    </comment>
    <comment ref="N27" authorId="0" shapeId="0" xr:uid="{00000000-0006-0000-0200-00002D000000}">
      <text>
        <r>
          <rPr>
            <b/>
            <sz val="8"/>
            <color indexed="81"/>
            <rFont val="Tahoma"/>
            <family val="2"/>
          </rPr>
          <t>kdanko:</t>
        </r>
        <r>
          <rPr>
            <sz val="8"/>
            <color indexed="81"/>
            <rFont val="Tahoma"/>
            <family val="2"/>
          </rPr>
          <t xml:space="preserve">
Same, but multiple reminders "diabetic members who did not have a record of a diabetic retinopathy exam received educational materials and a report of their current DRE status" pg 2</t>
        </r>
      </text>
    </comment>
    <comment ref="I28" authorId="0" shapeId="0" xr:uid="{00000000-0006-0000-0200-00002E000000}">
      <text>
        <r>
          <rPr>
            <b/>
            <sz val="8"/>
            <color indexed="81"/>
            <rFont val="Tahoma"/>
            <family val="2"/>
          </rPr>
          <t>kdanko:</t>
        </r>
        <r>
          <rPr>
            <sz val="8"/>
            <color indexed="81"/>
            <rFont val="Tahoma"/>
            <family val="2"/>
          </rPr>
          <t xml:space="preserve">
"A leaflet giving guidelines for the continuing care of diabetics plus a specially designed record card were enciosed with each letter of discharge." pg 2</t>
        </r>
      </text>
    </comment>
    <comment ref="G29" authorId="0" shapeId="0" xr:uid="{00000000-0006-0000-0200-00002F000000}">
      <text>
        <r>
          <rPr>
            <b/>
            <sz val="8"/>
            <color indexed="81"/>
            <rFont val="Tahoma"/>
            <family val="2"/>
          </rPr>
          <t>kdanko:</t>
        </r>
        <r>
          <rPr>
            <sz val="8"/>
            <color indexed="81"/>
            <rFont val="Tahoma"/>
            <family val="2"/>
          </rPr>
          <t xml:space="preserve">
"either continued attendance at the diabetic clinic or discharge to the continuing care of their general practitioner." pg 2</t>
        </r>
      </text>
    </comment>
    <comment ref="E31" authorId="0" shapeId="0" xr:uid="{00000000-0006-0000-0200-000030000000}">
      <text>
        <r>
          <rPr>
            <b/>
            <sz val="8"/>
            <color indexed="81"/>
            <rFont val="Tahoma"/>
            <family val="2"/>
          </rPr>
          <t>kdanko:</t>
        </r>
        <r>
          <rPr>
            <sz val="8"/>
            <color indexed="81"/>
            <rFont val="Tahoma"/>
            <family val="2"/>
          </rPr>
          <t xml:space="preserve">
"Each health center in the intervention group received a mailed report with their own baseline registrations as part of the
implementation strategy." pg 6</t>
        </r>
      </text>
    </comment>
    <comment ref="I31" authorId="0" shapeId="0" xr:uid="{00000000-0006-0000-0200-000031000000}">
      <text>
        <r>
          <rPr>
            <b/>
            <sz val="8"/>
            <color indexed="81"/>
            <rFont val="Tahoma"/>
            <family val="2"/>
          </rPr>
          <t>kdanko:</t>
        </r>
        <r>
          <rPr>
            <sz val="8"/>
            <color indexed="81"/>
            <rFont val="Tahoma"/>
            <family val="2"/>
          </rPr>
          <t xml:space="preserve">
"The GPs in the intervention group were invited to participate in a seminar about risk intervention in diabetes mellitus and hypertension, which took place in
October 1995 during a large conference in the region." pg 6</t>
        </r>
      </text>
    </comment>
    <comment ref="J31" authorId="0" shapeId="0" xr:uid="{00000000-0006-0000-0200-000032000000}">
      <text>
        <r>
          <rPr>
            <b/>
            <sz val="8"/>
            <color indexed="81"/>
            <rFont val="Tahoma"/>
            <family val="2"/>
          </rPr>
          <t>kdanko:</t>
        </r>
        <r>
          <rPr>
            <sz val="8"/>
            <color indexed="81"/>
            <rFont val="Tahoma"/>
            <family val="2"/>
          </rPr>
          <t xml:space="preserve">
Figure 1; " reminded to hand out different
booklets." pg 5</t>
        </r>
      </text>
    </comment>
    <comment ref="L31" authorId="0" shapeId="0" xr:uid="{00000000-0006-0000-0200-000033000000}">
      <text>
        <r>
          <rPr>
            <b/>
            <sz val="8"/>
            <color indexed="81"/>
            <rFont val="Tahoma"/>
            <family val="2"/>
          </rPr>
          <t>kdanko:</t>
        </r>
        <r>
          <rPr>
            <sz val="8"/>
            <color indexed="81"/>
            <rFont val="Tahoma"/>
            <family val="2"/>
          </rPr>
          <t xml:space="preserve">
" reminded to hand out different booklets." pg 5</t>
        </r>
      </text>
    </comment>
    <comment ref="G33" authorId="0" shapeId="0" xr:uid="{00000000-0006-0000-0200-000034000000}">
      <text>
        <r>
          <rPr>
            <b/>
            <sz val="8"/>
            <color indexed="81"/>
            <rFont val="Tahoma"/>
            <family val="2"/>
          </rPr>
          <t>kdanko:</t>
        </r>
        <r>
          <rPr>
            <sz val="8"/>
            <color indexed="81"/>
            <rFont val="Tahoma"/>
            <family val="2"/>
          </rPr>
          <t xml:space="preserve">
clinic is multidisciplinary = TC</t>
        </r>
      </text>
    </comment>
    <comment ref="G34" authorId="0" shapeId="0" xr:uid="{00000000-0006-0000-0200-000035000000}">
      <text>
        <r>
          <rPr>
            <b/>
            <sz val="8"/>
            <color indexed="81"/>
            <rFont val="Tahoma"/>
            <family val="2"/>
          </rPr>
          <t>kdanko:</t>
        </r>
        <r>
          <rPr>
            <sz val="8"/>
            <color indexed="81"/>
            <rFont val="Tahoma"/>
            <family val="2"/>
          </rPr>
          <t xml:space="preserve">
"A research nurse was also assigned to liaise at specified time intervals with patient and doctor" pg 2</t>
        </r>
      </text>
    </comment>
    <comment ref="J34" authorId="0" shapeId="0" xr:uid="{00000000-0006-0000-0200-000036000000}">
      <text>
        <r>
          <rPr>
            <b/>
            <sz val="8"/>
            <color indexed="81"/>
            <rFont val="Tahoma"/>
            <family val="2"/>
          </rPr>
          <t>kdanko:</t>
        </r>
        <r>
          <rPr>
            <sz val="8"/>
            <color indexed="81"/>
            <rFont val="Tahoma"/>
            <family val="2"/>
          </rPr>
          <t xml:space="preserve">
"A research nurse was also assigned to liaise at specified time intervals with patient and doctor" pg 2</t>
        </r>
      </text>
    </comment>
    <comment ref="L34" authorId="0" shapeId="0" xr:uid="{00000000-0006-0000-0200-000037000000}">
      <text>
        <r>
          <rPr>
            <b/>
            <sz val="8"/>
            <color indexed="81"/>
            <rFont val="Tahoma"/>
            <family val="2"/>
          </rPr>
          <t>kdanko:</t>
        </r>
        <r>
          <rPr>
            <sz val="8"/>
            <color indexed="81"/>
            <rFont val="Tahoma"/>
            <family val="2"/>
          </rPr>
          <t xml:space="preserve">
"The patient received his own copy of the management protocol sent to the GP." pg 2</t>
        </r>
      </text>
    </comment>
    <comment ref="N34" authorId="0" shapeId="0" xr:uid="{00000000-0006-0000-0200-000038000000}">
      <text>
        <r>
          <rPr>
            <b/>
            <sz val="8"/>
            <color indexed="81"/>
            <rFont val="Tahoma"/>
            <family val="2"/>
          </rPr>
          <t>kdanko:</t>
        </r>
        <r>
          <rPr>
            <sz val="8"/>
            <color indexed="81"/>
            <rFont val="Tahoma"/>
            <family val="2"/>
          </rPr>
          <t xml:space="preserve">
"A research nurse was also assigned to liaise at specified time intervals with patient and doctor" pg 2</t>
        </r>
      </text>
    </comment>
    <comment ref="I35" authorId="0" shapeId="0" xr:uid="{00000000-0006-0000-0200-000039000000}">
      <text>
        <r>
          <rPr>
            <b/>
            <sz val="8"/>
            <color indexed="81"/>
            <rFont val="Tahoma"/>
            <family val="2"/>
          </rPr>
          <t>kdanko:</t>
        </r>
        <r>
          <rPr>
            <sz val="8"/>
            <color indexed="81"/>
            <rFont val="Tahoma"/>
            <family val="2"/>
          </rPr>
          <t xml:space="preserve">
"A short textbook on diabetic eye disease was sent to each participating optometrist, who also attended educational meetings at which the importance of dilated funduscopy was emphasised." pg 2</t>
        </r>
      </text>
    </comment>
    <comment ref="H36" authorId="0" shapeId="0" xr:uid="{00000000-0006-0000-0200-00003A000000}">
      <text>
        <r>
          <rPr>
            <b/>
            <sz val="8"/>
            <color indexed="81"/>
            <rFont val="Tahoma"/>
            <family val="2"/>
          </rPr>
          <t>kdanko:</t>
        </r>
        <r>
          <rPr>
            <sz val="8"/>
            <color indexed="81"/>
            <rFont val="Tahoma"/>
            <family val="2"/>
          </rPr>
          <t xml:space="preserve">
"The hub of the prompting system is a database which sends requests to patients asking them to provide blood and urine samples for random plasma glucose, glycated haemoglobin, and albumin estimations (fig 1)."pg 1</t>
        </r>
      </text>
    </comment>
    <comment ref="I36" authorId="0" shapeId="0" xr:uid="{00000000-0006-0000-0200-00003B000000}">
      <text>
        <r>
          <rPr>
            <b/>
            <sz val="8"/>
            <color indexed="81"/>
            <rFont val="Tahoma"/>
            <family val="2"/>
          </rPr>
          <t>kdanko:</t>
        </r>
        <r>
          <rPr>
            <sz val="8"/>
            <color indexed="81"/>
            <rFont val="Tahoma"/>
            <family val="2"/>
          </rPr>
          <t xml:space="preserve">
"A short textbook on diabetic eye disease was sent to each participating optometrist, who also attended educational meetings at which the importance of dilated funduscopy was emphasised." pg 2</t>
        </r>
      </text>
    </comment>
    <comment ref="J36" authorId="0" shapeId="0" xr:uid="{00000000-0006-0000-0200-00003C000000}">
      <text>
        <r>
          <rPr>
            <b/>
            <sz val="8"/>
            <color indexed="81"/>
            <rFont val="Tahoma"/>
            <family val="2"/>
          </rPr>
          <t>kdanko:</t>
        </r>
        <r>
          <rPr>
            <sz val="8"/>
            <color indexed="81"/>
            <rFont val="Tahoma"/>
            <family val="2"/>
          </rPr>
          <t xml:space="preserve">
"If there is no response after two such reminders a letter is sent to the general practitioner informing of nonresponse
and asking for information." pg 2</t>
        </r>
      </text>
    </comment>
    <comment ref="N36" authorId="0" shapeId="0" xr:uid="{00000000-0006-0000-0200-00003D000000}">
      <text>
        <r>
          <rPr>
            <b/>
            <sz val="8"/>
            <color indexed="81"/>
            <rFont val="Tahoma"/>
            <family val="2"/>
          </rPr>
          <t>kdanko:</t>
        </r>
        <r>
          <rPr>
            <sz val="8"/>
            <color indexed="81"/>
            <rFont val="Tahoma"/>
            <family val="2"/>
          </rPr>
          <t xml:space="preserve">
"Patients receive prompts for blood and urine tests six monthly unless more frequent review is requested by the general practitioner" pg 2</t>
        </r>
      </text>
    </comment>
    <comment ref="F38" authorId="0" shapeId="0" xr:uid="{00000000-0006-0000-0200-00003E000000}">
      <text>
        <r>
          <rPr>
            <b/>
            <sz val="8"/>
            <color indexed="81"/>
            <rFont val="Tahoma"/>
            <family val="2"/>
          </rPr>
          <t>kdanko:</t>
        </r>
        <r>
          <rPr>
            <sz val="8"/>
            <color indexed="81"/>
            <rFont val="Tahoma"/>
            <family val="2"/>
          </rPr>
          <t xml:space="preserve">
"…all diabetes-related management aspects were solely provided by a pharmacist" pg 2; "Follow-up was conducted on a scheduled weekly basis until targeted glycemic control was reached" pg. 2</t>
        </r>
      </text>
    </comment>
    <comment ref="G38" authorId="0" shapeId="0" xr:uid="{00000000-0006-0000-0200-00003F000000}">
      <text>
        <r>
          <rPr>
            <b/>
            <sz val="8"/>
            <color indexed="81"/>
            <rFont val="Tahoma"/>
            <family val="2"/>
          </rPr>
          <t>kdanko:</t>
        </r>
        <r>
          <rPr>
            <sz val="8"/>
            <color indexed="81"/>
            <rFont val="Tahoma"/>
            <family val="2"/>
          </rPr>
          <t xml:space="preserve">
"…all diabetes-related management aspects were solely provided by a pharmacist" pg 2; "Follow-up was conducted on a scheduled weekly basis until targeted glycemic control was reached" pg. 2</t>
        </r>
      </text>
    </comment>
    <comment ref="L38" authorId="0" shapeId="0" xr:uid="{00000000-0006-0000-0200-000040000000}">
      <text>
        <r>
          <rPr>
            <b/>
            <sz val="8"/>
            <color indexed="81"/>
            <rFont val="Tahoma"/>
            <family val="2"/>
          </rPr>
          <t>kdanko:</t>
        </r>
        <r>
          <rPr>
            <sz val="8"/>
            <color indexed="81"/>
            <rFont val="Tahoma"/>
            <family val="2"/>
          </rPr>
          <t xml:space="preserve">
"diabetes education" pg 1</t>
        </r>
      </text>
    </comment>
    <comment ref="M38" authorId="0" shapeId="0" xr:uid="{00000000-0006-0000-0200-000041000000}">
      <text>
        <r>
          <rPr>
            <b/>
            <sz val="8"/>
            <color indexed="81"/>
            <rFont val="Tahoma"/>
            <family val="2"/>
          </rPr>
          <t>kdanko:</t>
        </r>
        <r>
          <rPr>
            <sz val="8"/>
            <color indexed="81"/>
            <rFont val="Tahoma"/>
            <family val="2"/>
          </rPr>
          <t xml:space="preserve">
"These patients were individually taught SMBG and schedules detailing written instructions for specific testing times relative to meal consumption were provided" pg 2</t>
        </r>
      </text>
    </comment>
    <comment ref="E39" authorId="0" shapeId="0" xr:uid="{00000000-0006-0000-0200-000042000000}">
      <text>
        <r>
          <rPr>
            <b/>
            <sz val="8"/>
            <color indexed="81"/>
            <rFont val="Tahoma"/>
            <family val="2"/>
          </rPr>
          <t>kdanko:</t>
        </r>
        <r>
          <rPr>
            <sz val="8"/>
            <color indexed="81"/>
            <rFont val="Tahoma"/>
            <family val="2"/>
          </rPr>
          <t xml:space="preserve">
"informed of their individual performance on the ACQIP indicators as well as of the mean performance of their peers" pg 3</t>
        </r>
      </text>
    </comment>
    <comment ref="J39" authorId="0" shapeId="0" xr:uid="{00000000-0006-0000-0200-000043000000}">
      <text>
        <r>
          <rPr>
            <b/>
            <sz val="8"/>
            <color indexed="81"/>
            <rFont val="Tahoma"/>
            <family val="2"/>
          </rPr>
          <t>kdanko:</t>
        </r>
        <r>
          <rPr>
            <sz val="8"/>
            <color indexed="81"/>
            <rFont val="Tahoma"/>
            <family val="2"/>
          </rPr>
          <t xml:space="preserve">
"use of chart interventions in the practice environment, reminders, clinical "flow sheets"" pg 3</t>
        </r>
      </text>
    </comment>
    <comment ref="O39" authorId="0" shapeId="0" xr:uid="{00000000-0006-0000-0200-000044000000}">
      <text>
        <r>
          <rPr>
            <b/>
            <sz val="8"/>
            <color indexed="81"/>
            <rFont val="Tahoma"/>
            <family val="2"/>
          </rPr>
          <t>kdanko:</t>
        </r>
        <r>
          <rPr>
            <sz val="8"/>
            <color indexed="81"/>
            <rFont val="Tahoma"/>
            <family val="2"/>
          </rPr>
          <t xml:space="preserve">
"intensive quality improvemetn program" pg 3; "quality improvement plans" pg 3
</t>
        </r>
      </text>
    </comment>
    <comment ref="E40" authorId="0" shapeId="0" xr:uid="{00000000-0006-0000-0200-000045000000}">
      <text>
        <r>
          <rPr>
            <b/>
            <sz val="8"/>
            <color indexed="81"/>
            <rFont val="Tahoma"/>
            <family val="2"/>
          </rPr>
          <t>kdanko:</t>
        </r>
        <r>
          <rPr>
            <sz val="8"/>
            <color indexed="81"/>
            <rFont val="Tahoma"/>
            <family val="2"/>
          </rPr>
          <t xml:space="preserve">
"informed of their individual performance on the ACQIP indicators as well as of the mean performance of their peers" pg 3</t>
        </r>
      </text>
    </comment>
    <comment ref="J40" authorId="0" shapeId="0" xr:uid="{00000000-0006-0000-0200-000046000000}">
      <text>
        <r>
          <rPr>
            <b/>
            <sz val="8"/>
            <color indexed="81"/>
            <rFont val="Tahoma"/>
            <family val="2"/>
          </rPr>
          <t>kdanko:</t>
        </r>
        <r>
          <rPr>
            <sz val="8"/>
            <color indexed="81"/>
            <rFont val="Tahoma"/>
            <family val="2"/>
          </rPr>
          <t xml:space="preserve">
"use of chart interventions in the practice environment, reminders, clinical "flow sheets"" pg 3</t>
        </r>
      </text>
    </comment>
    <comment ref="O40" authorId="0" shapeId="0" xr:uid="{00000000-0006-0000-0200-000047000000}">
      <text>
        <r>
          <rPr>
            <b/>
            <sz val="8"/>
            <color indexed="81"/>
            <rFont val="Tahoma"/>
            <family val="2"/>
          </rPr>
          <t>kdanko:</t>
        </r>
        <r>
          <rPr>
            <sz val="8"/>
            <color indexed="81"/>
            <rFont val="Tahoma"/>
            <family val="2"/>
          </rPr>
          <t xml:space="preserve">
"intensive quality improvement program" pg 3; "quality improvement plans" pg 3</t>
        </r>
      </text>
    </comment>
    <comment ref="I41" authorId="0" shapeId="0" xr:uid="{00000000-0006-0000-0200-000048000000}">
      <text>
        <r>
          <rPr>
            <b/>
            <sz val="8"/>
            <color indexed="81"/>
            <rFont val="Tahoma"/>
            <family val="2"/>
          </rPr>
          <t>kdanko:</t>
        </r>
        <r>
          <rPr>
            <sz val="8"/>
            <color indexed="81"/>
            <rFont val="Tahoma"/>
            <family val="2"/>
          </rPr>
          <t xml:space="preserve">
"Nurses in the
comparison group were offered similar support
sessions focusing on use of guidelines and
materials" pg. 2</t>
        </r>
      </text>
    </comment>
    <comment ref="I42" authorId="0" shapeId="0" xr:uid="{00000000-0006-0000-0200-000049000000}">
      <text>
        <r>
          <rPr>
            <b/>
            <sz val="8"/>
            <color indexed="81"/>
            <rFont val="Tahoma"/>
            <family val="2"/>
          </rPr>
          <t>kdanko:</t>
        </r>
        <r>
          <rPr>
            <sz val="8"/>
            <color indexed="81"/>
            <rFont val="Tahoma"/>
            <family val="2"/>
          </rPr>
          <t xml:space="preserve">
"Nurses in the intervention group were offered half a day’s training to review the evidence for patient centred consulting and a further full day in which to practise the skills learned, with an experienced facilitator through- out. Doctors received only the first half day’s training." pg. 2</t>
        </r>
      </text>
    </comment>
    <comment ref="L42" authorId="0" shapeId="0" xr:uid="{00000000-0006-0000-0200-00004A000000}">
      <text>
        <r>
          <rPr>
            <b/>
            <sz val="8"/>
            <color indexed="81"/>
            <rFont val="Tahoma"/>
            <family val="2"/>
          </rPr>
          <t>kdanko:</t>
        </r>
        <r>
          <rPr>
            <sz val="8"/>
            <color indexed="81"/>
            <rFont val="Tahoma"/>
            <family val="2"/>
          </rPr>
          <t xml:space="preserve">
"booklet for patients" pg 2</t>
        </r>
      </text>
    </comment>
    <comment ref="I44" authorId="0" shapeId="0" xr:uid="{00000000-0006-0000-0200-00004B000000}">
      <text>
        <r>
          <rPr>
            <b/>
            <sz val="8"/>
            <color indexed="81"/>
            <rFont val="Tahoma"/>
            <family val="2"/>
          </rPr>
          <t>kdanko:</t>
        </r>
        <r>
          <rPr>
            <sz val="8"/>
            <color indexed="81"/>
            <rFont val="Tahoma"/>
            <family val="2"/>
          </rPr>
          <t xml:space="preserve">
"Dietitians in the practice guidelines group were instructed to read the practice guidelines document
thoroughly and "think about the modifications that are needed for your nutrition care to match the new guidelines. In some cases the changes may be minor; in other cases, dramatic changes may be indicated. Plan ahead for any necessary adjustment
in assessment, goal setting, intervention, referrals,
scheduled follow-up, and/or documentation." pg 2</t>
        </r>
      </text>
    </comment>
    <comment ref="K46" authorId="0" shapeId="0" xr:uid="{00000000-0006-0000-0200-00004C000000}">
      <text>
        <r>
          <rPr>
            <b/>
            <sz val="8"/>
            <color indexed="81"/>
            <rFont val="Tahoma"/>
            <family val="2"/>
          </rPr>
          <t>kdanko:</t>
        </r>
        <r>
          <rPr>
            <sz val="8"/>
            <color indexed="81"/>
            <rFont val="Tahoma"/>
            <family val="2"/>
          </rPr>
          <t xml:space="preserve">
"the results of the hemoglobin A1c  measurements
were available to the staff and were used along with blood or urine glucose measurements to evaluate and adjust treatment, which was intended to achieve the same blood glucose values as in the control group." pg 2</t>
        </r>
      </text>
    </comment>
    <comment ref="J48" authorId="0" shapeId="0" xr:uid="{00000000-0006-0000-0200-00004D000000}">
      <text>
        <r>
          <rPr>
            <b/>
            <sz val="8"/>
            <color indexed="81"/>
            <rFont val="Tahoma"/>
            <family val="2"/>
          </rPr>
          <t>kdanko:</t>
        </r>
        <r>
          <rPr>
            <sz val="8"/>
            <color indexed="81"/>
            <rFont val="Tahoma"/>
            <family val="2"/>
          </rPr>
          <t xml:space="preserve">
Table 1: "color chart report" pg 2</t>
        </r>
      </text>
    </comment>
    <comment ref="K48" authorId="0" shapeId="0" xr:uid="{00000000-0006-0000-0200-00004E000000}">
      <text>
        <r>
          <rPr>
            <b/>
            <sz val="8"/>
            <color indexed="81"/>
            <rFont val="Tahoma"/>
            <family val="2"/>
          </rPr>
          <t>kdanko:</t>
        </r>
        <r>
          <rPr>
            <sz val="8"/>
            <color indexed="81"/>
            <rFont val="Tahoma"/>
            <family val="2"/>
          </rPr>
          <t xml:space="preserve">
Table 1: "wallet card" pg 2; Fig 2</t>
        </r>
      </text>
    </comment>
    <comment ref="L48" authorId="0" shapeId="0" xr:uid="{00000000-0006-0000-0200-00004F000000}">
      <text>
        <r>
          <rPr>
            <b/>
            <sz val="8"/>
            <color indexed="81"/>
            <rFont val="Tahoma"/>
            <family val="2"/>
          </rPr>
          <t>kdanko:</t>
        </r>
        <r>
          <rPr>
            <sz val="8"/>
            <color indexed="81"/>
            <rFont val="Tahoma"/>
            <family val="2"/>
          </rPr>
          <t xml:space="preserve">
Table 1: "poster"; pg. 2; "phone call from health educator" pg 2</t>
        </r>
      </text>
    </comment>
    <comment ref="M48" authorId="0" shapeId="0" xr:uid="{00000000-0006-0000-0200-000050000000}">
      <text>
        <r>
          <rPr>
            <b/>
            <sz val="8"/>
            <color indexed="81"/>
            <rFont val="Tahoma"/>
            <family val="2"/>
          </rPr>
          <t>kdanko:</t>
        </r>
        <r>
          <rPr>
            <sz val="8"/>
            <color indexed="81"/>
            <rFont val="Tahoma"/>
            <family val="2"/>
          </rPr>
          <t xml:space="preserve">
Figure 1, pg 3</t>
        </r>
      </text>
    </comment>
    <comment ref="N48" authorId="0" shapeId="0" xr:uid="{00000000-0006-0000-0200-000051000000}">
      <text>
        <r>
          <rPr>
            <b/>
            <sz val="8"/>
            <color indexed="81"/>
            <rFont val="Tahoma"/>
            <family val="2"/>
          </rPr>
          <t>kdanko:</t>
        </r>
        <r>
          <rPr>
            <sz val="8"/>
            <color indexed="81"/>
            <rFont val="Tahoma"/>
            <family val="2"/>
          </rPr>
          <t xml:space="preserve">
Table 1: "montly postcards" pg 2</t>
        </r>
      </text>
    </comment>
    <comment ref="C49" authorId="2" shapeId="0" xr:uid="{00000000-0006-0000-0200-000052000000}">
      <text>
        <r>
          <rPr>
            <b/>
            <sz val="9"/>
            <color indexed="81"/>
            <rFont val="Tahoma"/>
            <family val="2"/>
          </rPr>
          <t>Mostafa:</t>
        </r>
        <r>
          <rPr>
            <sz val="9"/>
            <color indexed="81"/>
            <rFont val="Tahoma"/>
            <family val="2"/>
          </rPr>
          <t xml:space="preserve">
Labelled groups 1 &amp; 3 as "Control"
Labelled groups 2 &amp; 4 as "Experimental"</t>
        </r>
      </text>
    </comment>
    <comment ref="L50" authorId="0" shapeId="0" xr:uid="{00000000-0006-0000-0200-000053000000}">
      <text>
        <r>
          <rPr>
            <b/>
            <sz val="8"/>
            <color indexed="81"/>
            <rFont val="Tahoma"/>
            <family val="2"/>
          </rPr>
          <t>kdanko:</t>
        </r>
        <r>
          <rPr>
            <sz val="8"/>
            <color indexed="81"/>
            <rFont val="Tahoma"/>
            <family val="2"/>
          </rPr>
          <t xml:space="preserve">
Table 2 pg 3</t>
        </r>
      </text>
    </comment>
    <comment ref="M50" authorId="3" shapeId="0" xr:uid="{00000000-0006-0000-0200-000054000000}">
      <text>
        <r>
          <rPr>
            <b/>
            <sz val="9"/>
            <color indexed="81"/>
            <rFont val="Verdana"/>
            <family val="2"/>
          </rPr>
          <t>Kristin Danko:</t>
        </r>
        <r>
          <rPr>
            <sz val="9"/>
            <color indexed="81"/>
            <rFont val="Verdana"/>
            <family val="2"/>
          </rPr>
          <t xml:space="preserve">
Highlighted previously and added "Patient education in DIABEDS was designed to ensure that patients satisfy a minimal set of safety-level objectives regarding knowledge, self-management skills, and compliance with diabetes regimens. A list of those objectives appears in Table 3." pg. 4
"The second element was a goal- setting exercise. At the end of classroom instruction patients negotiated with their instructor the compliance goals that they believed they could attain. These goals were incorpo- rated into a contract that was signed by both patient and instructors.</t>
        </r>
      </text>
    </comment>
    <comment ref="I51" authorId="0" shapeId="0" xr:uid="{00000000-0006-0000-0200-000055000000}">
      <text>
        <r>
          <rPr>
            <b/>
            <sz val="8"/>
            <color indexed="81"/>
            <rFont val="Tahoma"/>
            <family val="2"/>
          </rPr>
          <t>kdanko:</t>
        </r>
        <r>
          <rPr>
            <sz val="8"/>
            <color indexed="81"/>
            <rFont val="Tahoma"/>
            <family val="2"/>
          </rPr>
          <t xml:space="preserve">
Table 2; "residents received instruction about diabetes"</t>
        </r>
      </text>
    </comment>
    <comment ref="I52" authorId="0" shapeId="0" xr:uid="{00000000-0006-0000-0200-000056000000}">
      <text>
        <r>
          <rPr>
            <b/>
            <sz val="8"/>
            <color indexed="81"/>
            <rFont val="Tahoma"/>
            <family val="2"/>
          </rPr>
          <t>kdanko:</t>
        </r>
        <r>
          <rPr>
            <sz val="8"/>
            <color indexed="81"/>
            <rFont val="Tahoma"/>
            <family val="2"/>
          </rPr>
          <t xml:space="preserve">
"residents received intruction about diabetes" pg 3</t>
        </r>
      </text>
    </comment>
    <comment ref="L52" authorId="0" shapeId="0" xr:uid="{00000000-0006-0000-0200-000057000000}">
      <text>
        <r>
          <rPr>
            <b/>
            <sz val="8"/>
            <color indexed="81"/>
            <rFont val="Tahoma"/>
            <family val="2"/>
          </rPr>
          <t>kdanko:</t>
        </r>
        <r>
          <rPr>
            <sz val="8"/>
            <color indexed="81"/>
            <rFont val="Tahoma"/>
            <family val="2"/>
          </rPr>
          <t xml:space="preserve">
Table 2</t>
        </r>
      </text>
    </comment>
    <comment ref="M52" authorId="3" shapeId="0" xr:uid="{00000000-0006-0000-0200-000058000000}">
      <text>
        <r>
          <rPr>
            <b/>
            <sz val="9"/>
            <color indexed="81"/>
            <rFont val="Verdana"/>
            <family val="2"/>
          </rPr>
          <t>Kristin Danko:</t>
        </r>
        <r>
          <rPr>
            <sz val="9"/>
            <color indexed="81"/>
            <rFont val="Verdana"/>
            <family val="2"/>
          </rPr>
          <t xml:space="preserve">
Highlighted previously and added "Patient education in DIABEDS was designed to ensure that patients satisfy a minimal set of safety-level objectives regarding knowledge, self-management skills, and compliance with diabetes regimens. A list of those objectives appears in Table 3." pg. 4
"The second element was a goal- setting exercise. At the end of classroom instruction patients negotiated with their instructor the compliance goals that they believed they could attain. These goals were incorpo- rated into a contract that was signed by both patient and instructors.</t>
        </r>
      </text>
    </comment>
    <comment ref="E53" authorId="0" shapeId="0" xr:uid="{00000000-0006-0000-0200-000059000000}">
      <text>
        <r>
          <rPr>
            <b/>
            <sz val="8"/>
            <color indexed="81"/>
            <rFont val="Tahoma"/>
            <family val="2"/>
          </rPr>
          <t>kdanko:</t>
        </r>
        <r>
          <rPr>
            <sz val="8"/>
            <color indexed="81"/>
            <rFont val="Tahoma"/>
            <family val="2"/>
          </rPr>
          <t xml:space="preserve">
"All 21 sites were sent their audit results and a comparison with the combined audit result," pg 2</t>
        </r>
      </text>
    </comment>
    <comment ref="G53" authorId="0" shapeId="0" xr:uid="{00000000-0006-0000-0200-00005A000000}">
      <text>
        <r>
          <rPr>
            <b/>
            <sz val="8"/>
            <color indexed="81"/>
            <rFont val="Tahoma"/>
            <family val="2"/>
          </rPr>
          <t>kdanko:</t>
        </r>
        <r>
          <rPr>
            <sz val="8"/>
            <color indexed="81"/>
            <rFont val="Tahoma"/>
            <family val="2"/>
          </rPr>
          <t xml:space="preserve">
"At the same time, a new diabetes outreach service (comprising a diabetologist, nutritionist, podiatrist and diabetes healthcare worker) started, which visited all 21 centres equally during the 12month study period" pg 2</t>
        </r>
      </text>
    </comment>
    <comment ref="I53" authorId="0" shapeId="0" xr:uid="{00000000-0006-0000-0200-00005B000000}">
      <text>
        <r>
          <rPr>
            <b/>
            <sz val="8"/>
            <color indexed="81"/>
            <rFont val="Tahoma"/>
            <family val="2"/>
          </rPr>
          <t>kdanko:</t>
        </r>
        <r>
          <rPr>
            <sz val="8"/>
            <color indexed="81"/>
            <rFont val="Tahoma"/>
            <family val="2"/>
          </rPr>
          <t xml:space="preserve">
"...copies of evidencebased
diabetes care guidelines" pg 2</t>
        </r>
      </text>
    </comment>
    <comment ref="E54" authorId="0" shapeId="0" xr:uid="{00000000-0006-0000-0200-00005C000000}">
      <text>
        <r>
          <rPr>
            <b/>
            <sz val="8"/>
            <color indexed="81"/>
            <rFont val="Tahoma"/>
            <family val="2"/>
          </rPr>
          <t>kdanko:</t>
        </r>
        <r>
          <rPr>
            <sz val="8"/>
            <color indexed="81"/>
            <rFont val="Tahoma"/>
            <family val="2"/>
          </rPr>
          <t xml:space="preserve">
"All 21 sites were sent their audit results and a comparison with the combined audit result," pg 2</t>
        </r>
      </text>
    </comment>
    <comment ref="G54" authorId="0" shapeId="0" xr:uid="{00000000-0006-0000-0200-00005D000000}">
      <text>
        <r>
          <rPr>
            <b/>
            <sz val="8"/>
            <color indexed="81"/>
            <rFont val="Tahoma"/>
            <family val="2"/>
          </rPr>
          <t>kdanko:</t>
        </r>
        <r>
          <rPr>
            <sz val="8"/>
            <color indexed="81"/>
            <rFont val="Tahoma"/>
            <family val="2"/>
          </rPr>
          <t xml:space="preserve">
"At the same time, a new diabetes outreach service (comprising a diabetologist, nutritionist, podiatrist and diabetes healthcare worker) started, which visited all 21 centres equally during the 12month study period" pg 2</t>
        </r>
      </text>
    </comment>
    <comment ref="I54" authorId="0" shapeId="0" xr:uid="{00000000-0006-0000-0200-00005E000000}">
      <text>
        <r>
          <rPr>
            <b/>
            <sz val="8"/>
            <color indexed="81"/>
            <rFont val="Tahoma"/>
            <family val="2"/>
          </rPr>
          <t>kdanko:</t>
        </r>
        <r>
          <rPr>
            <sz val="8"/>
            <color indexed="81"/>
            <rFont val="Tahoma"/>
            <family val="2"/>
          </rPr>
          <t xml:space="preserve">
"...copies of evidencebased
diabetes care guidelines" pg 2</t>
        </r>
      </text>
    </comment>
    <comment ref="J54" authorId="0" shapeId="0" xr:uid="{00000000-0006-0000-0200-00005F000000}">
      <text>
        <r>
          <rPr>
            <b/>
            <sz val="8"/>
            <color indexed="81"/>
            <rFont val="Tahoma"/>
            <family val="2"/>
          </rPr>
          <t>kdanko:</t>
        </r>
        <r>
          <rPr>
            <sz val="8"/>
            <color indexed="81"/>
            <rFont val="Tahoma"/>
            <family val="2"/>
          </rPr>
          <t xml:space="preserve">
"a simple recall card system was designed and used by the healthcare workers in the eight intervention sites." pg 2</t>
        </r>
      </text>
    </comment>
    <comment ref="O54" authorId="0" shapeId="0" xr:uid="{00000000-0006-0000-0200-000060000000}">
      <text>
        <r>
          <rPr>
            <b/>
            <sz val="8"/>
            <color indexed="81"/>
            <rFont val="Tahoma"/>
            <family val="2"/>
          </rPr>
          <t>kdanko:</t>
        </r>
        <r>
          <rPr>
            <sz val="8"/>
            <color indexed="81"/>
            <rFont val="Tahoma"/>
            <family val="2"/>
          </rPr>
          <t xml:space="preserve">
"A mid-project workshop was held
in August 1999 on Thursday Island, at
which the healthcare workers managing
the system presented their own audit
report, and discussed problems and possible solutions." pg 2</t>
        </r>
      </text>
    </comment>
    <comment ref="J56" authorId="0" shapeId="0" xr:uid="{00000000-0006-0000-0200-000061000000}">
      <text>
        <r>
          <rPr>
            <b/>
            <sz val="8"/>
            <color indexed="81"/>
            <rFont val="Tahoma"/>
            <family val="2"/>
          </rPr>
          <t>kdanko:</t>
        </r>
        <r>
          <rPr>
            <sz val="8"/>
            <color indexed="81"/>
            <rFont val="Tahoma"/>
            <family val="2"/>
          </rPr>
          <t xml:space="preserve">
"a web-based decision support tool, the diabetes Disease
Management Application (DMA)" pg 1</t>
        </r>
      </text>
    </comment>
    <comment ref="F58" authorId="0" shapeId="0" xr:uid="{00000000-0006-0000-0200-000062000000}">
      <text>
        <r>
          <rPr>
            <b/>
            <sz val="8"/>
            <color indexed="81"/>
            <rFont val="Tahoma"/>
            <family val="2"/>
          </rPr>
          <t>kdanko:</t>
        </r>
        <r>
          <rPr>
            <sz val="8"/>
            <color indexed="81"/>
            <rFont val="Tahoma"/>
            <family val="2"/>
          </rPr>
          <t xml:space="preserve">
"Each week, the automated assessment system generated reports organized according to the urgency of reported problems, and the nurse
used these reports to prioritize patient contacts. During follow-up calls, the nurse addressed problems reported during the assessments and provided more general selfcare education." pg 2</t>
        </r>
      </text>
    </comment>
    <comment ref="L58" authorId="0" shapeId="0" xr:uid="{00000000-0006-0000-0200-000063000000}">
      <text>
        <r>
          <rPr>
            <b/>
            <sz val="8"/>
            <color indexed="81"/>
            <rFont val="Tahoma"/>
            <family val="2"/>
          </rPr>
          <t>kdanko:</t>
        </r>
        <r>
          <rPr>
            <sz val="8"/>
            <color indexed="81"/>
            <rFont val="Tahoma"/>
            <family val="2"/>
          </rPr>
          <t xml:space="preserve">
"self-care education calls" pg 1; "At the end of each assessment, patients were given the option to listen to a randomly cycling diabetes “health tip.” Health tips were 30 to 60 seconds in length and were based on literature published by the Centers for Disease Control and Prevention and the American Diabetes Association." pg 2</t>
        </r>
      </text>
    </comment>
    <comment ref="M58" authorId="0" shapeId="0" xr:uid="{00000000-0006-0000-0200-000064000000}">
      <text>
        <r>
          <rPr>
            <b/>
            <sz val="8"/>
            <color indexed="81"/>
            <rFont val="Tahoma"/>
            <family val="2"/>
          </rPr>
          <t>kdanko:</t>
        </r>
        <r>
          <rPr>
            <sz val="8"/>
            <color indexed="81"/>
            <rFont val="Tahoma"/>
            <family val="2"/>
          </rPr>
          <t xml:space="preserve">
"patients were offered additional automated selfcare education calls that focused on glucose self-monitoring,
foot care, and medication adherence."</t>
        </r>
      </text>
    </comment>
    <comment ref="F60" authorId="0" shapeId="0" xr:uid="{00000000-0006-0000-0200-000065000000}">
      <text>
        <r>
          <rPr>
            <b/>
            <sz val="8"/>
            <color indexed="81"/>
            <rFont val="Tahoma"/>
            <family val="2"/>
          </rPr>
          <t>kdanko:</t>
        </r>
        <r>
          <rPr>
            <sz val="8"/>
            <color indexed="81"/>
            <rFont val="Tahoma"/>
            <family val="2"/>
          </rPr>
          <t xml:space="preserve">
"Each week, the study nurse reviewed patients’ ATDM assessment reports and followed up with them using an established protocol. During these follow-up calls, the nurse interacted with patients much like diabetes nurse educators in other medical settings." pg 2</t>
        </r>
      </text>
    </comment>
    <comment ref="L60" authorId="0" shapeId="0" xr:uid="{00000000-0006-0000-0200-000066000000}">
      <text>
        <r>
          <rPr>
            <b/>
            <sz val="8"/>
            <color indexed="81"/>
            <rFont val="Tahoma"/>
            <family val="2"/>
          </rPr>
          <t>kdanko:</t>
        </r>
        <r>
          <rPr>
            <sz val="8"/>
            <color indexed="81"/>
            <rFont val="Tahoma"/>
            <family val="2"/>
          </rPr>
          <t xml:space="preserve">
"The nurse educated patients about appropriate self-care, discussed symptoms, monitored medication adherence, and promoted appropriate use of preventive medical care." pg 2</t>
        </r>
      </text>
    </comment>
    <comment ref="M60" authorId="0" shapeId="0" xr:uid="{00000000-0006-0000-0200-000067000000}">
      <text>
        <r>
          <rPr>
            <b/>
            <sz val="8"/>
            <color indexed="81"/>
            <rFont val="Tahoma"/>
            <family val="2"/>
          </rPr>
          <t>kdanko:</t>
        </r>
        <r>
          <rPr>
            <sz val="8"/>
            <color indexed="81"/>
            <rFont val="Tahoma"/>
            <family val="2"/>
          </rPr>
          <t xml:space="preserve">
"During each ATDM assessment,
patients used their touch-tone keypad
to report information about their self-monitored blood glucose (SMBG) readings, other self-care activities, perceived glycemic control, symptoms, and use of guideline-recommended medical care." pg 2</t>
        </r>
      </text>
    </comment>
    <comment ref="L61" authorId="0" shapeId="0" xr:uid="{00000000-0006-0000-0200-000068000000}">
      <text>
        <r>
          <rPr>
            <b/>
            <sz val="8"/>
            <color indexed="81"/>
            <rFont val="Tahoma"/>
            <family val="2"/>
          </rPr>
          <t>kdanko:</t>
        </r>
        <r>
          <rPr>
            <sz val="8"/>
            <color indexed="81"/>
            <rFont val="Tahoma"/>
            <family val="2"/>
          </rPr>
          <t xml:space="preserve">
"with at least two 15-min consultations with the diabetes nurse specialist (DNS) in which various topics related to diabetes could be discussed (including
psychosocial issues)." pg. 2</t>
        </r>
      </text>
    </comment>
    <comment ref="F62" authorId="0" shapeId="0" xr:uid="{00000000-0006-0000-0200-000069000000}">
      <text>
        <r>
          <rPr>
            <b/>
            <sz val="8"/>
            <color indexed="81"/>
            <rFont val="Tahoma"/>
            <family val="2"/>
          </rPr>
          <t>kdanko:</t>
        </r>
        <r>
          <rPr>
            <sz val="8"/>
            <color indexed="81"/>
            <rFont val="Tahoma"/>
            <family val="2"/>
          </rPr>
          <t xml:space="preserve">
"If indicated, the need for professional psychological support was discussed with the patient. The DNSs were trained by two psychologists (F.P. and F.J.S.) who used role-playing simulations. Skills included discussing results of the computerized assessment and counseling skills, e.g., active listening and exploration of feelings (18,19). At visit 3, the DNS assessed the psychological well-being of all subjects." pg 2</t>
        </r>
      </text>
    </comment>
    <comment ref="L62" authorId="0" shapeId="0" xr:uid="{00000000-0006-0000-0200-00006A000000}">
      <text>
        <r>
          <rPr>
            <b/>
            <sz val="8"/>
            <color indexed="81"/>
            <rFont val="Tahoma"/>
            <family val="2"/>
          </rPr>
          <t>kdanko:</t>
        </r>
        <r>
          <rPr>
            <sz val="8"/>
            <color indexed="81"/>
            <rFont val="Tahoma"/>
            <family val="2"/>
          </rPr>
          <t xml:space="preserve">
"with at least two 15-min consultations with the diabetes nurse specialist (DNS) in which various topics related to diabetes could be discussed (including
psychosocial issues)." pg. 2</t>
        </r>
      </text>
    </comment>
    <comment ref="C63" authorId="2" shapeId="0" xr:uid="{00000000-0006-0000-0200-00006B000000}">
      <text>
        <r>
          <rPr>
            <b/>
            <sz val="9"/>
            <color indexed="81"/>
            <rFont val="Tahoma"/>
            <family val="2"/>
          </rPr>
          <t>Mish:</t>
        </r>
        <r>
          <rPr>
            <sz val="9"/>
            <color indexed="81"/>
            <rFont val="Tahoma"/>
            <family val="2"/>
          </rPr>
          <t xml:space="preserve">
Evaluated by the log book which served as controls</t>
        </r>
      </text>
    </comment>
    <comment ref="K63" authorId="0" shapeId="0" xr:uid="{00000000-0006-0000-0200-00006C000000}">
      <text>
        <r>
          <rPr>
            <b/>
            <sz val="8"/>
            <color indexed="81"/>
            <rFont val="Tahoma"/>
            <family val="2"/>
          </rPr>
          <t>kdanko:</t>
        </r>
        <r>
          <rPr>
            <sz val="8"/>
            <color indexed="81"/>
            <rFont val="Tahoma"/>
            <family val="2"/>
          </rPr>
          <t xml:space="preserve">
"Both Camit-EL and the corresponding log-book were sent to the diabetic unit at 3-weekly intervals, where they were reviewed by the same 2 diabetologists" pg 3</t>
        </r>
      </text>
    </comment>
    <comment ref="M63" authorId="0" shapeId="0" xr:uid="{00000000-0006-0000-0200-00006D000000}">
      <text>
        <r>
          <rPr>
            <b/>
            <sz val="8"/>
            <color indexed="81"/>
            <rFont val="Tahoma"/>
            <family val="2"/>
          </rPr>
          <t>kdanko:</t>
        </r>
        <r>
          <rPr>
            <sz val="8"/>
            <color indexed="81"/>
            <rFont val="Tahoma"/>
            <family val="2"/>
          </rPr>
          <t xml:space="preserve">
"They were instructed to record blood glucose
levels" pg 3</t>
        </r>
      </text>
    </comment>
    <comment ref="C64" authorId="2" shapeId="0" xr:uid="{00000000-0006-0000-0200-00006E000000}">
      <text>
        <r>
          <rPr>
            <b/>
            <sz val="9"/>
            <color indexed="81"/>
            <rFont val="Tahoma"/>
            <family val="2"/>
          </rPr>
          <t>Mostafa:</t>
        </r>
        <r>
          <rPr>
            <sz val="9"/>
            <color indexed="81"/>
            <rFont val="Tahoma"/>
            <family val="2"/>
          </rPr>
          <t xml:space="preserve">
evaluated first by the Camit-S1 analysis program</t>
        </r>
      </text>
    </comment>
    <comment ref="K64" authorId="0" shapeId="0" xr:uid="{00000000-0006-0000-0200-00006F000000}">
      <text>
        <r>
          <rPr>
            <b/>
            <sz val="8"/>
            <color indexed="81"/>
            <rFont val="Tahoma"/>
            <family val="2"/>
          </rPr>
          <t>kdanko:</t>
        </r>
        <r>
          <rPr>
            <sz val="8"/>
            <color indexed="81"/>
            <rFont val="Tahoma"/>
            <family val="2"/>
          </rPr>
          <t xml:space="preserve">
"Both Camit-EL and the corresponding log-book were sent to the diabetic unit at 3-weekly intervals, where they were reviewed by the same 2 diabetologists" pg 3</t>
        </r>
      </text>
    </comment>
    <comment ref="M64" authorId="0" shapeId="0" xr:uid="{00000000-0006-0000-0200-000070000000}">
      <text>
        <r>
          <rPr>
            <b/>
            <sz val="8"/>
            <color indexed="81"/>
            <rFont val="Tahoma"/>
            <family val="2"/>
          </rPr>
          <t>kdanko:</t>
        </r>
        <r>
          <rPr>
            <sz val="8"/>
            <color indexed="81"/>
            <rFont val="Tahoma"/>
            <family val="2"/>
          </rPr>
          <t xml:space="preserve">
"They were instructed to record blood glucose
levels" pg 3</t>
        </r>
      </text>
    </comment>
    <comment ref="F66" authorId="0" shapeId="0" xr:uid="{00000000-0006-0000-0200-000071000000}">
      <text>
        <r>
          <rPr>
            <b/>
            <sz val="8"/>
            <color indexed="81"/>
            <rFont val="Tahoma"/>
            <family val="2"/>
          </rPr>
          <t>kdanko:</t>
        </r>
        <r>
          <rPr>
            <sz val="8"/>
            <color indexed="81"/>
            <rFont val="Tahoma"/>
            <family val="2"/>
          </rPr>
          <t xml:space="preserve">
"Between meetings, the diabetes nurse educator reviewed diabetes
management by telephone from twice monthly to every 3 days, depending on the patient’s needs." pg 2</t>
        </r>
      </text>
    </comment>
    <comment ref="G66" authorId="0" shapeId="0" xr:uid="{00000000-0006-0000-0200-000072000000}">
      <text>
        <r>
          <rPr>
            <b/>
            <sz val="8"/>
            <color indexed="81"/>
            <rFont val="Tahoma"/>
            <family val="2"/>
          </rPr>
          <t>kdanko:</t>
        </r>
        <r>
          <rPr>
            <sz val="8"/>
            <color indexed="81"/>
            <rFont val="Tahoma"/>
            <family val="2"/>
          </rPr>
          <t xml:space="preserve">
"multidisciplinary outpatient diabetes
care management delivered by a diabetes nurse educator, a psychologist, a nutritionist, and a pharmacist" pg 1; "monthly 2-h cluster visits that involve 10–18 patients.' pg 2</t>
        </r>
      </text>
    </comment>
    <comment ref="L66" authorId="0" shapeId="0" xr:uid="{00000000-0006-0000-0200-000073000000}">
      <text>
        <r>
          <rPr>
            <b/>
            <sz val="8"/>
            <color indexed="81"/>
            <rFont val="Tahoma"/>
            <family val="2"/>
          </rPr>
          <t>kdanko:</t>
        </r>
        <r>
          <rPr>
            <sz val="8"/>
            <color indexed="81"/>
            <rFont val="Tahoma"/>
            <family val="2"/>
          </rPr>
          <t xml:space="preserve">
"diabetes nurse educator" pg 2</t>
        </r>
      </text>
    </comment>
    <comment ref="F68" authorId="0" shapeId="0" xr:uid="{00000000-0006-0000-0200-000074000000}">
      <text>
        <r>
          <rPr>
            <b/>
            <sz val="8"/>
            <color indexed="81"/>
            <rFont val="Tahoma"/>
            <family val="2"/>
          </rPr>
          <t>kdanko:</t>
        </r>
        <r>
          <rPr>
            <sz val="8"/>
            <color indexed="81"/>
            <rFont val="Tahoma"/>
            <family val="2"/>
          </rPr>
          <t xml:space="preserve">
"The frequency and duration of phone contact was individualized and varied widely among patients, but averaged 3 calls per week, each lasting 15 minutes" pg 2</t>
        </r>
      </text>
    </comment>
    <comment ref="G68" authorId="0" shapeId="0" xr:uid="{00000000-0006-0000-0200-000075000000}">
      <text>
        <r>
          <rPr>
            <b/>
            <sz val="8"/>
            <color indexed="81"/>
            <rFont val="Tahoma"/>
            <family val="2"/>
          </rPr>
          <t>kdanko:</t>
        </r>
        <r>
          <rPr>
            <sz val="8"/>
            <color indexed="81"/>
            <rFont val="Tahoma"/>
            <family val="2"/>
          </rPr>
          <t xml:space="preserve">
"Insulin adjustments were recommended during most calls. The nurse had adjusted insulin therapy for several years in a diabetes-in-pregnancy clinic and did not receive any additional training for this study." pg 2</t>
        </r>
      </text>
    </comment>
    <comment ref="G70" authorId="0" shapeId="0" xr:uid="{00000000-0006-0000-0200-000076000000}">
      <text>
        <r>
          <rPr>
            <b/>
            <sz val="8"/>
            <color indexed="81"/>
            <rFont val="Tahoma"/>
            <family val="2"/>
          </rPr>
          <t>kdanko:</t>
        </r>
        <r>
          <rPr>
            <sz val="8"/>
            <color indexed="81"/>
            <rFont val="Tahoma"/>
            <family val="2"/>
          </rPr>
          <t xml:space="preserve">
"periodic one-half day chronic care clinics for groups of !8 diabetic patients in their respective doctor’s practice" pg. 1; "Each chronic care clinic consisted of an assessment; individual visits with the primary care physician, nurse, and clinical pharmacist;" pg 2; </t>
        </r>
      </text>
    </comment>
    <comment ref="H70" authorId="0" shapeId="0" xr:uid="{00000000-0006-0000-0200-000077000000}">
      <text>
        <r>
          <rPr>
            <b/>
            <sz val="8"/>
            <color indexed="81"/>
            <rFont val="Tahoma"/>
            <family val="2"/>
          </rPr>
          <t>kdanko:</t>
        </r>
        <r>
          <rPr>
            <sz val="8"/>
            <color indexed="81"/>
            <rFont val="Tahoma"/>
            <family val="2"/>
          </rPr>
          <t xml:space="preserve">
"Each clinic was preceded by a brief planning session involving a Masterstrained research nurse and the practice nurse in which registry information was reviewed and plans were established for the individual patients and for the group." pg 2</t>
        </r>
      </text>
    </comment>
    <comment ref="L70" authorId="0" shapeId="0" xr:uid="{00000000-0006-0000-0200-000078000000}">
      <text>
        <r>
          <rPr>
            <b/>
            <sz val="8"/>
            <color indexed="81"/>
            <rFont val="Tahoma"/>
            <family val="2"/>
          </rPr>
          <t>kdanko:</t>
        </r>
        <r>
          <rPr>
            <sz val="8"/>
            <color indexed="81"/>
            <rFont val="Tahoma"/>
            <family val="2"/>
          </rPr>
          <t xml:space="preserve">
"and a group educational/
peer support session" pg 2
</t>
        </r>
      </text>
    </comment>
    <comment ref="M70" authorId="0" shapeId="0" xr:uid="{00000000-0006-0000-0200-000079000000}">
      <text>
        <r>
          <rPr>
            <b/>
            <sz val="8"/>
            <color indexed="81"/>
            <rFont val="Tahoma"/>
            <family val="2"/>
          </rPr>
          <t>kdanko:</t>
        </r>
        <r>
          <rPr>
            <sz val="8"/>
            <color indexed="81"/>
            <rFont val="Tahoma"/>
            <family val="2"/>
          </rPr>
          <t xml:space="preserve">
"Self-management support was provided through one-on-one counseling with the practice nurse and a group session." pg 2</t>
        </r>
      </text>
    </comment>
    <comment ref="A71" authorId="4" shapeId="0" xr:uid="{00000000-0006-0000-0200-00007A000000}">
      <text>
        <r>
          <rPr>
            <b/>
            <sz val="9"/>
            <color indexed="81"/>
            <rFont val="Verdana"/>
            <family val="2"/>
          </rPr>
          <t>Noah Ivers:</t>
        </r>
        <r>
          <rPr>
            <sz val="9"/>
            <color indexed="81"/>
            <rFont val="Verdana"/>
            <family val="2"/>
          </rPr>
          <t xml:space="preserve">
great example for justin of where BCTs should be able to differentiate but QI taxonomy doesn't!</t>
        </r>
      </text>
    </comment>
    <comment ref="E71" authorId="0" shapeId="0" xr:uid="{00000000-0006-0000-0200-00007B000000}">
      <text>
        <r>
          <rPr>
            <b/>
            <sz val="8"/>
            <color indexed="81"/>
            <rFont val="Tahoma"/>
            <family val="2"/>
          </rPr>
          <t>kdanko:</t>
        </r>
        <r>
          <rPr>
            <sz val="8"/>
            <color indexed="81"/>
            <rFont val="Tahoma"/>
            <family val="2"/>
          </rPr>
          <t xml:space="preserve">
"a leaflet which compared their views and recorded management of patients with DM2 with those of all doctors in the project, along with a 'recommended standard' of ACC." pg 2</t>
        </r>
      </text>
    </comment>
    <comment ref="I71" authorId="0" shapeId="0" xr:uid="{00000000-0006-0000-0200-00007C000000}">
      <text>
        <r>
          <rPr>
            <b/>
            <sz val="8"/>
            <color indexed="81"/>
            <rFont val="Tahoma"/>
            <family val="2"/>
          </rPr>
          <t>kdanko:</t>
        </r>
        <r>
          <rPr>
            <sz val="8"/>
            <color indexed="81"/>
            <rFont val="Tahoma"/>
            <family val="2"/>
          </rPr>
          <t xml:space="preserve">
"In addition, each doctor was later
sent several copies of guidelines" pg 2</t>
        </r>
      </text>
    </comment>
    <comment ref="J71" authorId="0" shapeId="0" xr:uid="{00000000-0006-0000-0200-00007D000000}">
      <text>
        <r>
          <rPr>
            <b/>
            <sz val="8"/>
            <color indexed="81"/>
            <rFont val="Tahoma"/>
            <family val="2"/>
          </rPr>
          <t>kdanko:</t>
        </r>
        <r>
          <rPr>
            <sz val="8"/>
            <color indexed="81"/>
            <rFont val="Tahoma"/>
            <family val="2"/>
          </rPr>
          <t xml:space="preserve">
"checklist designed to fit into their type of medical record" pg 2</t>
        </r>
      </text>
    </comment>
    <comment ref="E72" authorId="0" shapeId="0" xr:uid="{00000000-0006-0000-0200-00007E000000}">
      <text>
        <r>
          <rPr>
            <b/>
            <sz val="8"/>
            <color indexed="81"/>
            <rFont val="Tahoma"/>
            <family val="2"/>
          </rPr>
          <t>kdanko:</t>
        </r>
        <r>
          <rPr>
            <sz val="8"/>
            <color indexed="81"/>
            <rFont val="Tahoma"/>
            <family val="2"/>
          </rPr>
          <t xml:space="preserve">
"a leaflet which compared their views and recorded management of patients with DM2 with those of all doctors in the project, along with a 'recommended standard' of ACC." pg 2; "In addition to the postal feedback and check-lists outlined above, this group received an interview by one of three academic general practitioners. The interviewers had a copy of the doctors' results,
five additional DHC check-lists, and a discussion proforma consisting of questions about the project." pg. 2</t>
        </r>
      </text>
    </comment>
    <comment ref="I72" authorId="0" shapeId="0" xr:uid="{00000000-0006-0000-0200-00007F000000}">
      <text>
        <r>
          <rPr>
            <b/>
            <sz val="8"/>
            <color indexed="81"/>
            <rFont val="Tahoma"/>
            <family val="2"/>
          </rPr>
          <t>kdanko:</t>
        </r>
        <r>
          <rPr>
            <sz val="8"/>
            <color indexed="81"/>
            <rFont val="Tahoma"/>
            <family val="2"/>
          </rPr>
          <t xml:space="preserve">
"In addition to the postal feedback and
check-lists outlined above, this group
received an interview by one of three
academic general practitioners. The interviewers had a copy of the doctors' results, five additional DHC check-lists, and a discussion proforma consisting of questions about the project. The interviews lasted approximately 20 minutes." pg. 2</t>
        </r>
      </text>
    </comment>
    <comment ref="J72" authorId="0" shapeId="0" xr:uid="{00000000-0006-0000-0200-000080000000}">
      <text>
        <r>
          <rPr>
            <b/>
            <sz val="8"/>
            <color indexed="81"/>
            <rFont val="Tahoma"/>
            <family val="2"/>
          </rPr>
          <t>kdanko:</t>
        </r>
        <r>
          <rPr>
            <sz val="8"/>
            <color indexed="81"/>
            <rFont val="Tahoma"/>
            <family val="2"/>
          </rPr>
          <t xml:space="preserve">
"In addition to the postal feedback and
check-lists outlined above, this group
received an interview by one of three
academic general practitioners. The interviewers had a copy of the doctors' results, five additional DHC check-lists, and a discussion proforma consisting of questions about the project. The interviews lasted approximately 20 minutes." pg. 2</t>
        </r>
      </text>
    </comment>
    <comment ref="E73" authorId="0" shapeId="0" xr:uid="{00000000-0006-0000-0200-000081000000}">
      <text>
        <r>
          <rPr>
            <b/>
            <sz val="8"/>
            <color indexed="81"/>
            <rFont val="Tahoma"/>
            <family val="2"/>
          </rPr>
          <t>kdanko:</t>
        </r>
        <r>
          <rPr>
            <sz val="8"/>
            <color indexed="81"/>
            <rFont val="Tahoma"/>
            <family val="2"/>
          </rPr>
          <t xml:space="preserve">
"a leaflet which compared their views and recorded management of patients with DM2 with those of all doctors in the project, along with a 'recommended standard' of ACC." pg 2; "This group received the same intervention
as the doctor interview group except thatthe interviews were conducted by a state registered nurse who had a science degree" pg. 2</t>
        </r>
      </text>
    </comment>
    <comment ref="I73" authorId="0" shapeId="0" xr:uid="{00000000-0006-0000-0200-000082000000}">
      <text>
        <r>
          <rPr>
            <b/>
            <sz val="8"/>
            <color indexed="81"/>
            <rFont val="Tahoma"/>
            <family val="2"/>
          </rPr>
          <t>kdanko:</t>
        </r>
        <r>
          <rPr>
            <sz val="8"/>
            <color indexed="81"/>
            <rFont val="Tahoma"/>
            <family val="2"/>
          </rPr>
          <t xml:space="preserve">
"This group received the same intervention
as the doctor interview group" pg. 2</t>
        </r>
      </text>
    </comment>
    <comment ref="J73" authorId="0" shapeId="0" xr:uid="{00000000-0006-0000-0200-000083000000}">
      <text>
        <r>
          <rPr>
            <b/>
            <sz val="8"/>
            <color indexed="81"/>
            <rFont val="Tahoma"/>
            <family val="2"/>
          </rPr>
          <t>kdanko:</t>
        </r>
        <r>
          <rPr>
            <sz val="8"/>
            <color indexed="81"/>
            <rFont val="Tahoma"/>
            <family val="2"/>
          </rPr>
          <t xml:space="preserve">
"This group received the same intervention
as the doctor interview group" pg. 2</t>
        </r>
      </text>
    </comment>
    <comment ref="F75" authorId="0" shapeId="0" xr:uid="{00000000-0006-0000-0200-000084000000}">
      <text>
        <r>
          <rPr>
            <b/>
            <sz val="8"/>
            <color indexed="81"/>
            <rFont val="Tahoma"/>
            <family val="2"/>
          </rPr>
          <t>kdanko:</t>
        </r>
        <r>
          <rPr>
            <sz val="8"/>
            <color indexed="81"/>
            <rFont val="Tahoma"/>
            <family val="2"/>
          </rPr>
          <t xml:space="preserve">
"Nurses attempted to telephone intervention patients monthly (or more often if the nurse deemed it clinically indicated), in order to…facilitate access to primary care" pg 3
</t>
        </r>
      </text>
    </comment>
    <comment ref="L75" authorId="0" shapeId="0" xr:uid="{00000000-0006-0000-0200-000085000000}">
      <text>
        <r>
          <rPr>
            <b/>
            <sz val="8"/>
            <color indexed="81"/>
            <rFont val="Tahoma"/>
            <family val="2"/>
          </rPr>
          <t>kdanko:</t>
        </r>
        <r>
          <rPr>
            <sz val="8"/>
            <color indexed="81"/>
            <rFont val="Tahoma"/>
            <family val="2"/>
          </rPr>
          <t xml:space="preserve">
"educate patients" pg 3</t>
        </r>
      </text>
    </comment>
    <comment ref="A76" authorId="0" shapeId="0" xr:uid="{00000000-0006-0000-0200-000086000000}">
      <text>
        <r>
          <rPr>
            <b/>
            <sz val="8"/>
            <color indexed="81"/>
            <rFont val="Tahoma"/>
            <family val="2"/>
          </rPr>
          <t>kdanko:</t>
        </r>
        <r>
          <rPr>
            <sz val="8"/>
            <color indexed="81"/>
            <rFont val="Tahoma"/>
            <family val="2"/>
          </rPr>
          <t xml:space="preserve">
Site 2</t>
        </r>
      </text>
    </comment>
    <comment ref="E77" authorId="0" shapeId="0" xr:uid="{00000000-0006-0000-0200-000087000000}">
      <text>
        <r>
          <rPr>
            <b/>
            <sz val="8"/>
            <color indexed="81"/>
            <rFont val="Tahoma"/>
            <family val="2"/>
          </rPr>
          <t>kdanko:</t>
        </r>
        <r>
          <rPr>
            <sz val="8"/>
            <color indexed="81"/>
            <rFont val="Tahoma"/>
            <family val="2"/>
          </rPr>
          <t xml:space="preserve">
"Benchmarking of current community…"</t>
        </r>
      </text>
    </comment>
    <comment ref="I77" authorId="0" shapeId="0" xr:uid="{00000000-0006-0000-0200-000088000000}">
      <text>
        <r>
          <rPr>
            <b/>
            <sz val="8"/>
            <color indexed="81"/>
            <rFont val="Tahoma"/>
            <family val="2"/>
          </rPr>
          <t>kdanko:</t>
        </r>
        <r>
          <rPr>
            <sz val="8"/>
            <color indexed="81"/>
            <rFont val="Tahoma"/>
            <family val="2"/>
          </rPr>
          <t xml:space="preserve">
"The accepted or revised DecisionPaths form the "knowledge" needed to implement the SDM program in a community. Additional materials are made available including a binder containing the DecisionPahts (approximately 20 per type of diabetes), a QuickReference", which has much of the functionality of the DecisionPaths but in a pocket-sized..." pg 2</t>
        </r>
      </text>
    </comment>
    <comment ref="J77" authorId="0" shapeId="0" xr:uid="{00000000-0006-0000-0200-000089000000}">
      <text>
        <r>
          <rPr>
            <b/>
            <sz val="8"/>
            <color indexed="81"/>
            <rFont val="Tahoma"/>
            <family val="2"/>
          </rPr>
          <t>kdanko:</t>
        </r>
        <r>
          <rPr>
            <sz val="8"/>
            <color indexed="81"/>
            <rFont val="Tahoma"/>
            <family val="2"/>
          </rPr>
          <t xml:space="preserve">
"Use of flowcharts for clinical decision making"</t>
        </r>
      </text>
    </comment>
    <comment ref="L77" authorId="0" shapeId="0" xr:uid="{00000000-0006-0000-0200-00008A000000}">
      <text>
        <r>
          <rPr>
            <b/>
            <sz val="8"/>
            <color indexed="81"/>
            <rFont val="Tahoma"/>
            <family val="2"/>
          </rPr>
          <t>kdanko:</t>
        </r>
        <r>
          <rPr>
            <sz val="8"/>
            <color indexed="81"/>
            <rFont val="Tahoma"/>
            <family val="2"/>
          </rPr>
          <t xml:space="preserve">
"Patient information booklets also are available to encourage patients to participate in their own care"</t>
        </r>
      </text>
    </comment>
    <comment ref="F79" authorId="0" shapeId="0" xr:uid="{00000000-0006-0000-0200-00008B000000}">
      <text>
        <r>
          <rPr>
            <b/>
            <sz val="8"/>
            <color indexed="81"/>
            <rFont val="Tahoma"/>
            <family val="2"/>
          </rPr>
          <t xml:space="preserve">kdanko:
</t>
        </r>
        <r>
          <rPr>
            <sz val="8"/>
            <color indexed="81"/>
            <rFont val="Tahoma"/>
            <family val="2"/>
          </rPr>
          <t xml:space="preserve">"nurse case management" pg 1; "nurse case managers" pg 2 </t>
        </r>
      </text>
    </comment>
    <comment ref="H79" authorId="0" shapeId="0" xr:uid="{00000000-0006-0000-0200-00008C000000}">
      <text>
        <r>
          <rPr>
            <b/>
            <sz val="8"/>
            <color indexed="81"/>
            <rFont val="Tahoma"/>
            <family val="2"/>
          </rPr>
          <t>kdanko:</t>
        </r>
        <r>
          <rPr>
            <sz val="8"/>
            <color indexed="81"/>
            <rFont val="Tahoma"/>
            <family val="2"/>
          </rPr>
          <t xml:space="preserve">
"...could be uploaded into a clinical database" pg 2</t>
        </r>
      </text>
    </comment>
    <comment ref="M79" authorId="0" shapeId="0" xr:uid="{00000000-0006-0000-0200-00008D000000}">
      <text>
        <r>
          <rPr>
            <b/>
            <sz val="8"/>
            <color indexed="81"/>
            <rFont val="Tahoma"/>
            <family val="2"/>
          </rPr>
          <t>kdanko:</t>
        </r>
        <r>
          <rPr>
            <sz val="8"/>
            <color indexed="81"/>
            <rFont val="Tahoma"/>
            <family val="2"/>
          </rPr>
          <t xml:space="preserve">
"home glucose meter (One Touch Sure Step; Lifescan, Inc, Milpitas, CA) and blood pressure cuff (UA-767-PC Blood Pressure Monitor; A&amp;D Medical; San Jose, CA) connected to the home telemedicine unit through an R5-232 serial" pg 2</t>
        </r>
      </text>
    </comment>
    <comment ref="G81" authorId="0" shapeId="0" xr:uid="{00000000-0006-0000-0200-00008E000000}">
      <text>
        <r>
          <rPr>
            <b/>
            <sz val="8"/>
            <color indexed="81"/>
            <rFont val="Tahoma"/>
            <family val="2"/>
          </rPr>
          <t>kdanko:</t>
        </r>
        <r>
          <rPr>
            <sz val="8"/>
            <color indexed="81"/>
            <rFont val="Tahoma"/>
            <family val="2"/>
          </rPr>
          <t xml:space="preserve">
"diabetes team inclueltng diabetologists,
endocrine trainees and diabeles
nurses using a preprinted case report
book containing predefined scheduled
visits" pg 2; "dietician" pg 2; "follow-up by doctor interested in diabetes/endocrinology &gt;4times/year" pg 2</t>
        </r>
      </text>
    </comment>
    <comment ref="L81" authorId="0" shapeId="0" xr:uid="{00000000-0006-0000-0200-00008F000000}">
      <text>
        <r>
          <rPr>
            <b/>
            <sz val="8"/>
            <color indexed="81"/>
            <rFont val="Tahoma"/>
            <family val="2"/>
          </rPr>
          <t>kdanko:</t>
        </r>
        <r>
          <rPr>
            <sz val="8"/>
            <color indexed="81"/>
            <rFont val="Tahoma"/>
            <family val="2"/>
          </rPr>
          <t xml:space="preserve">
"follow-up visit by nurse educators (6-8 sessions/year)" pg 2</t>
        </r>
      </text>
    </comment>
    <comment ref="M81" authorId="0" shapeId="0" xr:uid="{00000000-0006-0000-0200-000090000000}">
      <text>
        <r>
          <rPr>
            <b/>
            <sz val="8"/>
            <color indexed="81"/>
            <rFont val="Tahoma"/>
            <family val="2"/>
          </rPr>
          <t>kdanko:</t>
        </r>
        <r>
          <rPr>
            <sz val="8"/>
            <color indexed="81"/>
            <rFont val="Tahoma"/>
            <family val="2"/>
          </rPr>
          <t xml:space="preserve">
"Treatment compliance and selfcare including drug use, insulin injection, self-monlloring of blood glucose," pg 2</t>
        </r>
      </text>
    </comment>
    <comment ref="F83" authorId="0" shapeId="0" xr:uid="{00000000-0006-0000-0200-000091000000}">
      <text>
        <r>
          <rPr>
            <b/>
            <sz val="8"/>
            <color indexed="81"/>
            <rFont val="Tahoma"/>
            <family val="2"/>
          </rPr>
          <t>kdanko:</t>
        </r>
        <r>
          <rPr>
            <sz val="8"/>
            <color indexed="81"/>
            <rFont val="Tahoma"/>
            <family val="2"/>
          </rPr>
          <t xml:space="preserve">
"nurse specialist then telephoned the patient and provided advice and also notified the diabetes care physician." pg 2</t>
        </r>
      </text>
    </comment>
    <comment ref="G83" authorId="0" shapeId="0" xr:uid="{00000000-0006-0000-0200-000092000000}">
      <text>
        <r>
          <rPr>
            <b/>
            <sz val="8"/>
            <color indexed="81"/>
            <rFont val="Tahoma"/>
            <family val="2"/>
          </rPr>
          <t>kdanko:</t>
        </r>
        <r>
          <rPr>
            <sz val="8"/>
            <color indexed="81"/>
            <rFont val="Tahoma"/>
            <family val="2"/>
          </rPr>
          <t xml:space="preserve">
"a specialized diabetes nurse (certified by the Ministry of Health to provide medical advice regarding titration of insulin dose, oral medications, etc.)" pg 2</t>
        </r>
      </text>
    </comment>
    <comment ref="K83" authorId="0" shapeId="0" xr:uid="{00000000-0006-0000-0200-000093000000}">
      <text>
        <r>
          <rPr>
            <b/>
            <sz val="8"/>
            <color indexed="81"/>
            <rFont val="Tahoma"/>
            <family val="2"/>
          </rPr>
          <t>kdanko:</t>
        </r>
        <r>
          <rPr>
            <sz val="8"/>
            <color indexed="81"/>
            <rFont val="Tahoma"/>
            <family val="2"/>
          </rPr>
          <t xml:space="preserve">
"triggered an audio alarm at the diabetes clinic computer and generated a text message to the cellular phone of the caregiver" pg 2</t>
        </r>
      </text>
    </comment>
    <comment ref="F85" authorId="0" shapeId="0" xr:uid="{00000000-0006-0000-0200-000094000000}">
      <text>
        <r>
          <rPr>
            <b/>
            <sz val="8"/>
            <color indexed="81"/>
            <rFont val="Tahoma"/>
            <family val="2"/>
          </rPr>
          <t>kdanko:</t>
        </r>
        <r>
          <rPr>
            <sz val="8"/>
            <color indexed="81"/>
            <rFont val="Tahoma"/>
            <family val="2"/>
          </rPr>
          <t xml:space="preserve">
"case management" pg 1; </t>
        </r>
      </text>
    </comment>
    <comment ref="H85" authorId="0" shapeId="0" xr:uid="{00000000-0006-0000-0200-000095000000}">
      <text>
        <r>
          <rPr>
            <b/>
            <sz val="8"/>
            <color indexed="81"/>
            <rFont val="Tahoma"/>
            <family val="2"/>
          </rPr>
          <t>kdanko:</t>
        </r>
        <r>
          <rPr>
            <sz val="8"/>
            <color indexed="81"/>
            <rFont val="Tahoma"/>
            <family val="2"/>
          </rPr>
          <t xml:space="preserve">
Table 1: "My health record" pg 2</t>
        </r>
      </text>
    </comment>
    <comment ref="L85" authorId="0" shapeId="0" xr:uid="{00000000-0006-0000-0200-000096000000}">
      <text>
        <r>
          <rPr>
            <b/>
            <sz val="8"/>
            <color indexed="81"/>
            <rFont val="Tahoma"/>
            <family val="2"/>
          </rPr>
          <t>kdanko:</t>
        </r>
        <r>
          <rPr>
            <sz val="8"/>
            <color indexed="81"/>
            <rFont val="Tahoma"/>
            <family val="2"/>
          </rPr>
          <t xml:space="preserve">
Table 1: "LWD Patient Education Website" pg 2</t>
        </r>
      </text>
    </comment>
    <comment ref="M85" authorId="0" shapeId="0" xr:uid="{00000000-0006-0000-0200-000097000000}">
      <text>
        <r>
          <rPr>
            <b/>
            <sz val="8"/>
            <color indexed="81"/>
            <rFont val="Tahoma"/>
            <family val="2"/>
          </rPr>
          <t>kdanko:</t>
        </r>
        <r>
          <rPr>
            <sz val="8"/>
            <color indexed="81"/>
            <rFont val="Tahoma"/>
            <family val="2"/>
          </rPr>
          <t xml:space="preserve">
Table 1: "My action planner" pg 2; "individualized action plan" pg 3</t>
        </r>
      </text>
    </comment>
    <comment ref="H87" authorId="0" shapeId="0" xr:uid="{00000000-0006-0000-0200-000098000000}">
      <text>
        <r>
          <rPr>
            <b/>
            <sz val="8"/>
            <color indexed="81"/>
            <rFont val="Tahoma"/>
            <family val="2"/>
          </rPr>
          <t>kdanko:</t>
        </r>
        <r>
          <rPr>
            <sz val="8"/>
            <color indexed="81"/>
            <rFont val="Tahoma"/>
            <family val="2"/>
          </rPr>
          <t xml:space="preserve">
"the Web-based diabetes tracker of the Computerization of Medical Practices for the Enhancement of Therapeutic Effectiveness study II" pg 2 </t>
        </r>
      </text>
    </comment>
    <comment ref="K87" authorId="0" shapeId="0" xr:uid="{00000000-0006-0000-0200-000099000000}">
      <text>
        <r>
          <rPr>
            <b/>
            <sz val="8"/>
            <color indexed="81"/>
            <rFont val="Tahoma"/>
            <family val="2"/>
          </rPr>
          <t>kdanko:</t>
        </r>
        <r>
          <rPr>
            <sz val="8"/>
            <color indexed="81"/>
            <rFont val="Tahoma"/>
            <family val="2"/>
          </rPr>
          <t xml:space="preserve">
"The overall intent of the intervention was to re-cngineer the flow of care, such that updated tracker information and the most recent laboratory results were available to both provider and patient at the time of the patient's visit." pg 3</t>
        </r>
      </text>
    </comment>
    <comment ref="N87" authorId="0" shapeId="0" xr:uid="{00000000-0006-0000-0200-00009A000000}">
      <text>
        <r>
          <rPr>
            <b/>
            <sz val="8"/>
            <color indexed="81"/>
            <rFont val="Tahoma"/>
            <family val="2"/>
          </rPr>
          <t>kdanko:</t>
        </r>
        <r>
          <rPr>
            <sz val="8"/>
            <color indexed="81"/>
            <rFont val="Tahoma"/>
            <family val="2"/>
          </rPr>
          <t xml:space="preserve">
"an automated telephone
reminder system for the pmient" pg 2</t>
        </r>
      </text>
    </comment>
    <comment ref="F89" authorId="0" shapeId="0" xr:uid="{00000000-0006-0000-0200-00009B000000}">
      <text>
        <r>
          <rPr>
            <b/>
            <sz val="8"/>
            <color indexed="81"/>
            <rFont val="Tahoma"/>
            <family val="2"/>
          </rPr>
          <t>kdanko:</t>
        </r>
        <r>
          <rPr>
            <sz val="8"/>
            <color indexed="81"/>
            <rFont val="Tahoma"/>
            <family val="2"/>
          </rPr>
          <t xml:space="preserve">
"nurse telephoned patients within 1 week of randomization and then every 2 months over 24 months to deliver the intervention. for a total of 12 nurse calls." pg 3;  "Schedule of interventions" supplementary pg 8</t>
        </r>
      </text>
    </comment>
    <comment ref="L89" authorId="0" shapeId="0" xr:uid="{00000000-0006-0000-0200-00009C000000}">
      <text>
        <r>
          <rPr>
            <b/>
            <sz val="8"/>
            <color indexed="81"/>
            <rFont val="Tahoma"/>
            <family val="2"/>
          </rPr>
          <t>kdanko:</t>
        </r>
        <r>
          <rPr>
            <sz val="8"/>
            <color indexed="81"/>
            <rFont val="Tahoma"/>
            <family val="2"/>
          </rPr>
          <t xml:space="preserve">
"9 educational and behavioral modules" pg 3; "Schedule of interventions" supplementary pg 8</t>
        </r>
      </text>
    </comment>
    <comment ref="M89" authorId="0" shapeId="0" xr:uid="{00000000-0006-0000-0200-00009D000000}">
      <text>
        <r>
          <rPr>
            <b/>
            <sz val="8"/>
            <color indexed="81"/>
            <rFont val="Tahoma"/>
            <family val="2"/>
          </rPr>
          <t>kdanko:</t>
        </r>
        <r>
          <rPr>
            <sz val="8"/>
            <color indexed="81"/>
            <rFont val="Tahoma"/>
            <family val="2"/>
          </rPr>
          <t xml:space="preserve">
"Offer mnemonic strategies" Table 1, Supplementary materials, pg 8</t>
        </r>
      </text>
    </comment>
    <comment ref="F91" authorId="0" shapeId="0" xr:uid="{00000000-0006-0000-0200-00009E000000}">
      <text>
        <r>
          <rPr>
            <b/>
            <sz val="8"/>
            <color indexed="81"/>
            <rFont val="Tahoma"/>
            <family val="2"/>
          </rPr>
          <t>kdanko:</t>
        </r>
        <r>
          <rPr>
            <sz val="8"/>
            <color indexed="81"/>
            <rFont val="Tahoma"/>
            <family val="2"/>
          </rPr>
          <t xml:space="preserve">
"The pharmacist’s role in the interventions involved a 5-step process of care" pg 3</t>
        </r>
      </text>
    </comment>
    <comment ref="I91" authorId="0" shapeId="0" xr:uid="{00000000-0006-0000-0200-00009F000000}">
      <text>
        <r>
          <rPr>
            <b/>
            <sz val="8"/>
            <color indexed="81"/>
            <rFont val="Tahoma"/>
            <family val="2"/>
          </rPr>
          <t>kdanko:</t>
        </r>
        <r>
          <rPr>
            <sz val="8"/>
            <color indexed="81"/>
            <rFont val="Tahoma"/>
            <family val="2"/>
          </rPr>
          <t xml:space="preserve">
"The self-study component was a 15-hour certificate program in diabetes management called “Pharmaceutical Care for Patients with Diabetes.” The live training covered the pathophysiology of diabetes, therapeutics of diabetes medications, diabetes self-care, and discussions of mock cases." pg 3</t>
        </r>
      </text>
    </comment>
    <comment ref="L91" authorId="0" shapeId="0" xr:uid="{00000000-0006-0000-0200-0000A0000000}">
      <text>
        <r>
          <rPr>
            <b/>
            <sz val="8"/>
            <color indexed="81"/>
            <rFont val="Tahoma"/>
            <family val="2"/>
          </rPr>
          <t>kdanko:</t>
        </r>
        <r>
          <rPr>
            <sz val="8"/>
            <color indexed="81"/>
            <rFont val="Tahoma"/>
            <family val="2"/>
          </rPr>
          <t xml:space="preserve">
"use these values to educate patients and recommend drug therapy changes" pg 3</t>
        </r>
      </text>
    </comment>
    <comment ref="M91" authorId="0" shapeId="0" xr:uid="{00000000-0006-0000-0200-0000A1000000}">
      <text>
        <r>
          <rPr>
            <b/>
            <sz val="8"/>
            <color indexed="81"/>
            <rFont val="Tahoma"/>
            <family val="2"/>
          </rPr>
          <t>kdanko:</t>
        </r>
        <r>
          <rPr>
            <sz val="8"/>
            <color indexed="81"/>
            <rFont val="Tahoma"/>
            <family val="2"/>
          </rPr>
          <t xml:space="preserve">
"formulating a plan, implementing the plan, monitoring the plan" pg 3</t>
        </r>
      </text>
    </comment>
    <comment ref="F93" authorId="0" shapeId="0" xr:uid="{00000000-0006-0000-0200-0000A2000000}">
      <text>
        <r>
          <rPr>
            <b/>
            <sz val="8"/>
            <color indexed="81"/>
            <rFont val="Tahoma"/>
            <family val="2"/>
          </rPr>
          <t>kdanko:</t>
        </r>
        <r>
          <rPr>
            <sz val="8"/>
            <color indexed="81"/>
            <rFont val="Tahoma"/>
            <family val="2"/>
          </rPr>
          <t xml:space="preserve">
"During visits the role of medications was discussed with the patient and adherence to therapy was assessed" pg 3</t>
        </r>
      </text>
    </comment>
    <comment ref="G93" authorId="0" shapeId="0" xr:uid="{00000000-0006-0000-0200-0000A3000000}">
      <text>
        <r>
          <rPr>
            <b/>
            <sz val="8"/>
            <color indexed="81"/>
            <rFont val="Tahoma"/>
            <family val="2"/>
          </rPr>
          <t>kdanko:</t>
        </r>
        <r>
          <rPr>
            <sz val="8"/>
            <color indexed="81"/>
            <rFont val="Tahoma"/>
            <family val="2"/>
          </rPr>
          <t xml:space="preserve">
"Intervention group participants received hypertension MTM services on a monthly basis during the same visits in which they received diabetes management services." pg 3</t>
        </r>
      </text>
    </comment>
    <comment ref="L93" authorId="0" shapeId="0" xr:uid="{00000000-0006-0000-0200-0000A4000000}">
      <text>
        <r>
          <rPr>
            <b/>
            <sz val="8"/>
            <color indexed="81"/>
            <rFont val="Tahoma"/>
            <family val="2"/>
          </rPr>
          <t>kdanko:</t>
        </r>
        <r>
          <rPr>
            <sz val="8"/>
            <color indexed="81"/>
            <rFont val="Tahoma"/>
            <family val="2"/>
          </rPr>
          <t xml:space="preserve">
"Patients In the Intervention group were educated on diet and lifestyle modifications to lower blood pressure." pg 3</t>
        </r>
      </text>
    </comment>
    <comment ref="M93" authorId="0" shapeId="0" xr:uid="{00000000-0006-0000-0200-0000A5000000}">
      <text>
        <r>
          <rPr>
            <b/>
            <sz val="8"/>
            <color indexed="81"/>
            <rFont val="Tahoma"/>
            <family val="2"/>
          </rPr>
          <t>kdanko:</t>
        </r>
        <r>
          <rPr>
            <sz val="8"/>
            <color indexed="81"/>
            <rFont val="Tahoma"/>
            <family val="2"/>
          </rPr>
          <t xml:space="preserve">
"Individualized plan was developed for each patient to help them manage their therapies" pg 3</t>
        </r>
      </text>
    </comment>
    <comment ref="F95" authorId="0" shapeId="0" xr:uid="{00000000-0006-0000-0200-0000A6000000}">
      <text>
        <r>
          <rPr>
            <b/>
            <sz val="8"/>
            <color indexed="81"/>
            <rFont val="Tahoma"/>
            <family val="2"/>
          </rPr>
          <t>kdanko:</t>
        </r>
        <r>
          <rPr>
            <sz val="8"/>
            <color indexed="81"/>
            <rFont val="Tahoma"/>
            <family val="2"/>
          </rPr>
          <t xml:space="preserve">
"The frequency of calls, however, was intended to be tailored to patients’ individual needs and telecare supporters were taught to negotiate the time of subsequent contact as part of the closure of each call." pg 2</t>
        </r>
      </text>
    </comment>
    <comment ref="M95" authorId="0" shapeId="0" xr:uid="{00000000-0006-0000-0200-0000A7000000}">
      <text>
        <r>
          <rPr>
            <b/>
            <sz val="8"/>
            <color indexed="81"/>
            <rFont val="Tahoma"/>
            <family val="2"/>
          </rPr>
          <t>kdanko:</t>
        </r>
        <r>
          <rPr>
            <sz val="8"/>
            <color indexed="81"/>
            <rFont val="Tahoma"/>
            <family val="2"/>
          </rPr>
          <t xml:space="preserve">
"goal setting" pg 2</t>
        </r>
      </text>
    </comment>
    <comment ref="F96" authorId="0" shapeId="0" xr:uid="{00000000-0006-0000-0200-0000A8000000}">
      <text>
        <r>
          <rPr>
            <b/>
            <sz val="8"/>
            <color indexed="81"/>
            <rFont val="Tahoma"/>
            <family val="2"/>
          </rPr>
          <t>kdanko:</t>
        </r>
        <r>
          <rPr>
            <sz val="8"/>
            <color indexed="81"/>
            <rFont val="Tahoma"/>
            <family val="2"/>
          </rPr>
          <t xml:space="preserve">
"The frequency of calls, however, was intended to be tailored to patients’ individual needs and telecare supporters were taught to negotiate the time of subsequent contact as part of the closure of each call." pg 2</t>
        </r>
      </text>
    </comment>
    <comment ref="M96" authorId="0" shapeId="0" xr:uid="{00000000-0006-0000-0200-0000A9000000}">
      <text>
        <r>
          <rPr>
            <b/>
            <sz val="8"/>
            <color indexed="81"/>
            <rFont val="Tahoma"/>
            <family val="2"/>
          </rPr>
          <t>kdanko:</t>
        </r>
        <r>
          <rPr>
            <sz val="8"/>
            <color indexed="81"/>
            <rFont val="Tahoma"/>
            <family val="2"/>
          </rPr>
          <t xml:space="preserve">
"goal setting" pg 2</t>
        </r>
      </text>
    </comment>
    <comment ref="H97" authorId="0" shapeId="0" xr:uid="{00000000-0006-0000-0200-0000AA000000}">
      <text>
        <r>
          <rPr>
            <b/>
            <sz val="8"/>
            <color indexed="81"/>
            <rFont val="Tahoma"/>
            <family val="2"/>
          </rPr>
          <t>kdanko:</t>
        </r>
        <r>
          <rPr>
            <sz val="8"/>
            <color indexed="81"/>
            <rFont val="Tahoma"/>
            <family val="2"/>
          </rPr>
          <t xml:space="preserve">
"With the
IBGMS, doctors can check patients’ self-monitored blood glucose data at regular intervals" pg. 1; To improve the efficiency of communication, we linked
the IBGMS to the short message service (SMS) of mobile phones" pg 1</t>
        </r>
      </text>
    </comment>
    <comment ref="K97" authorId="0" shapeId="0" xr:uid="{00000000-0006-0000-0200-0000AB000000}">
      <text>
        <r>
          <rPr>
            <b/>
            <sz val="8"/>
            <color indexed="81"/>
            <rFont val="Tahoma"/>
            <family val="2"/>
          </rPr>
          <t>kdanko:</t>
        </r>
        <r>
          <rPr>
            <sz val="8"/>
            <color indexed="81"/>
            <rFont val="Tahoma"/>
            <family val="2"/>
          </rPr>
          <t xml:space="preserve">
"Patients could upload their information through telecommunication automatically and patient–doctor communication could be conducted in real time by the short message service. B-1 shows the first generation of diabetes phone (LG-KP8400) and B-2 shows the second generation of diabetes phone (Gluco Plus)" pg 2</t>
        </r>
      </text>
    </comment>
    <comment ref="L97" authorId="0" shapeId="0" xr:uid="{00000000-0006-0000-0200-0000AC000000}">
      <text>
        <r>
          <rPr>
            <b/>
            <sz val="8"/>
            <color indexed="81"/>
            <rFont val="Tahoma"/>
            <family val="2"/>
          </rPr>
          <t>kdanko:</t>
        </r>
        <r>
          <rPr>
            <sz val="8"/>
            <color indexed="81"/>
            <rFont val="Tahoma"/>
            <family val="2"/>
          </rPr>
          <t xml:space="preserve">
"an education team consisting of an endocrinologist, a certified nurse educator and a dietician provided a diabetes education programme for all participants." pg 3</t>
        </r>
      </text>
    </comment>
    <comment ref="M97" authorId="0" shapeId="0" xr:uid="{00000000-0006-0000-0200-0000AD000000}">
      <text>
        <r>
          <rPr>
            <b/>
            <sz val="8"/>
            <color indexed="81"/>
            <rFont val="Tahoma"/>
            <family val="2"/>
          </rPr>
          <t>kdanko:</t>
        </r>
        <r>
          <rPr>
            <sz val="8"/>
            <color indexed="81"/>
            <rFont val="Tahoma"/>
            <family val="2"/>
          </rPr>
          <t xml:space="preserve">
</t>
        </r>
      </text>
    </comment>
    <comment ref="H98" authorId="0" shapeId="0" xr:uid="{00000000-0006-0000-0200-0000AE000000}">
      <text>
        <r>
          <rPr>
            <b/>
            <sz val="8"/>
            <color indexed="81"/>
            <rFont val="Tahoma"/>
            <family val="2"/>
          </rPr>
          <t>kdanko:</t>
        </r>
        <r>
          <rPr>
            <sz val="8"/>
            <color indexed="81"/>
            <rFont val="Tahoma"/>
            <family val="2"/>
          </rPr>
          <t xml:space="preserve">
"Patients logged on to the website from their homes or offices at a time they found convenient and uploaded their glucose data" pg 2; "With the
IBGMS, doctors can check patients’ self-monitored blood glucose data at regular intervals" pg. 1</t>
        </r>
      </text>
    </comment>
    <comment ref="K98" authorId="0" shapeId="0" xr:uid="{00000000-0006-0000-0200-0000AF000000}">
      <text>
        <r>
          <rPr>
            <b/>
            <sz val="8"/>
            <color indexed="81"/>
            <rFont val="Tahoma"/>
            <family val="2"/>
          </rPr>
          <t>kdanko:</t>
        </r>
        <r>
          <rPr>
            <sz val="8"/>
            <color indexed="81"/>
            <rFont val="Tahoma"/>
            <family val="2"/>
          </rPr>
          <t xml:space="preserve">
"To improve the efficiency of communication, we linked
the IBGMS to the short message service (SMS) of mobile phones." pg. 1</t>
        </r>
      </text>
    </comment>
    <comment ref="L98" authorId="0" shapeId="0" xr:uid="{00000000-0006-0000-0200-0000B0000000}">
      <text>
        <r>
          <rPr>
            <b/>
            <sz val="8"/>
            <color indexed="81"/>
            <rFont val="Tahoma"/>
            <family val="2"/>
          </rPr>
          <t>kdanko:</t>
        </r>
        <r>
          <rPr>
            <sz val="8"/>
            <color indexed="81"/>
            <rFont val="Tahoma"/>
            <family val="2"/>
          </rPr>
          <t xml:space="preserve">
"an education team consisting of an endocrinologist, a certified nurse educator and a dietician provided a diabetes education programme for all participants." pg 3</t>
        </r>
      </text>
    </comment>
    <comment ref="M98" authorId="0" shapeId="0" xr:uid="{00000000-0006-0000-0200-0000B1000000}">
      <text>
        <r>
          <rPr>
            <b/>
            <sz val="8"/>
            <color indexed="81"/>
            <rFont val="Tahoma"/>
            <family val="2"/>
          </rPr>
          <t>kdanko:</t>
        </r>
        <r>
          <rPr>
            <sz val="8"/>
            <color indexed="81"/>
            <rFont val="Tahoma"/>
            <family val="2"/>
          </rPr>
          <t xml:space="preserve">
“"containing a device to measure capillary blood glucose onsite and  transmit blood glucose data to a web server automatically without manual input" pg 2-3 </t>
        </r>
      </text>
    </comment>
    <comment ref="E99" authorId="0" shapeId="0" xr:uid="{00000000-0006-0000-0200-0000B2000000}">
      <text>
        <r>
          <rPr>
            <b/>
            <sz val="8"/>
            <color indexed="81"/>
            <rFont val="Tahoma"/>
            <family val="2"/>
          </rPr>
          <t>kdanko:</t>
        </r>
        <r>
          <rPr>
            <sz val="8"/>
            <color indexed="81"/>
            <rFont val="Tahoma"/>
            <family val="2"/>
          </rPr>
          <t xml:space="preserve">
"Control practices were provided with a report of their process and outcome measures at baseline and were encouraged to continue usual quality improvement." pg 2</t>
        </r>
      </text>
    </comment>
    <comment ref="E100" authorId="0" shapeId="0" xr:uid="{00000000-0006-0000-0200-0000B3000000}">
      <text>
        <r>
          <rPr>
            <b/>
            <sz val="8"/>
            <color indexed="81"/>
            <rFont val="Tahoma"/>
            <family val="2"/>
          </rPr>
          <t>kdanko:</t>
        </r>
        <r>
          <rPr>
            <sz val="8"/>
            <color indexed="81"/>
            <rFont val="Tahoma"/>
            <family val="2"/>
          </rPr>
          <t xml:space="preserve">
Table 1: "Audit and feedback" pg 2</t>
        </r>
      </text>
    </comment>
    <comment ref="H100" authorId="0" shapeId="0" xr:uid="{00000000-0006-0000-0200-0000B4000000}">
      <text>
        <r>
          <rPr>
            <b/>
            <sz val="8"/>
            <color indexed="81"/>
            <rFont val="Tahoma"/>
            <family val="2"/>
          </rPr>
          <t>kdanko:</t>
        </r>
        <r>
          <rPr>
            <sz val="8"/>
            <color indexed="81"/>
            <rFont val="Tahoma"/>
            <family val="2"/>
          </rPr>
          <t xml:space="preserve">
Table 1: "Registry" pg 2</t>
        </r>
      </text>
    </comment>
    <comment ref="I100" authorId="0" shapeId="0" xr:uid="{00000000-0006-0000-0200-0000B5000000}">
      <text>
        <r>
          <rPr>
            <b/>
            <sz val="8"/>
            <color indexed="81"/>
            <rFont val="Tahoma"/>
            <family val="2"/>
          </rPr>
          <t>kdanko:</t>
        </r>
        <r>
          <rPr>
            <sz val="8"/>
            <color indexed="81"/>
            <rFont val="Tahoma"/>
            <family val="2"/>
          </rPr>
          <t xml:space="preserve">
Table 1: "Education" pg 2</t>
        </r>
      </text>
    </comment>
    <comment ref="J100" authorId="0" shapeId="0" xr:uid="{00000000-0006-0000-0200-0000B6000000}">
      <text>
        <r>
          <rPr>
            <b/>
            <sz val="8"/>
            <color indexed="81"/>
            <rFont val="Tahoma"/>
            <family val="2"/>
          </rPr>
          <t>kdanko:</t>
        </r>
        <r>
          <rPr>
            <sz val="8"/>
            <color indexed="81"/>
            <rFont val="Tahoma"/>
            <family val="2"/>
          </rPr>
          <t xml:space="preserve">
Table 1: "Notify and remind" pg 2</t>
        </r>
      </text>
    </comment>
    <comment ref="N100" authorId="0" shapeId="0" xr:uid="{00000000-0006-0000-0200-0000B7000000}">
      <text>
        <r>
          <rPr>
            <b/>
            <sz val="8"/>
            <color indexed="81"/>
            <rFont val="Tahoma"/>
            <family val="2"/>
          </rPr>
          <t>kdanko:</t>
        </r>
        <r>
          <rPr>
            <sz val="8"/>
            <color indexed="81"/>
            <rFont val="Tahoma"/>
            <family val="2"/>
          </rPr>
          <t xml:space="preserve">
Table 1: "Notify and remind" pg 2</t>
        </r>
      </text>
    </comment>
    <comment ref="E102" authorId="0" shapeId="0" xr:uid="{00000000-0006-0000-0200-0000B8000000}">
      <text>
        <r>
          <rPr>
            <b/>
            <sz val="8"/>
            <color indexed="81"/>
            <rFont val="Tahoma"/>
            <family val="2"/>
          </rPr>
          <t>kdanko:</t>
        </r>
        <r>
          <rPr>
            <sz val="8"/>
            <color indexed="81"/>
            <rFont val="Tahoma"/>
            <family val="2"/>
          </rPr>
          <t xml:space="preserve">
"benchmark reports" pg 3</t>
        </r>
      </text>
    </comment>
    <comment ref="F102" authorId="0" shapeId="0" xr:uid="{00000000-0006-0000-0200-0000B9000000}">
      <text>
        <r>
          <rPr>
            <b/>
            <sz val="8"/>
            <color indexed="81"/>
            <rFont val="Tahoma"/>
            <family val="2"/>
          </rPr>
          <t>kdanko:</t>
        </r>
        <r>
          <rPr>
            <sz val="8"/>
            <color indexed="81"/>
            <rFont val="Tahoma"/>
            <family val="2"/>
          </rPr>
          <t xml:space="preserve">
"With this real-time database, it was possible to give each patient specifically tailored treatment advice at the end of his or her visit. Where relevant, and as indicated by the CDSS, this could include patient education. The treatment changes were performed by the PN after they were approved by the PCP." pg 3</t>
        </r>
      </text>
    </comment>
    <comment ref="J102" authorId="0" shapeId="0" xr:uid="{00000000-0006-0000-0200-0000BA000000}">
      <text>
        <r>
          <rPr>
            <b/>
            <sz val="8"/>
            <color indexed="81"/>
            <rFont val="Tahoma"/>
            <family val="2"/>
          </rPr>
          <t>kdanko:</t>
        </r>
        <r>
          <rPr>
            <sz val="8"/>
            <color indexed="81"/>
            <rFont val="Tahoma"/>
            <family val="2"/>
          </rPr>
          <t xml:space="preserve">
"1) diabetes consultation
hour run by a practice nurse, 2) a CDSS
that contained a diagnostic and treatment
algorithm based on the Dutch type" pg. 1; "PN-led categorical diabetes
office hour using a new CDSS for diabetes care." pg. 2 Supplementary </t>
        </r>
      </text>
    </comment>
    <comment ref="N102" authorId="0" shapeId="0" xr:uid="{00000000-0006-0000-0200-0000BB000000}">
      <text>
        <r>
          <rPr>
            <b/>
            <sz val="8"/>
            <color indexed="81"/>
            <rFont val="Tahoma"/>
            <family val="2"/>
          </rPr>
          <t>kdanko:</t>
        </r>
        <r>
          <rPr>
            <sz val="8"/>
            <color indexed="81"/>
            <rFont val="Tahoma"/>
            <family val="2"/>
          </rPr>
          <t xml:space="preserve">
"recall system" pg 1; "Patients who
did not show received one reminder" pg. 2</t>
        </r>
      </text>
    </comment>
    <comment ref="F104" authorId="0" shapeId="0" xr:uid="{00000000-0006-0000-0200-0000BC000000}">
      <text>
        <r>
          <rPr>
            <b/>
            <sz val="8"/>
            <color indexed="81"/>
            <rFont val="Tahoma"/>
            <family val="2"/>
          </rPr>
          <t>kdanko:</t>
        </r>
        <r>
          <rPr>
            <sz val="8"/>
            <color indexed="81"/>
            <rFont val="Tahoma"/>
            <family val="2"/>
          </rPr>
          <t xml:space="preserve">
table 1: "Case manager model" pg 2</t>
        </r>
      </text>
    </comment>
    <comment ref="G104" authorId="0" shapeId="0" xr:uid="{00000000-0006-0000-0200-0000BD000000}">
      <text>
        <r>
          <rPr>
            <b/>
            <sz val="8"/>
            <color indexed="81"/>
            <rFont val="Tahoma"/>
            <family val="2"/>
          </rPr>
          <t>kdanko:</t>
        </r>
        <r>
          <rPr>
            <sz val="8"/>
            <color indexed="81"/>
            <rFont val="Tahoma"/>
            <family val="2"/>
          </rPr>
          <t xml:space="preserve">
pg 2 "adjusted hypoglycemic medications,"</t>
        </r>
      </text>
    </comment>
    <comment ref="H104" authorId="0" shapeId="0" xr:uid="{00000000-0006-0000-0200-0000BE000000}">
      <text>
        <r>
          <rPr>
            <b/>
            <sz val="8"/>
            <color indexed="81"/>
            <rFont val="Tahoma"/>
            <family val="2"/>
          </rPr>
          <t>kdanko:</t>
        </r>
        <r>
          <rPr>
            <sz val="8"/>
            <color indexed="81"/>
            <rFont val="Tahoma"/>
            <family val="2"/>
          </rPr>
          <t xml:space="preserve">
"Provided ongoing tracking and documentation of patients' needs and care…interactive electronic medical record" pg 2</t>
        </r>
      </text>
    </comment>
    <comment ref="J104" authorId="0" shapeId="0" xr:uid="{00000000-0006-0000-0200-0000BF000000}">
      <text>
        <r>
          <rPr>
            <b/>
            <sz val="8"/>
            <color indexed="81"/>
            <rFont val="Tahoma"/>
            <family val="2"/>
          </rPr>
          <t>kdanko:</t>
        </r>
        <r>
          <rPr>
            <sz val="8"/>
            <color indexed="81"/>
            <rFont val="Tahoma"/>
            <family val="2"/>
          </rPr>
          <t xml:space="preserve">
"Clinical reminders visible to both patient and provider" pg 2</t>
        </r>
      </text>
    </comment>
    <comment ref="K104" authorId="0" shapeId="0" xr:uid="{00000000-0006-0000-0200-0000C0000000}">
      <text>
        <r>
          <rPr>
            <b/>
            <sz val="8"/>
            <color indexed="81"/>
            <rFont val="Tahoma"/>
            <family val="2"/>
          </rPr>
          <t>kdanko:</t>
        </r>
        <r>
          <rPr>
            <sz val="8"/>
            <color indexed="81"/>
            <rFont val="Tahoma"/>
            <family val="2"/>
          </rPr>
          <t xml:space="preserve">
"…send blood glucose readings weekly…adjusted hypoglycemic medications" pg 2</t>
        </r>
      </text>
    </comment>
    <comment ref="M104" authorId="0" shapeId="0" xr:uid="{00000000-0006-0000-0200-0000C1000000}">
      <text>
        <r>
          <rPr>
            <b/>
            <sz val="8"/>
            <color indexed="81"/>
            <rFont val="Tahoma"/>
            <family val="2"/>
          </rPr>
          <t>kdanko:</t>
        </r>
        <r>
          <rPr>
            <sz val="8"/>
            <color indexed="81"/>
            <rFont val="Tahoma"/>
            <family val="2"/>
          </rPr>
          <t xml:space="preserve">
Table 1: "self-managemetn support" pg 2</t>
        </r>
      </text>
    </comment>
    <comment ref="N104" authorId="0" shapeId="0" xr:uid="{00000000-0006-0000-0200-0000C2000000}">
      <text>
        <r>
          <rPr>
            <b/>
            <sz val="8"/>
            <color indexed="81"/>
            <rFont val="Tahoma"/>
            <family val="2"/>
          </rPr>
          <t>kdanko:</t>
        </r>
        <r>
          <rPr>
            <sz val="8"/>
            <color indexed="81"/>
            <rFont val="Tahoma"/>
            <family val="2"/>
          </rPr>
          <t xml:space="preserve">
"Clinical reminders visible to both patient and provider" pg 2</t>
        </r>
      </text>
    </comment>
    <comment ref="L105" authorId="0" shapeId="0" xr:uid="{00000000-0006-0000-0200-0000C3000000}">
      <text>
        <r>
          <rPr>
            <b/>
            <sz val="8"/>
            <color indexed="81"/>
            <rFont val="Tahoma"/>
            <family val="2"/>
          </rPr>
          <t>kdanko:</t>
        </r>
        <r>
          <rPr>
            <sz val="8"/>
            <color indexed="81"/>
            <rFont val="Tahoma"/>
            <family val="2"/>
          </rPr>
          <t xml:space="preserve">
"They received a brief conventional description of diabetes mellitus and were instructed to learn about medical nutrition therapy by a diabetes education nurse" pg 3</t>
        </r>
      </text>
    </comment>
    <comment ref="F106" authorId="0" shapeId="0" xr:uid="{00000000-0006-0000-0200-0000C4000000}">
      <text>
        <r>
          <rPr>
            <b/>
            <sz val="8"/>
            <color indexed="81"/>
            <rFont val="Tahoma"/>
            <family val="2"/>
          </rPr>
          <t>kdanko:</t>
        </r>
        <r>
          <rPr>
            <sz val="8"/>
            <color indexed="81"/>
            <rFont val="Tahoma"/>
            <family val="2"/>
          </rPr>
          <t xml:space="preserve">
"Telephone counseling
was provided to the intervention group by a researcher." pg 2</t>
        </r>
      </text>
    </comment>
    <comment ref="L106" authorId="0" shapeId="0" xr:uid="{00000000-0006-0000-0200-0000C5000000}">
      <text>
        <r>
          <rPr>
            <b/>
            <sz val="8"/>
            <color indexed="81"/>
            <rFont val="Tahoma"/>
            <family val="2"/>
          </rPr>
          <t>kdanko:</t>
        </r>
        <r>
          <rPr>
            <sz val="8"/>
            <color indexed="81"/>
            <rFont val="Tahoma"/>
            <family val="2"/>
          </rPr>
          <t xml:space="preserve">
"educational group" pg 2; </t>
        </r>
      </text>
    </comment>
    <comment ref="M106" authorId="0" shapeId="0" xr:uid="{00000000-0006-0000-0200-0000C6000000}">
      <text>
        <r>
          <rPr>
            <b/>
            <sz val="8"/>
            <color indexed="81"/>
            <rFont val="Tahoma"/>
            <family val="2"/>
          </rPr>
          <t>kdanko:</t>
        </r>
        <r>
          <rPr>
            <sz val="8"/>
            <color indexed="81"/>
            <rFont val="Tahoma"/>
            <family val="2"/>
          </rPr>
          <t xml:space="preserve">
"The individual education session was structured
to promote SMBG" pg 2</t>
        </r>
      </text>
    </comment>
    <comment ref="L107" authorId="0" shapeId="0" xr:uid="{00000000-0006-0000-0200-0000C7000000}">
      <text>
        <r>
          <rPr>
            <b/>
            <sz val="8"/>
            <color indexed="81"/>
            <rFont val="Tahoma"/>
            <family val="2"/>
          </rPr>
          <t>kdanko:</t>
        </r>
        <r>
          <rPr>
            <sz val="8"/>
            <color indexed="81"/>
            <rFont val="Tahoma"/>
            <family val="2"/>
          </rPr>
          <t xml:space="preserve">
"received individual education sessions" pg 2</t>
        </r>
      </text>
    </comment>
    <comment ref="G108" authorId="0" shapeId="0" xr:uid="{00000000-0006-0000-0200-0000C8000000}">
      <text>
        <r>
          <rPr>
            <b/>
            <sz val="8"/>
            <color indexed="81"/>
            <rFont val="Tahoma"/>
            <family val="2"/>
          </rPr>
          <t>kdanko:</t>
        </r>
        <r>
          <rPr>
            <sz val="8"/>
            <color indexed="81"/>
            <rFont val="Tahoma"/>
            <family val="2"/>
          </rPr>
          <t xml:space="preserve">
"Briefly, traditional individual visits are substituted with group education sessions held every 3-4 months in which health operators (doctors, pedagogists, nurses, and dieticians) act as facilitators according to the methodological principles of adult learning" pg 2</t>
        </r>
      </text>
    </comment>
    <comment ref="L108" authorId="0" shapeId="0" xr:uid="{00000000-0006-0000-0200-0000C9000000}">
      <text>
        <r>
          <rPr>
            <b/>
            <sz val="8"/>
            <color indexed="81"/>
            <rFont val="Tahoma"/>
            <family val="2"/>
          </rPr>
          <t>kdanko:</t>
        </r>
        <r>
          <rPr>
            <sz val="8"/>
            <color indexed="81"/>
            <rFont val="Tahoma"/>
            <family val="2"/>
          </rPr>
          <t xml:space="preserve">
"...problem-solving exercises, real life simulations, role playing, and group discussions concerned with motivational aspects, acceptance of diabetes, psychosocial problems, and coping strategies." pg 2</t>
        </r>
      </text>
    </comment>
    <comment ref="M108" authorId="0" shapeId="0" xr:uid="{00000000-0006-0000-0200-0000CA000000}">
      <text>
        <r>
          <rPr>
            <b/>
            <sz val="8"/>
            <color indexed="81"/>
            <rFont val="Tahoma"/>
            <family val="2"/>
          </rPr>
          <t>kdanko:</t>
        </r>
        <r>
          <rPr>
            <sz val="8"/>
            <color indexed="81"/>
            <rFont val="Tahoma"/>
            <family val="2"/>
          </rPr>
          <t xml:space="preserve">
"...problem-solving exercises, real life simulations, role playing, and group discussions concerned with motivational aspects, acceptance of diabetes, psychosocial problems, and coping strategies." pg 2</t>
        </r>
      </text>
    </comment>
    <comment ref="E110" authorId="0" shapeId="0" xr:uid="{00000000-0006-0000-0200-0000CB000000}">
      <text>
        <r>
          <rPr>
            <b/>
            <sz val="8"/>
            <color indexed="81"/>
            <rFont val="Tahoma"/>
            <family val="2"/>
          </rPr>
          <t>kdanko:</t>
        </r>
        <r>
          <rPr>
            <sz val="8"/>
            <color indexed="81"/>
            <rFont val="Tahoma"/>
            <family val="2"/>
          </rPr>
          <t xml:space="preserve">
"Performance feedback was given 6 months
after the start of the intervention." pg 3</t>
        </r>
      </text>
    </comment>
    <comment ref="I110" authorId="0" shapeId="0" xr:uid="{00000000-0006-0000-0200-0000CC000000}">
      <text>
        <r>
          <rPr>
            <b/>
            <sz val="8"/>
            <color indexed="81"/>
            <rFont val="Tahoma"/>
            <family val="2"/>
          </rPr>
          <t>kdanko:</t>
        </r>
        <r>
          <rPr>
            <sz val="8"/>
            <color indexed="81"/>
            <rFont val="Tahoma"/>
            <family val="2"/>
          </rPr>
          <t xml:space="preserve">
"Intervention practices were encouraged to treat people with type 2 diabetes in accordance with the locally adapted shared care guidelines." pg 2; "hours. During these visits, they trained the GPs, practice assistants and nurses in the use of the guidelines, encouraged the introduction of structured diabetes care, emphasized the need for 3-monthly control and gave assistance in managing people with type
2 diabetes. Performance feedback was given 6 months after the start of the intervention." pg 3</t>
        </r>
      </text>
    </comment>
    <comment ref="L111" authorId="0" shapeId="0" xr:uid="{00000000-0006-0000-0200-0000CD000000}">
      <text>
        <r>
          <rPr>
            <b/>
            <sz val="8"/>
            <color indexed="81"/>
            <rFont val="Tahoma"/>
            <family val="2"/>
          </rPr>
          <t>kdanko:</t>
        </r>
        <r>
          <rPr>
            <sz val="8"/>
            <color indexed="81"/>
            <rFont val="Tahoma"/>
            <family val="2"/>
          </rPr>
          <t xml:space="preserve">
"All study participants were provided diabetes education materials used for monthly group lectures lead by experienced nutritionists from Huadong Hospital." pg 2</t>
        </r>
      </text>
    </comment>
    <comment ref="G112" authorId="0" shapeId="0" xr:uid="{00000000-0006-0000-0200-0000CE000000}">
      <text>
        <r>
          <rPr>
            <b/>
            <sz val="8"/>
            <color indexed="81"/>
            <rFont val="Tahoma"/>
            <family val="2"/>
          </rPr>
          <t>kdanko:</t>
        </r>
        <r>
          <rPr>
            <sz val="8"/>
            <color indexed="81"/>
            <rFont val="Tahoma"/>
            <family val="2"/>
          </rPr>
          <t xml:space="preserve">
"weekly sessions at their respective worksites...dietitian for diet consultations and a study physician from the company clinic" pg 2; </t>
        </r>
      </text>
    </comment>
    <comment ref="K112" authorId="0" shapeId="0" xr:uid="{00000000-0006-0000-0200-0000CF000000}">
      <text>
        <r>
          <rPr>
            <b/>
            <sz val="8"/>
            <color indexed="81"/>
            <rFont val="Tahoma"/>
            <family val="2"/>
          </rPr>
          <t>kdanko:</t>
        </r>
        <r>
          <rPr>
            <sz val="8"/>
            <color indexed="81"/>
            <rFont val="Tahoma"/>
            <family val="2"/>
          </rPr>
          <t xml:space="preserve">
"a review of blood glucose measurements" pg 2</t>
        </r>
      </text>
    </comment>
    <comment ref="L112" authorId="0" shapeId="0" xr:uid="{00000000-0006-0000-0200-0000D0000000}">
      <text>
        <r>
          <rPr>
            <b/>
            <sz val="8"/>
            <color indexed="81"/>
            <rFont val="Tahoma"/>
            <family val="2"/>
          </rPr>
          <t>kdanko:</t>
        </r>
        <r>
          <rPr>
            <sz val="8"/>
            <color indexed="81"/>
            <rFont val="Tahoma"/>
            <family val="2"/>
          </rPr>
          <t xml:space="preserve">
"All study participants were provided diabetes education materials used for monthly group lectures lead by experienced nutritionists from Huadong Hospital." pg 2</t>
        </r>
      </text>
    </comment>
    <comment ref="M112" authorId="0" shapeId="0" xr:uid="{00000000-0006-0000-0200-0000D1000000}">
      <text>
        <r>
          <rPr>
            <b/>
            <sz val="8"/>
            <color indexed="81"/>
            <rFont val="Tahoma"/>
            <family val="2"/>
          </rPr>
          <t>kdanko:</t>
        </r>
        <r>
          <rPr>
            <sz val="8"/>
            <color indexed="81"/>
            <rFont val="Tahoma"/>
            <family val="2"/>
          </rPr>
          <t xml:space="preserve">
"with blood glucose monitors (OptiumTM, Medisense, Abbott Diabetes Care, Alameda,
CA) and accessories to encourage frequent testing." pg 2</t>
        </r>
      </text>
    </comment>
    <comment ref="G114" authorId="0" shapeId="0" xr:uid="{00000000-0006-0000-0200-0000D2000000}">
      <text>
        <r>
          <rPr>
            <b/>
            <sz val="8"/>
            <color indexed="81"/>
            <rFont val="Tahoma"/>
            <family val="2"/>
          </rPr>
          <t>kdanko:</t>
        </r>
        <r>
          <rPr>
            <sz val="8"/>
            <color indexed="81"/>
            <rFont val="Tahoma"/>
            <family val="2"/>
          </rPr>
          <t xml:space="preserve">
"research pharmacist for four consecutive visits at 2-month intervals. Each visit was on the same date as the physician’s appointment" pg 2</t>
        </r>
      </text>
    </comment>
    <comment ref="L114" authorId="0" shapeId="0" xr:uid="{00000000-0006-0000-0200-0000D3000000}">
      <text>
        <r>
          <rPr>
            <b/>
            <sz val="8"/>
            <color indexed="81"/>
            <rFont val="Tahoma"/>
            <family val="2"/>
          </rPr>
          <t>kdanko:</t>
        </r>
        <r>
          <rPr>
            <sz val="8"/>
            <color indexed="81"/>
            <rFont val="Tahoma"/>
            <family val="2"/>
          </rPr>
          <t xml:space="preserve">
"Education on diabetes which included appropriate lifestyles and correct diet was also provided apart from a companion diabetic pamphlet which covered the diabetic complications, the targets of treating diabetes, lifestyle change, and antidiabetic medications." pg 2</t>
        </r>
      </text>
    </comment>
    <comment ref="N114" authorId="0" shapeId="0" xr:uid="{00000000-0006-0000-0200-0000D4000000}">
      <text>
        <r>
          <rPr>
            <b/>
            <sz val="8"/>
            <color indexed="81"/>
            <rFont val="Tahoma"/>
            <family val="2"/>
          </rPr>
          <t>kdanko:</t>
        </r>
        <r>
          <rPr>
            <sz val="8"/>
            <color indexed="81"/>
            <rFont val="Tahoma"/>
            <family val="2"/>
          </rPr>
          <t xml:space="preserve">
"to avoid a missed appointment, a health personnel coordinator attached to the primary health care centre in the area, where a patient was living, reminded the patients of the scheduled visit 3 days prior to each visit date. At each visit, the research pharmacist refilled prescriptions" pg 2</t>
        </r>
      </text>
    </comment>
    <comment ref="H116" authorId="0" shapeId="0" xr:uid="{00000000-0006-0000-0200-0000D5000000}">
      <text>
        <r>
          <rPr>
            <b/>
            <sz val="8"/>
            <color indexed="81"/>
            <rFont val="Tahoma"/>
            <family val="2"/>
          </rPr>
          <t>kdanko:</t>
        </r>
        <r>
          <rPr>
            <sz val="8"/>
            <color indexed="81"/>
            <rFont val="Tahoma"/>
            <family val="2"/>
          </rPr>
          <t xml:space="preserve">
"The DM PHR included a medications module component that allowed patients to review their medication lists from the EMR" pg 2</t>
        </r>
      </text>
    </comment>
    <comment ref="K116" authorId="0" shapeId="0" xr:uid="{00000000-0006-0000-0200-0000D6000000}">
      <text>
        <r>
          <rPr>
            <b/>
            <sz val="8"/>
            <color indexed="81"/>
            <rFont val="Tahoma"/>
            <family val="2"/>
          </rPr>
          <t>kdanko:</t>
        </r>
        <r>
          <rPr>
            <sz val="8"/>
            <color indexed="81"/>
            <rFont val="Tahoma"/>
            <family val="2"/>
          </rPr>
          <t xml:space="preserve">
"care plan was submitted directly to the EMR used by the patient’s PCP and could also be printed by the patient and brought to the upcoming appointment." pg 2</t>
        </r>
      </text>
    </comment>
    <comment ref="M116" authorId="0" shapeId="0" xr:uid="{00000000-0006-0000-0200-0000D7000000}">
      <text>
        <r>
          <rPr>
            <b/>
            <sz val="8"/>
            <color indexed="81"/>
            <rFont val="Tahoma"/>
            <family val="2"/>
          </rPr>
          <t>kdanko:</t>
        </r>
        <r>
          <rPr>
            <sz val="8"/>
            <color indexed="81"/>
            <rFont val="Tahoma"/>
            <family val="2"/>
          </rPr>
          <t xml:space="preserve">
"generate a “Diabetes Care Plan” based on patients’ responses to share with their PCP at the upcoming clinic visit (to facilitate communication and reduce clinical inertia)." pg 2</t>
        </r>
      </text>
    </comment>
    <comment ref="I117" authorId="0" shapeId="0" xr:uid="{00000000-0006-0000-0200-0000D8000000}">
      <text>
        <r>
          <rPr>
            <b/>
            <sz val="8"/>
            <color indexed="81"/>
            <rFont val="Tahoma"/>
            <family val="2"/>
          </rPr>
          <t>kdanko:</t>
        </r>
        <r>
          <rPr>
            <sz val="8"/>
            <color indexed="81"/>
            <rFont val="Tahoma"/>
            <family val="2"/>
          </rPr>
          <t xml:space="preserve">
"Control groups received periodic generic information via e-mail about cardiovascular risk reduction in diabetes." pg 3</t>
        </r>
      </text>
    </comment>
    <comment ref="H118" authorId="0" shapeId="0" xr:uid="{00000000-0006-0000-0200-0000D9000000}">
      <text>
        <r>
          <rPr>
            <b/>
            <sz val="8"/>
            <color indexed="81"/>
            <rFont val="Tahoma"/>
            <family val="2"/>
          </rPr>
          <t>kdanko:</t>
        </r>
        <r>
          <rPr>
            <sz val="8"/>
            <color indexed="81"/>
            <rFont val="Tahoma"/>
            <family val="2"/>
          </rPr>
          <t xml:space="preserve">
"the electronic medical record" pg 2</t>
        </r>
      </text>
    </comment>
    <comment ref="I118" authorId="0" shapeId="0" xr:uid="{00000000-0006-0000-0200-0000DA000000}">
      <text>
        <r>
          <rPr>
            <b/>
            <sz val="8"/>
            <color indexed="81"/>
            <rFont val="Tahoma"/>
            <family val="2"/>
          </rPr>
          <t>kdanko:</t>
        </r>
        <r>
          <rPr>
            <sz val="8"/>
            <color indexed="81"/>
            <rFont val="Tahoma"/>
            <family val="2"/>
          </rPr>
          <t xml:space="preserve">
"The resulting messages were brief, fully referenced (including links to longer abstracts that highlighted methodological quality and results and to the full
text of publications), and linked to local (eg, Institute for Clinical Systems Improvement) and national guidelines (Figure 1)." pg 3</t>
        </r>
      </text>
    </comment>
    <comment ref="J118" authorId="0" shapeId="0" xr:uid="{00000000-0006-0000-0200-0000DB000000}">
      <text>
        <r>
          <rPr>
            <b/>
            <sz val="8"/>
            <color indexed="81"/>
            <rFont val="Tahoma"/>
            <family val="2"/>
          </rPr>
          <t>kdanko:</t>
        </r>
        <r>
          <rPr>
            <sz val="8"/>
            <color indexed="81"/>
            <rFont val="Tahoma"/>
            <family val="2"/>
          </rPr>
          <t xml:space="preserve">
"electronic library of messages" pg 2</t>
        </r>
      </text>
    </comment>
    <comment ref="J120" authorId="0" shapeId="0" xr:uid="{00000000-0006-0000-0200-0000DC000000}">
      <text>
        <r>
          <rPr>
            <b/>
            <sz val="8"/>
            <color indexed="81"/>
            <rFont val="Tahoma"/>
            <family val="2"/>
          </rPr>
          <t>kdanko:</t>
        </r>
        <r>
          <rPr>
            <sz val="8"/>
            <color indexed="81"/>
            <rFont val="Tahoma"/>
            <family val="2"/>
          </rPr>
          <t xml:space="preserve">
"The technology is an interactive informational feedback system that uses wireless remote technology to provide tailored feedback and reminders, based on patient-specific data, to patients and providers via messages on cellular phones." pg 2</t>
        </r>
      </text>
    </comment>
    <comment ref="K120" authorId="0" shapeId="0" xr:uid="{00000000-0006-0000-0200-0000DD000000}">
      <text>
        <r>
          <rPr>
            <b/>
            <sz val="8"/>
            <color indexed="81"/>
            <rFont val="Tahoma"/>
            <family val="2"/>
          </rPr>
          <t>kdanko:</t>
        </r>
        <r>
          <rPr>
            <sz val="8"/>
            <color indexed="81"/>
            <rFont val="Tahoma"/>
            <family val="2"/>
          </rPr>
          <t xml:space="preserve">
"The technology is an interactive informational feedback system that uses wireless remote technology to provide tailored feedback and reminders, based on patient-specific data, to patients and providers via messages on cellular phones." pg 2</t>
        </r>
      </text>
    </comment>
    <comment ref="M120" authorId="0" shapeId="0" xr:uid="{00000000-0006-0000-0200-0000DE000000}">
      <text>
        <r>
          <rPr>
            <b/>
            <sz val="8"/>
            <color indexed="81"/>
            <rFont val="Tahoma"/>
            <family val="2"/>
          </rPr>
          <t>kdanko:</t>
        </r>
        <r>
          <rPr>
            <sz val="8"/>
            <color indexed="81"/>
            <rFont val="Tahoma"/>
            <family val="2"/>
          </rPr>
          <t xml:space="preserve">
"glucose once daily (upon awakening) and
wear their pedometers during the day." pg 2; "diabetes self-management and tracked their step count using a pedometer." pg 2</t>
        </r>
      </text>
    </comment>
    <comment ref="N120" authorId="0" shapeId="0" xr:uid="{00000000-0006-0000-0200-0000DF000000}">
      <text>
        <r>
          <rPr>
            <b/>
            <sz val="8"/>
            <color indexed="81"/>
            <rFont val="Tahoma"/>
            <family val="2"/>
          </rPr>
          <t>kdanko:</t>
        </r>
        <r>
          <rPr>
            <sz val="8"/>
            <color indexed="81"/>
            <rFont val="Tahoma"/>
            <family val="2"/>
          </rPr>
          <t xml:space="preserve">
"The technology is an interactive informational feedback system that uses wireless remote technology to provide tailored feedback and reminders, based on patient-specific data, to patients and providers via messages on cellular phones." pg 2</t>
        </r>
      </text>
    </comment>
    <comment ref="H121" authorId="0" shapeId="0" xr:uid="{00000000-0006-0000-0200-0000E0000000}">
      <text>
        <r>
          <rPr>
            <b/>
            <sz val="8"/>
            <color indexed="81"/>
            <rFont val="Tahoma"/>
            <family val="2"/>
          </rPr>
          <t>kdanko:</t>
        </r>
        <r>
          <rPr>
            <sz val="8"/>
            <color indexed="81"/>
            <rFont val="Tahoma"/>
            <family val="2"/>
          </rPr>
          <t xml:space="preserve">
"an electronic note for a clinical encounter or entered the order writing portion of the EMR" pg 2</t>
        </r>
      </text>
    </comment>
    <comment ref="J121" authorId="0" shapeId="0" xr:uid="{00000000-0006-0000-0200-0000E1000000}">
      <text>
        <r>
          <rPr>
            <b/>
            <sz val="8"/>
            <color indexed="81"/>
            <rFont val="Tahoma"/>
            <family val="2"/>
          </rPr>
          <t>kdanko:</t>
        </r>
        <r>
          <rPr>
            <sz val="8"/>
            <color indexed="81"/>
            <rFont val="Tahoma"/>
            <family val="2"/>
          </rPr>
          <t xml:space="preserve">
"“The American Diabetes Association recommends aspirin for adults with diabetes at increased risk for heart disease.” The reminder-only group patients received no other intervention." pg 2; "a new computerized reminder" pg. 2</t>
        </r>
      </text>
    </comment>
    <comment ref="H122" authorId="0" shapeId="0" xr:uid="{00000000-0006-0000-0200-0000E2000000}">
      <text>
        <r>
          <rPr>
            <b/>
            <sz val="8"/>
            <color indexed="81"/>
            <rFont val="Tahoma"/>
            <family val="2"/>
          </rPr>
          <t>kdanko:</t>
        </r>
        <r>
          <rPr>
            <sz val="8"/>
            <color indexed="81"/>
            <rFont val="Tahoma"/>
            <family val="2"/>
          </rPr>
          <t xml:space="preserve">
"an electronic note for a clinical encounter or entered the order writing portion of the EMR" pg 2</t>
        </r>
      </text>
    </comment>
    <comment ref="J122" authorId="0" shapeId="0" xr:uid="{00000000-0006-0000-0200-0000E3000000}">
      <text>
        <r>
          <rPr>
            <b/>
            <sz val="8"/>
            <color indexed="81"/>
            <rFont val="Tahoma"/>
            <family val="2"/>
          </rPr>
          <t>kdanko:</t>
        </r>
        <r>
          <rPr>
            <sz val="8"/>
            <color indexed="81"/>
            <rFont val="Tahoma"/>
            <family val="2"/>
          </rPr>
          <t xml:space="preserve">
"“The American Diabetes Association recommends aspirin for adults with diabetes at increased risk for heart disease.” The reminder-only group patients received no other intervention." pg 2; "a new computerized reminder" pg. 2</t>
        </r>
      </text>
    </comment>
    <comment ref="L122" authorId="0" shapeId="0" xr:uid="{00000000-0006-0000-0200-0000E4000000}">
      <text>
        <r>
          <rPr>
            <b/>
            <sz val="8"/>
            <color indexed="81"/>
            <rFont val="Tahoma"/>
            <family val="2"/>
          </rPr>
          <t>kdanko:</t>
        </r>
        <r>
          <rPr>
            <sz val="8"/>
            <color indexed="81"/>
            <rFont val="Tahoma"/>
            <family val="2"/>
          </rPr>
          <t xml:space="preserve">
"patient a letter from his or her doctor explaining the rationale for aspirin use, describing possible side effects, listing potential contraindications, and telling
patients a nurse would call to discuss aspirin" pg 2</t>
        </r>
      </text>
    </comment>
    <comment ref="N122" authorId="0" shapeId="0" xr:uid="{00000000-0006-0000-0200-0000E5000000}">
      <text>
        <r>
          <rPr>
            <b/>
            <sz val="8"/>
            <color indexed="81"/>
            <rFont val="Tahoma"/>
            <family val="2"/>
          </rPr>
          <t>kdanko:</t>
        </r>
        <r>
          <rPr>
            <sz val="8"/>
            <color indexed="81"/>
            <rFont val="Tahoma"/>
            <family val="2"/>
          </rPr>
          <t xml:space="preserve">
"A nurse practitioner[T.A.D.-D.] attempted to call at least three times and, when possible, left a message for patients to call." pg 2</t>
        </r>
      </text>
    </comment>
    <comment ref="G124" authorId="0" shapeId="0" xr:uid="{00000000-0006-0000-0200-0000E6000000}">
      <text>
        <r>
          <rPr>
            <b/>
            <sz val="8"/>
            <color indexed="81"/>
            <rFont val="Tahoma"/>
            <family val="2"/>
          </rPr>
          <t>kdanko:</t>
        </r>
        <r>
          <rPr>
            <sz val="8"/>
            <color indexed="81"/>
            <rFont val="Tahoma"/>
            <family val="2"/>
          </rPr>
          <t xml:space="preserve">
"Patients in the intensive group were treated by a project team( doctor, nurse, and dietician) at Steno Diabetes Center." pg 2 supplementary paper</t>
        </r>
      </text>
    </comment>
    <comment ref="F126" authorId="0" shapeId="0" xr:uid="{00000000-0006-0000-0200-0000E7000000}">
      <text>
        <r>
          <rPr>
            <b/>
            <sz val="8"/>
            <color indexed="81"/>
            <rFont val="Tahoma"/>
            <family val="2"/>
          </rPr>
          <t>kdanko:</t>
        </r>
        <r>
          <rPr>
            <sz val="8"/>
            <color indexed="81"/>
            <rFont val="Tahoma"/>
            <family val="2"/>
          </rPr>
          <t xml:space="preserve">
"The researchers were endocrinologists and a professor at a nursing college" pg 2</t>
        </r>
      </text>
    </comment>
    <comment ref="G126" authorId="0" shapeId="0" xr:uid="{00000000-0006-0000-0200-0000E8000000}">
      <text>
        <r>
          <rPr>
            <b/>
            <sz val="8"/>
            <color indexed="81"/>
            <rFont val="Tahoma"/>
            <family val="2"/>
          </rPr>
          <t>kdanko:</t>
        </r>
        <r>
          <rPr>
            <sz val="8"/>
            <color indexed="81"/>
            <rFont val="Tahoma"/>
            <family val="2"/>
          </rPr>
          <t xml:space="preserve">
"The researchers were endocrinologists and a professor at a nursing college" pg 2</t>
        </r>
      </text>
    </comment>
    <comment ref="H126" authorId="0" shapeId="0" xr:uid="{00000000-0006-0000-0200-0000E9000000}">
      <text>
        <r>
          <rPr>
            <b/>
            <sz val="8"/>
            <color indexed="81"/>
            <rFont val="Tahoma"/>
            <family val="2"/>
          </rPr>
          <t>kdanko:</t>
        </r>
        <r>
          <rPr>
            <sz val="8"/>
            <color indexed="81"/>
            <rFont val="Tahoma"/>
            <family val="2"/>
          </rPr>
          <t xml:space="preserve">
"Patients were able to see the recommendations from their physicians and nurses, as well as the laboratory data, on our website." pg 2</t>
        </r>
      </text>
    </comment>
    <comment ref="K126" authorId="0" shapeId="0" xr:uid="{00000000-0006-0000-0200-0000EA000000}">
      <text>
        <r>
          <rPr>
            <b/>
            <sz val="8"/>
            <color indexed="81"/>
            <rFont val="Tahoma"/>
            <family val="2"/>
          </rPr>
          <t>kdanko:</t>
        </r>
        <r>
          <rPr>
            <sz val="8"/>
            <color indexed="81"/>
            <rFont val="Tahoma"/>
            <family val="2"/>
          </rPr>
          <t xml:space="preserve">
"researchers sent optimal recommendations back to each patient, weekly, by a SMS through cellular phone and wired Internet" pg 2; "researchers could adjust medications after reviewing the blood glucose log and discussing glucose values with the patients" pg. 3</t>
        </r>
      </text>
    </comment>
    <comment ref="L126" authorId="0" shapeId="0" xr:uid="{00000000-0006-0000-0200-0000EB000000}">
      <text>
        <r>
          <rPr>
            <b/>
            <sz val="8"/>
            <color indexed="81"/>
            <rFont val="Tahoma"/>
            <family val="2"/>
          </rPr>
          <t>kdanko:</t>
        </r>
        <r>
          <rPr>
            <sz val="8"/>
            <color indexed="81"/>
            <rFont val="Tahoma"/>
            <family val="2"/>
          </rPr>
          <t xml:space="preserve">
"continuous education" pg 3</t>
        </r>
      </text>
    </comment>
    <comment ref="M126" authorId="0" shapeId="0" xr:uid="{00000000-0006-0000-0200-0000EC000000}">
      <text>
        <r>
          <rPr>
            <b/>
            <sz val="8"/>
            <color indexed="81"/>
            <rFont val="Tahoma"/>
            <family val="2"/>
          </rPr>
          <t>kdanko:</t>
        </r>
        <r>
          <rPr>
            <sz val="8"/>
            <color indexed="81"/>
            <rFont val="Tahoma"/>
            <family val="2"/>
          </rPr>
          <t xml:space="preserve">
"self-monitoring of blood glucose levels" pg 3</t>
        </r>
      </text>
    </comment>
    <comment ref="N126" authorId="0" shapeId="0" xr:uid="{00000000-0006-0000-0200-0000ED000000}">
      <text>
        <r>
          <rPr>
            <b/>
            <sz val="8"/>
            <color indexed="81"/>
            <rFont val="Tahoma"/>
            <family val="2"/>
          </rPr>
          <t>kdanko:</t>
        </r>
        <r>
          <rPr>
            <sz val="8"/>
            <color indexed="81"/>
            <rFont val="Tahoma"/>
            <family val="2"/>
          </rPr>
          <t xml:space="preserve">
"If a patient had not forwarded a blood glucose level for more than 1 week, a warning message was sent. If, despite warning messages, individuals had not recorded glucose levels for more than four consecutive weeks, they were withdrawn from the intervention group." pg 3</t>
        </r>
      </text>
    </comment>
    <comment ref="L127" authorId="0" shapeId="0" xr:uid="{00000000-0006-0000-0200-0000EE000000}">
      <text>
        <r>
          <rPr>
            <b/>
            <sz val="8"/>
            <color indexed="81"/>
            <rFont val="Tahoma"/>
            <family val="2"/>
          </rPr>
          <t>kdanko:</t>
        </r>
        <r>
          <rPr>
            <sz val="8"/>
            <color indexed="81"/>
            <rFont val="Tahoma"/>
            <family val="2"/>
          </rPr>
          <t xml:space="preserve">
"a packet of health education materials at the baseline visit addressing diabetes, diet, and exercise" pg. 3</t>
        </r>
      </text>
    </comment>
    <comment ref="J128" authorId="0" shapeId="0" xr:uid="{00000000-0006-0000-0200-0000EF000000}">
      <text>
        <r>
          <rPr>
            <b/>
            <sz val="8"/>
            <color indexed="81"/>
            <rFont val="Tahoma"/>
            <family val="2"/>
          </rPr>
          <t>kdanko:</t>
        </r>
        <r>
          <rPr>
            <sz val="8"/>
            <color indexed="81"/>
            <rFont val="Tahoma"/>
            <family val="2"/>
          </rPr>
          <t xml:space="preserve">
"During a regularly scheduled study-related visit, intervention patients met with their physician who discussed the patient’s tailored lifestyle change goals and provided encouragement in attaining these goals. Neither physicians nor patients could be blinded to the intervention assignment" pg. 3; diabetes. "At each 3-month visit...patients assigned to the intervention group
reviewed their goal sheet with their physician" pg 3</t>
        </r>
      </text>
    </comment>
    <comment ref="K128" authorId="0" shapeId="0" xr:uid="{00000000-0006-0000-0200-0000F0000000}">
      <text>
        <r>
          <rPr>
            <b/>
            <sz val="8"/>
            <color indexed="81"/>
            <rFont val="Tahoma"/>
            <family val="2"/>
          </rPr>
          <t>kdanko:</t>
        </r>
        <r>
          <rPr>
            <sz val="8"/>
            <color indexed="81"/>
            <rFont val="Tahoma"/>
            <family val="2"/>
          </rPr>
          <t xml:space="preserve">
"The computer expert system also generated a companion report for the patient’s physician, which included a brief, bulleted summary of the findings from the patient’s assessment (ie, priority change areas and perceived barriers to change) and provided the physician with patient-specific counseling recommendations." pg. 3; "At each 3-month visit...patients assigned to the intervention group reviewed their goal sheet with their physician" pg 3</t>
        </r>
      </text>
    </comment>
    <comment ref="L128" authorId="0" shapeId="0" xr:uid="{00000000-0006-0000-0200-0000F1000000}">
      <text>
        <r>
          <rPr>
            <b/>
            <sz val="8"/>
            <color indexed="81"/>
            <rFont val="Tahoma"/>
            <family val="2"/>
          </rPr>
          <t>kdanko:</t>
        </r>
        <r>
          <rPr>
            <sz val="8"/>
            <color indexed="81"/>
            <rFont val="Tahoma"/>
            <family val="2"/>
          </rPr>
          <t xml:space="preserve">
"In addition, intervention group patients were given a 30-page planning guide that provided supplemental information on diabetes and achieving a healthy lifestyle." pg. 2</t>
        </r>
      </text>
    </comment>
    <comment ref="M128" authorId="0" shapeId="0" xr:uid="{00000000-0006-0000-0200-0000F2000000}">
      <text>
        <r>
          <rPr>
            <b/>
            <sz val="8"/>
            <color indexed="81"/>
            <rFont val="Tahoma"/>
            <family val="2"/>
          </rPr>
          <t>kdanko:</t>
        </r>
        <r>
          <rPr>
            <sz val="8"/>
            <color indexed="81"/>
            <rFont val="Tahoma"/>
            <family val="2"/>
          </rPr>
          <t xml:space="preserve">
"In the intervention group, self-management goals for nutrition and physical activity were set using a tailored computer program." pg. 1; "Prior to the baseline clinic visit, intervention patients read their report and listed 2 or 3 dietary and/or physical activity self-management goals they wanted to achieve." pg. 2</t>
        </r>
      </text>
    </comment>
    <comment ref="E130" authorId="0" shapeId="0" xr:uid="{00000000-0006-0000-0200-0000F3000000}">
      <text>
        <r>
          <rPr>
            <b/>
            <sz val="8"/>
            <color indexed="81"/>
            <rFont val="Tahoma"/>
            <family val="2"/>
          </rPr>
          <t>kdanko:</t>
        </r>
        <r>
          <rPr>
            <sz val="8"/>
            <color indexed="81"/>
            <rFont val="Tahoma"/>
            <family val="2"/>
          </rPr>
          <t xml:space="preserve">
"benchmarked feedback on its introduction and use. We discussed the feedback reports personally with the practice professionals." pg 2</t>
        </r>
      </text>
    </comment>
    <comment ref="I130" authorId="0" shapeId="0" xr:uid="{00000000-0006-0000-0200-0000F4000000}">
      <text>
        <r>
          <rPr>
            <b/>
            <sz val="8"/>
            <color indexed="81"/>
            <rFont val="Tahoma"/>
            <family val="2"/>
          </rPr>
          <t>kdanko:</t>
        </r>
        <r>
          <rPr>
            <sz val="8"/>
            <color indexed="81"/>
            <rFont val="Tahoma"/>
            <family val="2"/>
          </rPr>
          <t xml:space="preserve">
"discussed the current practice procedures for diabetes care with the staff." pg 2</t>
        </r>
      </text>
    </comment>
    <comment ref="K130" authorId="0" shapeId="0" xr:uid="{00000000-0006-0000-0200-0000F5000000}">
      <text>
        <r>
          <rPr>
            <b/>
            <sz val="8"/>
            <color indexed="81"/>
            <rFont val="Tahoma"/>
            <family val="2"/>
          </rPr>
          <t>kdanko:</t>
        </r>
        <r>
          <rPr>
            <sz val="8"/>
            <color indexed="81"/>
            <rFont val="Tahoma"/>
            <family val="2"/>
          </rPr>
          <t xml:space="preserve">
"diabetes passports" pg 1</t>
        </r>
      </text>
    </comment>
    <comment ref="I131" authorId="0" shapeId="0" xr:uid="{00000000-0006-0000-0200-0000F6000000}">
      <text>
        <r>
          <rPr>
            <b/>
            <sz val="8"/>
            <color indexed="81"/>
            <rFont val="Tahoma"/>
            <family val="2"/>
          </rPr>
          <t>kdanko:</t>
        </r>
        <r>
          <rPr>
            <sz val="8"/>
            <color indexed="81"/>
            <rFont val="Tahoma"/>
            <family val="2"/>
          </rPr>
          <t xml:space="preserve">
"All residents had access to the ‘Electronic Curriculum for Diabetes Care’ generated and maintained by the Residency Program." pg 2</t>
        </r>
      </text>
    </comment>
    <comment ref="E132" authorId="0" shapeId="0" xr:uid="{00000000-0006-0000-0200-0000F7000000}">
      <text>
        <r>
          <rPr>
            <b/>
            <sz val="8"/>
            <color indexed="81"/>
            <rFont val="Tahoma"/>
            <family val="2"/>
          </rPr>
          <t>kdanko:</t>
        </r>
        <r>
          <rPr>
            <sz val="8"/>
            <color indexed="81"/>
            <rFont val="Tahoma"/>
            <family val="2"/>
          </rPr>
          <t xml:space="preserve">
"Audit, Feedback" pg 1</t>
        </r>
      </text>
    </comment>
    <comment ref="H132" authorId="0" shapeId="0" xr:uid="{00000000-0006-0000-0200-0000F8000000}">
      <text>
        <r>
          <rPr>
            <b/>
            <sz val="8"/>
            <color indexed="81"/>
            <rFont val="Tahoma"/>
            <family val="2"/>
          </rPr>
          <t>kdanko:</t>
        </r>
        <r>
          <rPr>
            <sz val="8"/>
            <color indexed="81"/>
            <rFont val="Tahoma"/>
            <family val="2"/>
          </rPr>
          <t xml:space="preserve">
"registry-generated" pg 1</t>
        </r>
      </text>
    </comment>
    <comment ref="I132" authorId="0" shapeId="0" xr:uid="{00000000-0006-0000-0200-0000F9000000}">
      <text>
        <r>
          <rPr>
            <b/>
            <sz val="8"/>
            <color indexed="81"/>
            <rFont val="Tahoma"/>
            <family val="2"/>
          </rPr>
          <t>kdanko:</t>
        </r>
        <r>
          <rPr>
            <sz val="8"/>
            <color indexed="81"/>
            <rFont val="Tahoma"/>
            <family val="2"/>
          </rPr>
          <t xml:space="preserve">
"All residents had access to the ‘Electronic Curriculum for Diabetes Care’ generated and maintained by the Residency Program." pg 2</t>
        </r>
      </text>
    </comment>
    <comment ref="N132" authorId="0" shapeId="0" xr:uid="{00000000-0006-0000-0200-0000FA000000}">
      <text>
        <r>
          <rPr>
            <b/>
            <sz val="8"/>
            <color indexed="81"/>
            <rFont val="Tahoma"/>
            <family val="2"/>
          </rPr>
          <t>kdanko:</t>
        </r>
        <r>
          <rPr>
            <sz val="8"/>
            <color indexed="81"/>
            <rFont val="Tahoma"/>
            <family val="2"/>
          </rPr>
          <t xml:space="preserve">
"patient reminder" pg 1</t>
        </r>
      </text>
    </comment>
    <comment ref="H133" authorId="0" shapeId="0" xr:uid="{00000000-0006-0000-0200-0000FB000000}">
      <text>
        <r>
          <rPr>
            <b/>
            <sz val="8"/>
            <color indexed="81"/>
            <rFont val="Tahoma"/>
            <family val="2"/>
          </rPr>
          <t>kdanko:</t>
        </r>
        <r>
          <rPr>
            <sz val="8"/>
            <color indexed="81"/>
            <rFont val="Tahoma"/>
            <family val="2"/>
          </rPr>
          <t xml:space="preserve">
"KADIS-based decision support: Patient-centered KADIS decision support was generated in SIX sleps: I) lnput of CGMS profile and self-colllrol dala (time and amount of food intake and insulin therapy), 2) identification of patient-specific model parameters and analysis of actual weak poims. 3) simulation of glycemic effects of BUs and insulin therapies (dosage, type, and timing) according to the International Diabetes Foundation global and German guidelines (19,20) 4) generation ofKAOIS-based recommendations 5) presentation of the results in a KADIS report visualizing weak points of glycemic control and detailing carboyhydrates (amount and time of illlake) and insulin (dosage, time, and type) required in silico to optimize the blood glucose curve of the patient and 6) application for therapeutic decisions by the physician." pg 3</t>
        </r>
      </text>
    </comment>
    <comment ref="K133" authorId="0" shapeId="0" xr:uid="{00000000-0006-0000-0200-0000FC000000}">
      <text>
        <r>
          <rPr>
            <b/>
            <sz val="8"/>
            <color indexed="81"/>
            <rFont val="Tahoma"/>
            <family val="2"/>
          </rPr>
          <t>kdanko:</t>
        </r>
        <r>
          <rPr>
            <sz val="8"/>
            <color indexed="81"/>
            <rFont val="Tahoma"/>
            <family val="2"/>
          </rPr>
          <t xml:space="preserve">
"Dependmg on the group to which the patient belonged, physicians received eilher CGMS data alone or CGMS data plus KADIS decision support report." pg 2</t>
        </r>
      </text>
    </comment>
    <comment ref="M133" authorId="0" shapeId="0" xr:uid="{00000000-0006-0000-0200-0000FD000000}">
      <text>
        <r>
          <rPr>
            <b/>
            <sz val="8"/>
            <color indexed="81"/>
            <rFont val="Tahoma"/>
            <family val="2"/>
          </rPr>
          <t>kdanko:</t>
        </r>
        <r>
          <rPr>
            <sz val="8"/>
            <color indexed="81"/>
            <rFont val="Tahoma"/>
            <family val="2"/>
          </rPr>
          <t xml:space="preserve">
"CGMS monitonng" pg 2</t>
        </r>
      </text>
    </comment>
    <comment ref="H134" authorId="0" shapeId="0" xr:uid="{00000000-0006-0000-0200-0000FE000000}">
      <text>
        <r>
          <rPr>
            <b/>
            <sz val="8"/>
            <color indexed="81"/>
            <rFont val="Tahoma"/>
            <family val="2"/>
          </rPr>
          <t>kdanko:</t>
        </r>
        <r>
          <rPr>
            <sz val="8"/>
            <color indexed="81"/>
            <rFont val="Tahoma"/>
            <family val="2"/>
          </rPr>
          <t xml:space="preserve">
"KADIS-based decision support: Patient-centered KADIS decision support was generated in SIX sleps: I) lnput of CGMS profile and self-colllrol dala (time and amount of food intake and insulin therapy), 2) identification of patient-specific model parameters and analysis of actual weak poims. 3) simulation of glycemic effects of BUs and insulin therapies (dosage, type, and timing) according to the International Diabetes Foundation global and German guidelines (19,20) 4) generation ofKAOIS-based recommendations 5) presentation of the results in a KADIS report visualizing weak points of glycemic control and detailing carboyhydrates (amount and time of illlake) and insulin (dosage, time, and type) required in silico to optimize the blood glucose curve of the patient and 6) application for therapeutic decisions by the physician." pg 3</t>
        </r>
      </text>
    </comment>
    <comment ref="J134" authorId="0" shapeId="0" xr:uid="{00000000-0006-0000-0200-0000FF000000}">
      <text>
        <r>
          <rPr>
            <b/>
            <sz val="8"/>
            <color indexed="81"/>
            <rFont val="Tahoma"/>
            <family val="2"/>
          </rPr>
          <t>kdanko:</t>
        </r>
        <r>
          <rPr>
            <sz val="8"/>
            <color indexed="81"/>
            <rFont val="Tahoma"/>
            <family val="2"/>
          </rPr>
          <t xml:space="preserve">
"Dependmg on the group to which the patient belonged, physicians received eilher CGMS data alone or CGMS data plus KADIS decision support report." pg 2</t>
        </r>
      </text>
    </comment>
    <comment ref="K134" authorId="0" shapeId="0" xr:uid="{00000000-0006-0000-0200-000000010000}">
      <text>
        <r>
          <rPr>
            <b/>
            <sz val="8"/>
            <color indexed="81"/>
            <rFont val="Tahoma"/>
            <family val="2"/>
          </rPr>
          <t>kdanko:</t>
        </r>
        <r>
          <rPr>
            <sz val="8"/>
            <color indexed="81"/>
            <rFont val="Tahoma"/>
            <family val="2"/>
          </rPr>
          <t xml:space="preserve">
"Dependmg on the group to which the patient belonged, physicians received eilher CGMS data alone or CGMS data plus KADIS decision support report." pg 2</t>
        </r>
      </text>
    </comment>
    <comment ref="M134" authorId="0" shapeId="0" xr:uid="{00000000-0006-0000-0200-000001010000}">
      <text>
        <r>
          <rPr>
            <b/>
            <sz val="8"/>
            <color indexed="81"/>
            <rFont val="Tahoma"/>
            <family val="2"/>
          </rPr>
          <t>kdanko:</t>
        </r>
        <r>
          <rPr>
            <sz val="8"/>
            <color indexed="81"/>
            <rFont val="Tahoma"/>
            <family val="2"/>
          </rPr>
          <t xml:space="preserve">
"CGMS monitonng" pg 2</t>
        </r>
      </text>
    </comment>
    <comment ref="F136" authorId="0" shapeId="0" xr:uid="{00000000-0006-0000-0200-000002010000}">
      <text>
        <r>
          <rPr>
            <b/>
            <sz val="8"/>
            <color indexed="81"/>
            <rFont val="Tahoma"/>
            <family val="2"/>
          </rPr>
          <t>kdanko:</t>
        </r>
        <r>
          <rPr>
            <sz val="8"/>
            <color indexed="81"/>
            <rFont val="Tahoma"/>
            <family val="2"/>
          </rPr>
          <t xml:space="preserve">
"Nurse care manager" in title, pg 1</t>
        </r>
      </text>
    </comment>
    <comment ref="G136" authorId="0" shapeId="0" xr:uid="{00000000-0006-0000-0200-000003010000}">
      <text>
        <r>
          <rPr>
            <b/>
            <sz val="8"/>
            <color indexed="81"/>
            <rFont val="Tahoma"/>
            <family val="2"/>
          </rPr>
          <t>kdanko:</t>
        </r>
        <r>
          <rPr>
            <sz val="8"/>
            <color indexed="81"/>
            <rFont val="Tahoma"/>
            <family val="2"/>
          </rPr>
          <t xml:space="preserve">
Table 1 "Collaborative interaction between nurse, physician, and patient leading" pg 2;  "Contacts with project nurse: face-to-face meetings; phone discussions" Table 2 </t>
        </r>
      </text>
    </comment>
    <comment ref="M136" authorId="0" shapeId="0" xr:uid="{00000000-0006-0000-0200-000004010000}">
      <text>
        <r>
          <rPr>
            <b/>
            <sz val="8"/>
            <color indexed="81"/>
            <rFont val="Tahoma"/>
            <family val="2"/>
          </rPr>
          <t>kdanko:</t>
        </r>
        <r>
          <rPr>
            <sz val="8"/>
            <color indexed="81"/>
            <rFont val="Tahoma"/>
            <family val="2"/>
          </rPr>
          <t xml:space="preserve">
Table 1 " short-term goal setting and development of tentative action plan" pg 2</t>
        </r>
      </text>
    </comment>
    <comment ref="C137" authorId="2" shapeId="0" xr:uid="{00000000-0006-0000-0200-000005010000}">
      <text>
        <r>
          <rPr>
            <b/>
            <sz val="9"/>
            <color indexed="81"/>
            <rFont val="Tahoma"/>
            <family val="2"/>
          </rPr>
          <t>Mostafa:
Please note this was a crossover-RCT; i.e. patients were randomized to a sequence: (1) SMS then no-SMS, or (2) no-SMS then SMS</t>
        </r>
      </text>
    </comment>
    <comment ref="H138" authorId="0" shapeId="0" xr:uid="{00000000-0006-0000-0200-000006010000}">
      <text>
        <r>
          <rPr>
            <b/>
            <sz val="8"/>
            <color indexed="81"/>
            <rFont val="Tahoma"/>
            <family val="2"/>
          </rPr>
          <t>kdanko:</t>
        </r>
        <r>
          <rPr>
            <sz val="8"/>
            <color indexed="81"/>
            <rFont val="Tahoma"/>
            <family val="2"/>
          </rPr>
          <t xml:space="preserve">
"a database using an Internet browser" (unsure) pg 3</t>
        </r>
      </text>
    </comment>
    <comment ref="K138" authorId="0" shapeId="0" xr:uid="{00000000-0006-0000-0200-000007010000}">
      <text>
        <r>
          <rPr>
            <b/>
            <sz val="8"/>
            <color indexed="81"/>
            <rFont val="Tahoma"/>
            <family val="2"/>
          </rPr>
          <t>kdanko:</t>
        </r>
        <r>
          <rPr>
            <sz val="8"/>
            <color indexed="81"/>
            <rFont val="Tahoma"/>
            <family val="2"/>
          </rPr>
          <t xml:space="preserve">
"receive weekly medical support through SMS based upon weekly review of glucose values" pg 1</t>
        </r>
      </text>
    </comment>
    <comment ref="M138" authorId="0" shapeId="0" xr:uid="{00000000-0006-0000-0200-000008010000}">
      <text>
        <r>
          <rPr>
            <b/>
            <sz val="8"/>
            <color indexed="81"/>
            <rFont val="Tahoma"/>
            <family val="2"/>
          </rPr>
          <t>kdanko:</t>
        </r>
        <r>
          <rPr>
            <sz val="8"/>
            <color indexed="81"/>
            <rFont val="Tahoma"/>
            <family val="2"/>
          </rPr>
          <t xml:space="preserve">
"download self-monitored blood glucose (SMBG) values" pg 1</t>
        </r>
      </text>
    </comment>
    <comment ref="G140" authorId="0" shapeId="0" xr:uid="{00000000-0006-0000-0200-000009010000}">
      <text>
        <r>
          <rPr>
            <b/>
            <sz val="8"/>
            <color indexed="81"/>
            <rFont val="Tahoma"/>
            <family val="2"/>
          </rPr>
          <t>kdanko:</t>
        </r>
        <r>
          <rPr>
            <sz val="8"/>
            <color indexed="81"/>
            <rFont val="Tahoma"/>
            <family val="2"/>
          </rPr>
          <t xml:space="preserve">
Title: "group visits" pg 1; "Group visits, co-led by 1 of 6 primary care internal medicine
physicians and 1 of 3 registered nurses" pg. 2; "The cohorts met monthly for 1 year on a different floor in the same building as the clinic." pg 2</t>
        </r>
      </text>
    </comment>
    <comment ref="L140" authorId="0" shapeId="0" xr:uid="{00000000-0006-0000-0200-00000A010000}">
      <text>
        <r>
          <rPr>
            <b/>
            <sz val="8"/>
            <color indexed="81"/>
            <rFont val="Tahoma"/>
            <family val="2"/>
          </rPr>
          <t>kdanko:</t>
        </r>
        <r>
          <rPr>
            <sz val="8"/>
            <color indexed="81"/>
            <rFont val="Tahoma"/>
            <family val="2"/>
          </rPr>
          <t xml:space="preserve">
"45 minutes for an interactive discussion of a health-related topic such as foot care or health eating strategies" pg 2</t>
        </r>
      </text>
    </comment>
    <comment ref="L141" authorId="0" shapeId="0" xr:uid="{00000000-0006-0000-0200-00000B010000}">
      <text>
        <r>
          <rPr>
            <b/>
            <sz val="8"/>
            <color indexed="81"/>
            <rFont val="Tahoma"/>
            <family val="2"/>
          </rPr>
          <t>kdanko:</t>
        </r>
        <r>
          <rPr>
            <sz val="8"/>
            <color indexed="81"/>
            <rFont val="Tahoma"/>
            <family val="2"/>
          </rPr>
          <t xml:space="preserve">
"dietician educators" pg 6
"Portuguese-speaking dietician and nurse educators who were knowledgeable in the Portuguese culture facilitate both
counselling and classes" pg. 5</t>
        </r>
      </text>
    </comment>
    <comment ref="M141" authorId="0" shapeId="0" xr:uid="{00000000-0006-0000-0200-00000C010000}">
      <text>
        <r>
          <rPr>
            <b/>
            <sz val="8"/>
            <color indexed="81"/>
            <rFont val="Tahoma"/>
            <family val="2"/>
          </rPr>
          <t>kdanko:</t>
        </r>
        <r>
          <rPr>
            <sz val="8"/>
            <color indexed="81"/>
            <rFont val="Tahoma"/>
            <family val="2"/>
          </rPr>
          <t xml:space="preserve">
" With each patient, mutually agreed upon
management goals and nutritional care plans were established with the educator during counselling." pg 6</t>
        </r>
      </text>
    </comment>
    <comment ref="G142" authorId="0" shapeId="0" xr:uid="{00000000-0006-0000-0200-00000D010000}">
      <text>
        <r>
          <rPr>
            <b/>
            <sz val="8"/>
            <color indexed="81"/>
            <rFont val="Tahoma"/>
            <family val="2"/>
          </rPr>
          <t>kdanko:</t>
        </r>
        <r>
          <rPr>
            <sz val="8"/>
            <color indexed="81"/>
            <rFont val="Tahoma"/>
            <family val="2"/>
          </rPr>
          <t xml:space="preserve">
"Group education program" Table 2</t>
        </r>
      </text>
    </comment>
    <comment ref="L142" authorId="0" shapeId="0" xr:uid="{00000000-0006-0000-0200-00000E010000}">
      <text>
        <r>
          <rPr>
            <b/>
            <sz val="8"/>
            <color indexed="81"/>
            <rFont val="Tahoma"/>
            <family val="2"/>
          </rPr>
          <t>kdanko:</t>
        </r>
        <r>
          <rPr>
            <sz val="8"/>
            <color indexed="81"/>
            <rFont val="Tahoma"/>
            <family val="2"/>
          </rPr>
          <t xml:space="preserve">
Title: "diabetes education" pg 1; "level education resources" pg 5; "Portuguese-speaking dietician and nurse educators who were knowledgeable in the Portuguese culture facilitate both
counselling and classes" pg. 5</t>
        </r>
      </text>
    </comment>
    <comment ref="M142" authorId="0" shapeId="0" xr:uid="{00000000-0006-0000-0200-00000F010000}">
      <text>
        <r>
          <rPr>
            <b/>
            <sz val="8"/>
            <color indexed="81"/>
            <rFont val="Tahoma"/>
            <family val="2"/>
          </rPr>
          <t>kdanko:</t>
        </r>
        <r>
          <rPr>
            <sz val="8"/>
            <color indexed="81"/>
            <rFont val="Tahoma"/>
            <family val="2"/>
          </rPr>
          <t xml:space="preserve">
"Interactive, hands-on workshop and
goal setting" pg 8</t>
        </r>
      </text>
    </comment>
    <comment ref="F144" authorId="0" shapeId="0" xr:uid="{00000000-0006-0000-0200-000010010000}">
      <text>
        <r>
          <rPr>
            <b/>
            <sz val="8"/>
            <color indexed="81"/>
            <rFont val="Tahoma"/>
            <family val="2"/>
          </rPr>
          <t>kdanko:</t>
        </r>
        <r>
          <rPr>
            <sz val="8"/>
            <color indexed="81"/>
            <rFont val="Tahoma"/>
            <family val="2"/>
          </rPr>
          <t xml:space="preserve">
"Receiving online advice, counseling, and encouragement from a nurse via e-mail." pg 3</t>
        </r>
      </text>
    </comment>
    <comment ref="H144" authorId="0" shapeId="0" xr:uid="{00000000-0006-0000-0200-000011010000}">
      <text>
        <r>
          <rPr>
            <b/>
            <sz val="8"/>
            <color indexed="81"/>
            <rFont val="Tahoma"/>
            <family val="2"/>
          </rPr>
          <t>kdanko:</t>
        </r>
        <r>
          <rPr>
            <sz val="8"/>
            <color indexed="81"/>
            <rFont val="Tahoma"/>
            <family val="2"/>
          </rPr>
          <t xml:space="preserve">
"The ability to submit a daily log of diabetes self-management activities (blood sugar levels, medication
administration, meal intake, weight, and blood pressure)." pg 3</t>
        </r>
      </text>
    </comment>
    <comment ref="K144" authorId="0" shapeId="0" xr:uid="{00000000-0006-0000-0200-000012010000}">
      <text>
        <r>
          <rPr>
            <b/>
            <sz val="8"/>
            <color indexed="81"/>
            <rFont val="Tahoma"/>
            <family val="2"/>
          </rPr>
          <t>kdanko:</t>
        </r>
        <r>
          <rPr>
            <sz val="8"/>
            <color indexed="81"/>
            <rFont val="Tahoma"/>
            <family val="2"/>
          </rPr>
          <t xml:space="preserve">
"The interaction between the study nurse and active invention participants occurred using both synchronous communication (instantmessaging and chat) and asynchronous communication
(e-mail and a bulletin board)." pg. 3; "The study nurse accessed participants’ logs to monitor changes in their self-management patterns." pg 3</t>
        </r>
      </text>
    </comment>
    <comment ref="L144" authorId="0" shapeId="0" xr:uid="{00000000-0006-0000-0200-000013010000}">
      <text>
        <r>
          <rPr>
            <b/>
            <sz val="8"/>
            <color indexed="81"/>
            <rFont val="Tahoma"/>
            <family val="2"/>
          </rPr>
          <t>kdanko:</t>
        </r>
        <r>
          <rPr>
            <sz val="8"/>
            <color indexed="81"/>
            <rFont val="Tahoma"/>
            <family val="2"/>
          </rPr>
          <t xml:space="preserve">
"Access to a library of articles and sites on diabetes and other health-related topics." pg 3</t>
        </r>
      </text>
    </comment>
    <comment ref="M144" authorId="0" shapeId="0" xr:uid="{00000000-0006-0000-0200-000014010000}">
      <text>
        <r>
          <rPr>
            <b/>
            <sz val="8"/>
            <color indexed="81"/>
            <rFont val="Tahoma"/>
            <family val="2"/>
          </rPr>
          <t>kdanko:</t>
        </r>
        <r>
          <rPr>
            <sz val="8"/>
            <color indexed="81"/>
            <rFont val="Tahoma"/>
            <family val="2"/>
          </rPr>
          <t xml:space="preserve">
"self-management instruction" pg 3</t>
        </r>
      </text>
    </comment>
    <comment ref="L145" authorId="0" shapeId="0" xr:uid="{00000000-0006-0000-0200-000015010000}">
      <text>
        <r>
          <rPr>
            <b/>
            <sz val="8"/>
            <color indexed="81"/>
            <rFont val="Tahoma"/>
            <family val="2"/>
          </rPr>
          <t>kdanko:</t>
        </r>
        <r>
          <rPr>
            <sz val="8"/>
            <color indexed="81"/>
            <rFont val="Tahoma"/>
            <family val="2"/>
          </rPr>
          <t xml:space="preserve">
"We performed a diabetes education program again to standardized every patients education for diabetes management and the method and frequency of self-monitory of  blood glucose (SMBG) according to glucose control. We provided overall orientation for all participants on diabetes management for 1 hr, nutritional and exercise education for 2hr (including actual practice for 1 hr) and had a question and answer session for 1 hr" pg 2</t>
        </r>
      </text>
    </comment>
    <comment ref="H146" authorId="0" shapeId="0" xr:uid="{00000000-0006-0000-0200-000016010000}">
      <text>
        <r>
          <rPr>
            <b/>
            <sz val="8"/>
            <color indexed="81"/>
            <rFont val="Tahoma"/>
            <family val="2"/>
          </rPr>
          <t>kdanko:</t>
        </r>
        <r>
          <rPr>
            <sz val="8"/>
            <color indexed="81"/>
            <rFont val="Tahoma"/>
            <family val="2"/>
          </rPr>
          <t xml:space="preserve">
"website" pg 2</t>
        </r>
      </text>
    </comment>
    <comment ref="K146" authorId="0" shapeId="0" xr:uid="{00000000-0006-0000-0200-000017010000}">
      <text>
        <r>
          <rPr>
            <b/>
            <sz val="8"/>
            <color indexed="81"/>
            <rFont val="Tahoma"/>
            <family val="2"/>
          </rPr>
          <t>kdanko:</t>
        </r>
        <r>
          <rPr>
            <sz val="8"/>
            <color indexed="81"/>
            <rFont val="Tahoma"/>
            <family val="2"/>
          </rPr>
          <t xml:space="preserve">
"The staff participating in the Internet-based system included three endocrinologists (a professor and two clincical instructors), a nurse, and a dietician. The two clinical instructors logged onto the system daily and sent appropriate recommendations (based on the patients uploaded blood glucose data) to each patient in the intervention group every 2 weeks" pg 2</t>
        </r>
      </text>
    </comment>
    <comment ref="L146" authorId="0" shapeId="0" xr:uid="{00000000-0006-0000-0200-000018010000}">
      <text>
        <r>
          <rPr>
            <b/>
            <sz val="8"/>
            <color indexed="81"/>
            <rFont val="Tahoma"/>
            <family val="2"/>
          </rPr>
          <t>kdanko:</t>
        </r>
        <r>
          <rPr>
            <sz val="8"/>
            <color indexed="81"/>
            <rFont val="Tahoma"/>
            <family val="2"/>
          </rPr>
          <t xml:space="preserve">
"We performed a diabetes education program again to standardized every patients education for diabetes management and the method and frequency of self-monitory of  blood glucose (SMBG) according to glucose control. We provided overall orientation for all participants on diabetes management for 1 hr, nutritional and exercise education for 2hr (including actual practice for 1 hr) and had a question and answer session for 1 hr" pg 2</t>
        </r>
      </text>
    </comment>
    <comment ref="M146" authorId="0" shapeId="0" xr:uid="{00000000-0006-0000-0200-000019010000}">
      <text>
        <r>
          <rPr>
            <b/>
            <sz val="8"/>
            <color indexed="81"/>
            <rFont val="Tahoma"/>
            <family val="2"/>
          </rPr>
          <t>kdanko:</t>
        </r>
        <r>
          <rPr>
            <sz val="8"/>
            <color indexed="81"/>
            <rFont val="Tahoma"/>
            <family val="2"/>
          </rPr>
          <t xml:space="preserve">
"SMBG results" pg 2</t>
        </r>
      </text>
    </comment>
    <comment ref="M147" authorId="0" shapeId="0" xr:uid="{00000000-0006-0000-0200-00001A010000}">
      <text>
        <r>
          <rPr>
            <b/>
            <sz val="8"/>
            <color indexed="81"/>
            <rFont val="Tahoma"/>
            <family val="2"/>
          </rPr>
          <t>kdanko:</t>
        </r>
        <r>
          <rPr>
            <sz val="8"/>
            <color indexed="81"/>
            <rFont val="Tahoma"/>
            <family val="2"/>
          </rPr>
          <t xml:space="preserve">
"and set the goals to be achieved" pg 2</t>
        </r>
      </text>
    </comment>
    <comment ref="K148" authorId="0" shapeId="0" xr:uid="{00000000-0006-0000-0200-00001B010000}">
      <text>
        <r>
          <rPr>
            <b/>
            <sz val="8"/>
            <color indexed="81"/>
            <rFont val="Tahoma"/>
            <family val="2"/>
          </rPr>
          <t>kdanko:</t>
        </r>
        <r>
          <rPr>
            <sz val="8"/>
            <color indexed="81"/>
            <rFont val="Tahoma"/>
            <family val="2"/>
          </rPr>
          <t xml:space="preserve">
"After having sent all the glycaemia values electronically, the server invites the patient to leave a 1-min vocal message concerning insulin doses and events. All these data are encoded and stored in the server to be unloaded by the diabetes team, which thereafter provides the appropriate counselling." pg 2</t>
        </r>
      </text>
    </comment>
    <comment ref="M148" authorId="0" shapeId="0" xr:uid="{00000000-0006-0000-0200-00001C010000}">
      <text>
        <r>
          <rPr>
            <b/>
            <sz val="8"/>
            <color indexed="81"/>
            <rFont val="Tahoma"/>
            <family val="2"/>
          </rPr>
          <t>kdanko:</t>
        </r>
        <r>
          <rPr>
            <sz val="8"/>
            <color indexed="81"/>
            <rFont val="Tahoma"/>
            <family val="2"/>
          </rPr>
          <t xml:space="preserve">
"glucose meter" pg 2; "and set the goals to be achieved" pg 2</t>
        </r>
      </text>
    </comment>
    <comment ref="H150" authorId="3" shapeId="0" xr:uid="{00000000-0006-0000-0200-00001D010000}">
      <text>
        <r>
          <rPr>
            <b/>
            <sz val="9"/>
            <color indexed="81"/>
            <rFont val="Verdana"/>
            <family val="2"/>
          </rPr>
          <t>Kristin Danko:</t>
        </r>
        <r>
          <rPr>
            <sz val="9"/>
            <color indexed="81"/>
            <rFont val="Verdana"/>
            <family val="2"/>
          </rPr>
          <t xml:space="preserve">
"regional database" pg S1.14</t>
        </r>
      </text>
    </comment>
    <comment ref="K150" authorId="3" shapeId="0" xr:uid="{00000000-0006-0000-0200-00001E010000}">
      <text>
        <r>
          <rPr>
            <b/>
            <sz val="9"/>
            <color indexed="81"/>
            <rFont val="Verdana"/>
            <family val="2"/>
          </rPr>
          <t>Kristin Danko:</t>
        </r>
        <r>
          <rPr>
            <sz val="9"/>
            <color indexed="81"/>
            <rFont val="Verdana"/>
            <family val="2"/>
          </rPr>
          <t xml:space="preserve">
"data management system" and "measurements directly from blood glucose meter into the regional database" pg. S1.14</t>
        </r>
      </text>
    </comment>
    <comment ref="M150" authorId="3" shapeId="0" xr:uid="{00000000-0006-0000-0200-00001F010000}">
      <text>
        <r>
          <rPr>
            <b/>
            <sz val="9"/>
            <color indexed="81"/>
            <rFont val="Verdana"/>
            <family val="2"/>
          </rPr>
          <t>Kristin Danko:</t>
        </r>
        <r>
          <rPr>
            <sz val="9"/>
            <color indexed="81"/>
            <rFont val="Verdana"/>
            <family val="2"/>
          </rPr>
          <t xml:space="preserve">
"self management" pg. S1.14</t>
        </r>
      </text>
    </comment>
    <comment ref="E151" authorId="3" shapeId="0" xr:uid="{00000000-0006-0000-0200-000020010000}">
      <text>
        <r>
          <rPr>
            <b/>
            <sz val="9"/>
            <color indexed="81"/>
            <rFont val="Verdana"/>
            <family val="2"/>
          </rPr>
          <t>Kristin Danko:</t>
        </r>
        <r>
          <rPr>
            <sz val="9"/>
            <color indexed="81"/>
            <rFont val="Verdana"/>
            <family val="2"/>
          </rPr>
          <t xml:space="preserve">
"The majority of provider offices did not have a computer, let alone an eleclronic medical record and a baseline chart audit was conducted to establish benchmarks for adherence to the ADA standards of care and to enhance providcr feedback.</t>
        </r>
      </text>
    </comment>
    <comment ref="I151" authorId="3" shapeId="0" xr:uid="{00000000-0006-0000-0200-000021010000}">
      <text>
        <r>
          <rPr>
            <b/>
            <sz val="9"/>
            <color indexed="81"/>
            <rFont val="Verdana"/>
            <family val="2"/>
          </rPr>
          <t>Kristin Danko:</t>
        </r>
        <r>
          <rPr>
            <sz val="9"/>
            <color indexed="81"/>
            <rFont val="Verdana"/>
            <family val="2"/>
          </rPr>
          <t xml:space="preserve">
""The following decision suppon items wert given to all providers regardless or study group. ADA standards of care for people with diabetes, flow sheets that incorporaled ADA guidelines, a packet of poslers and information from Pennslvania KeyPRO and the lower-Extremity Amputation Prevention Program to assist with complying with the ADA standards of care"</t>
        </r>
      </text>
    </comment>
    <comment ref="E152" authorId="3" shapeId="0" xr:uid="{00000000-0006-0000-0200-000022010000}">
      <text>
        <r>
          <rPr>
            <b/>
            <sz val="9"/>
            <color indexed="81"/>
            <rFont val="Verdana"/>
            <family val="2"/>
          </rPr>
          <t>Kristin Danko:</t>
        </r>
        <r>
          <rPr>
            <sz val="9"/>
            <color indexed="81"/>
            <rFont val="Verdana"/>
            <family val="2"/>
          </rPr>
          <t xml:space="preserve">
"The majority of provider offices did not have a computer, let alone an eleclronic medical record and a baseline chart audit was conducted to establish benchmarks for adherence to the ADA standards of care and to enhance providcr feedback.</t>
        </r>
      </text>
    </comment>
    <comment ref="I152" authorId="3" shapeId="0" xr:uid="{00000000-0006-0000-0200-000023010000}">
      <text>
        <r>
          <rPr>
            <b/>
            <sz val="9"/>
            <color indexed="81"/>
            <rFont val="Verdana"/>
            <family val="2"/>
          </rPr>
          <t>Kristin Danko:</t>
        </r>
        <r>
          <rPr>
            <sz val="9"/>
            <color indexed="81"/>
            <rFont val="Verdana"/>
            <family val="2"/>
          </rPr>
          <t xml:space="preserve">
"One PBL session was held for all providers" Table 1
"The following decision suppon items wert given to all providers regardless or study group. ADA standards of care for people with diabetes, flow sheets that incorporaled ADA guidelines, a packet of poslers and information from Pennslvania KeyPRO and the lower-Extremity Amputation Prevention Program to assist with complying with the ADA standards of care"</t>
        </r>
      </text>
    </comment>
    <comment ref="E153" authorId="3" shapeId="0" xr:uid="{00000000-0006-0000-0200-000024010000}">
      <text>
        <r>
          <rPr>
            <b/>
            <sz val="9"/>
            <color indexed="81"/>
            <rFont val="Verdana"/>
            <family val="2"/>
          </rPr>
          <t>Kristin Danko:</t>
        </r>
        <r>
          <rPr>
            <sz val="9"/>
            <color indexed="81"/>
            <rFont val="Verdana"/>
            <family val="2"/>
          </rPr>
          <t xml:space="preserve">
"The majority of provider offices did not have a computer, let alone an eleclronic medical record and a baseline chart audit was conducted to establish benchmarks for adherence to the ADA standards of care and to enhance providcr feedback.</t>
        </r>
      </text>
    </comment>
    <comment ref="I153" authorId="3" shapeId="0" xr:uid="{00000000-0006-0000-0200-000025010000}">
      <text>
        <r>
          <rPr>
            <b/>
            <sz val="9"/>
            <color indexed="81"/>
            <rFont val="Verdana"/>
            <family val="2"/>
          </rPr>
          <t>Kristin Danko:</t>
        </r>
        <r>
          <rPr>
            <sz val="9"/>
            <color indexed="81"/>
            <rFont val="Verdana"/>
            <family val="2"/>
          </rPr>
          <t xml:space="preserve">
"One PBL session was held for all providers" Table 1
"The following decision suppon items wert given to all providers regardless or study group. ADA standards of care for people with diabetes, flow sheets that incorporaled ADA guidelines, a packet of poslers and information from Pennslvania KeyPRO and the lower-Extremity Amputation Prevention Program to assist with complying with the ADA standards of care"</t>
        </r>
      </text>
    </comment>
    <comment ref="L153" authorId="3" shapeId="0" xr:uid="{00000000-0006-0000-0200-000026010000}">
      <text>
        <r>
          <rPr>
            <b/>
            <sz val="9"/>
            <color indexed="81"/>
            <rFont val="Verdana"/>
            <family val="2"/>
          </rPr>
          <t>Kristin Danko:</t>
        </r>
        <r>
          <rPr>
            <sz val="9"/>
            <color indexed="81"/>
            <rFont val="Verdana"/>
            <family val="2"/>
          </rPr>
          <t xml:space="preserve">
"Diabetes education" Table 1</t>
        </r>
      </text>
    </comment>
    <comment ref="M153" authorId="3" shapeId="0" xr:uid="{00000000-0006-0000-0200-000027010000}">
      <text>
        <r>
          <rPr>
            <b/>
            <sz val="9"/>
            <color indexed="81"/>
            <rFont val="Verdana"/>
            <family val="2"/>
          </rPr>
          <t>Kristin Danko:</t>
        </r>
        <r>
          <rPr>
            <sz val="9"/>
            <color indexed="81"/>
            <rFont val="Verdana"/>
            <family val="2"/>
          </rPr>
          <t xml:space="preserve">
"Self management" Table 1</t>
        </r>
      </text>
    </comment>
    <comment ref="F155" authorId="3" shapeId="0" xr:uid="{00000000-0006-0000-0200-000028010000}">
      <text>
        <r>
          <rPr>
            <b/>
            <sz val="9"/>
            <color indexed="81"/>
            <rFont val="Verdana"/>
            <family val="2"/>
          </rPr>
          <t>Kristin Danko:</t>
        </r>
        <r>
          <rPr>
            <sz val="9"/>
            <color indexed="81"/>
            <rFont val="Verdana"/>
            <family val="2"/>
          </rPr>
          <t xml:space="preserve">
"case management", Title; "case manager" pg. 30</t>
        </r>
      </text>
    </comment>
    <comment ref="L155" authorId="3" shapeId="0" xr:uid="{00000000-0006-0000-0200-000029010000}">
      <text>
        <r>
          <rPr>
            <b/>
            <sz val="9"/>
            <color indexed="81"/>
            <rFont val="Verdana"/>
            <family val="2"/>
          </rPr>
          <t>Kristin Danko:</t>
        </r>
        <r>
          <rPr>
            <sz val="9"/>
            <color indexed="81"/>
            <rFont val="Verdana"/>
            <family val="2"/>
          </rPr>
          <t xml:space="preserve">
"diabetes nurse educator" pg. 30</t>
        </r>
      </text>
    </comment>
    <comment ref="M155" authorId="3" shapeId="0" xr:uid="{00000000-0006-0000-0200-00002A010000}">
      <text>
        <r>
          <rPr>
            <b/>
            <sz val="9"/>
            <color indexed="81"/>
            <rFont val="Verdana"/>
            <family val="2"/>
          </rPr>
          <t>Kristin Danko:</t>
        </r>
        <r>
          <rPr>
            <sz val="9"/>
            <color indexed="81"/>
            <rFont val="Verdana"/>
            <family val="2"/>
          </rPr>
          <t xml:space="preserve">
"self-management" pg 30</t>
        </r>
      </text>
    </comment>
    <comment ref="M156" authorId="3" shapeId="0" xr:uid="{00000000-0006-0000-0200-00002B010000}">
      <text>
        <r>
          <rPr>
            <b/>
            <sz val="9"/>
            <color indexed="81"/>
            <rFont val="Verdana"/>
            <family val="2"/>
          </rPr>
          <t>Kristin Danko:</t>
        </r>
        <r>
          <rPr>
            <sz val="9"/>
            <color indexed="81"/>
            <rFont val="Verdana"/>
            <family val="2"/>
          </rPr>
          <t xml:space="preserve">
"Feedback presented on the phone screen consisted of a graphical time series of blood glucose readings for the previous 24 h only" pg 2698</t>
        </r>
      </text>
    </comment>
    <comment ref="F157" authorId="3" shapeId="0" xr:uid="{00000000-0006-0000-0200-00002C010000}">
      <text>
        <r>
          <rPr>
            <b/>
            <sz val="9"/>
            <color indexed="81"/>
            <rFont val="Verdana"/>
            <family val="2"/>
          </rPr>
          <t>Kristin Danko:</t>
        </r>
        <r>
          <rPr>
            <sz val="9"/>
            <color indexed="81"/>
            <rFont val="Verdana"/>
            <family val="2"/>
          </rPr>
          <t xml:space="preserve">
"a diabetes specialist nurse (DSN) in response to real-time blood glucose test results." pg 2698</t>
        </r>
      </text>
    </comment>
    <comment ref="H157" authorId="0" shapeId="0" xr:uid="{00000000-0006-0000-0200-00002D010000}">
      <text>
        <r>
          <rPr>
            <b/>
            <sz val="8"/>
            <color indexed="81"/>
            <rFont val="Tahoma"/>
            <family val="2"/>
          </rPr>
          <t>kdanko:</t>
        </r>
        <r>
          <rPr>
            <sz val="8"/>
            <color indexed="81"/>
            <rFont val="Tahoma"/>
            <family val="2"/>
          </rPr>
          <t xml:space="preserve">
"Patients also had the option to access their own webpage" pg. 2</t>
        </r>
      </text>
    </comment>
    <comment ref="K157" authorId="3" shapeId="0" xr:uid="{00000000-0006-0000-0200-00002E010000}">
      <text>
        <r>
          <rPr>
            <b/>
            <sz val="9"/>
            <color indexed="81"/>
            <rFont val="Verdana"/>
            <family val="2"/>
          </rPr>
          <t>Kristin Danko:</t>
        </r>
        <r>
          <rPr>
            <sz val="9"/>
            <color indexed="81"/>
            <rFont val="Verdana"/>
            <family val="2"/>
          </rPr>
          <t xml:space="preserve">
"The DSN checked the readings fortnightly or more ohen and had access to summanes and
graphical displays of data via a secure
webpage for each patient." pg. 2698</t>
        </r>
      </text>
    </comment>
    <comment ref="M157" authorId="3" shapeId="0" xr:uid="{00000000-0006-0000-0200-00002F010000}">
      <text>
        <r>
          <rPr>
            <b/>
            <sz val="9"/>
            <color indexed="81"/>
            <rFont val="Verdana"/>
            <family val="2"/>
          </rPr>
          <t>Kristin Danko:</t>
        </r>
        <r>
          <rPr>
            <sz val="9"/>
            <color indexed="81"/>
            <rFont val="Verdana"/>
            <family val="2"/>
          </rPr>
          <t xml:space="preserve">
"Realistic goals were agreed upon, and patients were encouraged to develop an action plan to address them."2698</t>
        </r>
      </text>
    </comment>
    <comment ref="I159" authorId="3" shapeId="0" xr:uid="{00000000-0006-0000-0200-000030010000}">
      <text>
        <r>
          <rPr>
            <b/>
            <sz val="9"/>
            <color indexed="81"/>
            <rFont val="Verdana"/>
            <family val="2"/>
          </rPr>
          <t>Kristin Danko:</t>
        </r>
        <r>
          <rPr>
            <sz val="9"/>
            <color indexed="81"/>
            <rFont val="Verdana"/>
            <family val="2"/>
          </rPr>
          <t xml:space="preserve">
"Each year, all residents were also given pocket cards that reiterated treatment goals and therapeutic thresholds and sent letters that provided feedback about the completeness of their visit notes" pg. 2352</t>
        </r>
      </text>
    </comment>
    <comment ref="J159" authorId="3" shapeId="0" xr:uid="{00000000-0006-0000-0200-000031010000}">
      <text>
        <r>
          <rPr>
            <b/>
            <sz val="9"/>
            <color indexed="81"/>
            <rFont val="Verdana"/>
            <family val="2"/>
          </rPr>
          <t>Kristin Danko:</t>
        </r>
        <r>
          <rPr>
            <sz val="9"/>
            <color indexed="81"/>
            <rFont val="Verdana"/>
            <family val="2"/>
          </rPr>
          <t xml:space="preserve">
"computerized reminders" pg. 2353</t>
        </r>
      </text>
    </comment>
    <comment ref="E160" authorId="3" shapeId="0" xr:uid="{00000000-0006-0000-0200-000032010000}">
      <text>
        <r>
          <rPr>
            <b/>
            <sz val="9"/>
            <color indexed="81"/>
            <rFont val="Verdana"/>
            <family val="2"/>
          </rPr>
          <t>Kristin Danko:</t>
        </r>
        <r>
          <rPr>
            <sz val="9"/>
            <color indexed="81"/>
            <rFont val="Verdana"/>
            <family val="2"/>
          </rPr>
          <t xml:space="preserve">
"feedback on performance" pg 2353</t>
        </r>
      </text>
    </comment>
    <comment ref="I160" authorId="3" shapeId="0" xr:uid="{00000000-0006-0000-0200-000033010000}">
      <text>
        <r>
          <rPr>
            <b/>
            <sz val="9"/>
            <color indexed="81"/>
            <rFont val="Verdana"/>
            <family val="2"/>
          </rPr>
          <t>Kristin Danko:</t>
        </r>
        <r>
          <rPr>
            <sz val="9"/>
            <color indexed="81"/>
            <rFont val="Verdana"/>
            <family val="2"/>
          </rPr>
          <t xml:space="preserve">
"Each year, all residents were also given pocket cards that reiterated treatment goals and therapeutic thresholds and sent letters that provided feedback about the completeness of their visit notes" pg. 2352</t>
        </r>
      </text>
    </comment>
    <comment ref="E161" authorId="3" shapeId="0" xr:uid="{00000000-0006-0000-0200-000034010000}">
      <text>
        <r>
          <rPr>
            <b/>
            <sz val="9"/>
            <color indexed="81"/>
            <rFont val="Verdana"/>
            <family val="2"/>
          </rPr>
          <t>Kristin Danko:</t>
        </r>
        <r>
          <rPr>
            <sz val="9"/>
            <color indexed="81"/>
            <rFont val="Verdana"/>
            <family val="2"/>
          </rPr>
          <t xml:space="preserve">
[both] "feedback on performance" pg. 2353</t>
        </r>
      </text>
    </comment>
    <comment ref="I161" authorId="3" shapeId="0" xr:uid="{00000000-0006-0000-0200-000035010000}">
      <text>
        <r>
          <rPr>
            <b/>
            <sz val="9"/>
            <color indexed="81"/>
            <rFont val="Verdana"/>
            <family val="2"/>
          </rPr>
          <t>Kristin Danko:</t>
        </r>
        <r>
          <rPr>
            <sz val="9"/>
            <color indexed="81"/>
            <rFont val="Verdana"/>
            <family val="2"/>
          </rPr>
          <t xml:space="preserve">
"Each year, all residents were also given pocket cards that reiterated treatment goals and therapeutic thresholds and sent letters that provided feedback about the completeness of their visit notes" pg. 2352</t>
        </r>
      </text>
    </comment>
    <comment ref="J161" authorId="3" shapeId="0" xr:uid="{00000000-0006-0000-0200-000036010000}">
      <text>
        <r>
          <rPr>
            <b/>
            <sz val="9"/>
            <color indexed="81"/>
            <rFont val="Verdana"/>
            <family val="2"/>
          </rPr>
          <t>Kristin Danko:</t>
        </r>
        <r>
          <rPr>
            <sz val="9"/>
            <color indexed="81"/>
            <rFont val="Verdana"/>
            <family val="2"/>
          </rPr>
          <t xml:space="preserve">
"computerized reminders" pg. 2353</t>
        </r>
      </text>
    </comment>
    <comment ref="I163" authorId="3" shapeId="0" xr:uid="{00000000-0006-0000-0200-000037010000}">
      <text>
        <r>
          <rPr>
            <b/>
            <sz val="9"/>
            <color indexed="81"/>
            <rFont val="Verdana"/>
            <family val="2"/>
          </rPr>
          <t>Kristin Danko:</t>
        </r>
        <r>
          <rPr>
            <sz val="9"/>
            <color indexed="81"/>
            <rFont val="Verdana"/>
            <family val="2"/>
          </rPr>
          <t xml:space="preserve">
"teleconferenced educational detailing (TED) CME on glycemic control" pg. 87</t>
        </r>
      </text>
    </comment>
    <comment ref="E165" authorId="3" shapeId="0" xr:uid="{00000000-0006-0000-0200-000038010000}">
      <text>
        <r>
          <rPr>
            <b/>
            <sz val="9"/>
            <color indexed="81"/>
            <rFont val="Verdana"/>
            <family val="2"/>
          </rPr>
          <t>Kristin Danko:</t>
        </r>
        <r>
          <rPr>
            <sz val="9"/>
            <color indexed="81"/>
            <rFont val="Verdana"/>
            <family val="2"/>
          </rPr>
          <t xml:space="preserve">
"1. Gathering data to address the gap between local diabetes care practices and that which is currently recommended." pg. 584 suppl</t>
        </r>
      </text>
    </comment>
    <comment ref="I165" authorId="3" shapeId="0" xr:uid="{00000000-0006-0000-0200-000039010000}">
      <text>
        <r>
          <rPr>
            <b/>
            <sz val="9"/>
            <color indexed="81"/>
            <rFont val="Verdana"/>
            <family val="2"/>
          </rPr>
          <t>Kristin Danko:</t>
        </r>
        <r>
          <rPr>
            <sz val="9"/>
            <color indexed="81"/>
            <rFont val="Verdana"/>
            <family val="2"/>
          </rPr>
          <t xml:space="preserve">
" Each intervention clinic then sent a team to eight 3-h training sessions scheduled over an IS month period."[double check applies] pg. 1981. "Establish clinic wide care guidelines for diabetes and obtain buy-in from all clinicians and staff" 585 suppl</t>
        </r>
      </text>
    </comment>
    <comment ref="O165" authorId="3" shapeId="0" xr:uid="{00000000-0006-0000-0200-00003A010000}">
      <text>
        <r>
          <rPr>
            <b/>
            <sz val="9"/>
            <color indexed="81"/>
            <rFont val="Verdana"/>
            <family val="2"/>
          </rPr>
          <t>Kristin Danko:</t>
        </r>
        <r>
          <rPr>
            <sz val="9"/>
            <color indexed="81"/>
            <rFont val="Verdana"/>
            <family val="2"/>
          </rPr>
          <t xml:space="preserve">
"the seven-slep QI
process used in this study has been published" 1891; "sequential "tests-of- change" approach" pg. 2</t>
        </r>
      </text>
    </comment>
    <comment ref="L166" authorId="3" shapeId="0" xr:uid="{00000000-0006-0000-0200-00003B010000}">
      <text>
        <r>
          <rPr>
            <b/>
            <sz val="9"/>
            <color indexed="81"/>
            <rFont val="Verdana"/>
            <family val="2"/>
          </rPr>
          <t>Kristin Danko:</t>
        </r>
        <r>
          <rPr>
            <sz val="9"/>
            <color indexed="81"/>
            <rFont val="Verdana"/>
            <family val="2"/>
          </rPr>
          <t xml:space="preserve">
"patients completed a diabetes education class" pg. 1624</t>
        </r>
      </text>
    </comment>
    <comment ref="F167" authorId="3" shapeId="0" xr:uid="{00000000-0006-0000-0200-00003C010000}">
      <text>
        <r>
          <rPr>
            <b/>
            <sz val="9"/>
            <color indexed="81"/>
            <rFont val="Verdana"/>
            <family val="2"/>
          </rPr>
          <t>Kristin Danko:</t>
        </r>
        <r>
          <rPr>
            <sz val="9"/>
            <color indexed="81"/>
            <rFont val="Verdana"/>
            <family val="2"/>
          </rPr>
          <t xml:space="preserve">
"advanced practice nurse and certified diabelcs educator (H.E.G.) reviewed participant dma from the website and, using treatment algorithms for glucose and hypertension management" pg 1625</t>
        </r>
      </text>
    </comment>
    <comment ref="K167" authorId="3" shapeId="0" xr:uid="{00000000-0006-0000-0200-00003D010000}">
      <text>
        <r>
          <rPr>
            <b/>
            <sz val="9"/>
            <color indexed="81"/>
            <rFont val="Verdana"/>
            <family val="2"/>
          </rPr>
          <t>Kristin Danko:</t>
        </r>
        <r>
          <rPr>
            <sz val="9"/>
            <color indexed="81"/>
            <rFont val="Verdana"/>
            <family val="2"/>
          </rPr>
          <t xml:space="preserve">
"advanced practice nurse and certified diabelcs educator (H.E.G.) reviewed participant dma from the website and, using treatment algorithms for glucose and hypertension management" pg 1625</t>
        </r>
      </text>
    </comment>
    <comment ref="L167" authorId="3" shapeId="0" xr:uid="{00000000-0006-0000-0200-00003E010000}">
      <text>
        <r>
          <rPr>
            <b/>
            <sz val="9"/>
            <color indexed="81"/>
            <rFont val="Verdana"/>
            <family val="2"/>
          </rPr>
          <t>Kristin Danko:</t>
        </r>
        <r>
          <rPr>
            <sz val="9"/>
            <color indexed="81"/>
            <rFont val="Verdana"/>
            <family val="2"/>
          </rPr>
          <t xml:space="preserve">
"patients completed a diabetes education class" pg. 1624</t>
        </r>
      </text>
    </comment>
    <comment ref="M167" authorId="3" shapeId="0" xr:uid="{00000000-0006-0000-0200-00003F010000}">
      <text>
        <r>
          <rPr>
            <b/>
            <sz val="9"/>
            <color indexed="81"/>
            <rFont val="Verdana"/>
            <family val="2"/>
          </rPr>
          <t>Kristin Danko:</t>
        </r>
        <r>
          <rPr>
            <sz val="9"/>
            <color indexed="81"/>
            <rFont val="Verdana"/>
            <family val="2"/>
          </rPr>
          <t xml:space="preserve">
"glucose and blood pressure monitoring devices" pg. 1624</t>
        </r>
      </text>
    </comment>
    <comment ref="N167" authorId="3" shapeId="0" xr:uid="{00000000-0006-0000-0200-000040010000}">
      <text>
        <r>
          <rPr>
            <b/>
            <sz val="9"/>
            <color indexed="81"/>
            <rFont val="Verdana"/>
            <family val="2"/>
          </rPr>
          <t>Kristin Danko:</t>
        </r>
        <r>
          <rPr>
            <sz val="9"/>
            <color indexed="81"/>
            <rFont val="Verdana"/>
            <family val="2"/>
          </rPr>
          <t xml:space="preserve">
"did not log into the website during any 2·week period were contacted by a study coordinator by telephone 10 encourage website usage." pg 1625</t>
        </r>
      </text>
    </comment>
    <comment ref="E169" authorId="3" shapeId="0" xr:uid="{00000000-0006-0000-0200-000041010000}">
      <text>
        <r>
          <rPr>
            <b/>
            <sz val="9"/>
            <color indexed="81"/>
            <rFont val="Verdana"/>
            <family val="2"/>
          </rPr>
          <t>Kristin Danko:</t>
        </r>
        <r>
          <rPr>
            <sz val="9"/>
            <color indexed="81"/>
            <rFont val="Verdana"/>
            <family val="2"/>
          </rPr>
          <t xml:space="preserve">
"Feedback on aggregated patient baseline data was given to the professionals." pg. 128</t>
        </r>
      </text>
    </comment>
    <comment ref="I169" authorId="3" shapeId="0" xr:uid="{00000000-0006-0000-0200-000042010000}">
      <text>
        <r>
          <rPr>
            <b/>
            <sz val="9"/>
            <color indexed="81"/>
            <rFont val="Verdana"/>
            <family val="2"/>
          </rPr>
          <t>Kristin Danko:</t>
        </r>
        <r>
          <rPr>
            <sz val="9"/>
            <color indexed="81"/>
            <rFont val="Verdana"/>
            <family val="2"/>
          </rPr>
          <t xml:space="preserve">
"guidelines on the prevention and treatment of diabetes complications as well as the diabetes passports were introduced" pg 128</t>
        </r>
      </text>
    </comment>
    <comment ref="K169" authorId="3" shapeId="0" xr:uid="{00000000-0006-0000-0200-000043010000}">
      <text>
        <r>
          <rPr>
            <b/>
            <sz val="9"/>
            <color indexed="81"/>
            <rFont val="Verdana"/>
            <family val="2"/>
          </rPr>
          <t>Kristin Danko:</t>
        </r>
        <r>
          <rPr>
            <sz val="9"/>
            <color indexed="81"/>
            <rFont val="Verdana"/>
            <family val="2"/>
          </rPr>
          <t xml:space="preserve">
"diabetes passport" pg. 126</t>
        </r>
      </text>
    </comment>
    <comment ref="L169" authorId="3" shapeId="0" xr:uid="{00000000-0006-0000-0200-000044010000}">
      <text>
        <r>
          <rPr>
            <b/>
            <sz val="9"/>
            <color indexed="81"/>
            <rFont val="Verdana"/>
            <family val="2"/>
          </rPr>
          <t>Kristin Danko:</t>
        </r>
        <r>
          <rPr>
            <sz val="9"/>
            <color indexed="81"/>
            <rFont val="Verdana"/>
            <family val="2"/>
          </rPr>
          <t xml:space="preserve">
"For the patients in the intervention group, additional educational meetings were organised in collaboration with the local patient organisations." pg. 128</t>
        </r>
      </text>
    </comment>
    <comment ref="F170" authorId="3" shapeId="0" xr:uid="{00000000-0006-0000-0200-000045010000}">
      <text>
        <r>
          <rPr>
            <b/>
            <sz val="9"/>
            <color indexed="81"/>
            <rFont val="Verdana"/>
            <family val="2"/>
          </rPr>
          <t>Kristin Danko:</t>
        </r>
        <r>
          <rPr>
            <sz val="9"/>
            <color indexed="81"/>
            <rFont val="Verdana"/>
            <family val="2"/>
          </rPr>
          <t xml:space="preserve">
"Nurse educators received patient information and were responsible for evaluation of the degree of BG control." pg 243</t>
        </r>
      </text>
    </comment>
    <comment ref="G170" authorId="3" shapeId="0" xr:uid="{00000000-0006-0000-0200-000046010000}">
      <text>
        <r>
          <rPr>
            <b/>
            <sz val="9"/>
            <color indexed="81"/>
            <rFont val="Verdana"/>
            <family val="2"/>
          </rPr>
          <t>Kristin Danko:</t>
        </r>
        <r>
          <rPr>
            <sz val="9"/>
            <color indexed="81"/>
            <rFont val="Verdana"/>
            <family val="2"/>
          </rPr>
          <t xml:space="preserve">
"medication adjustments were advised and communicated to participants in both the telephone and modem groups." pg. 243</t>
        </r>
      </text>
    </comment>
    <comment ref="K170" authorId="3" shapeId="0" xr:uid="{00000000-0006-0000-0200-000047010000}">
      <text>
        <r>
          <rPr>
            <b/>
            <sz val="9"/>
            <color indexed="81"/>
            <rFont val="Verdana"/>
            <family val="2"/>
          </rPr>
          <t>Kristin Danko:</t>
        </r>
        <r>
          <rPr>
            <sz val="9"/>
            <color indexed="81"/>
            <rFont val="Verdana"/>
            <family val="2"/>
          </rPr>
          <t xml:space="preserve">
"Nurse educators received patient information and were responsible for evaluation of the degree of BG control." pg 243</t>
        </r>
      </text>
    </comment>
    <comment ref="M170" authorId="3" shapeId="0" xr:uid="{00000000-0006-0000-0200-000048010000}">
      <text>
        <r>
          <rPr>
            <b/>
            <sz val="9"/>
            <color indexed="81"/>
            <rFont val="Verdana"/>
            <family val="2"/>
          </rPr>
          <t>Kristin Danko:</t>
        </r>
        <r>
          <rPr>
            <sz val="9"/>
            <color indexed="81"/>
            <rFont val="Verdana"/>
            <family val="2"/>
          </rPr>
          <t xml:space="preserve">
"self management skills" pg. 243</t>
        </r>
      </text>
    </comment>
    <comment ref="F171" authorId="3" shapeId="0" xr:uid="{00000000-0006-0000-0200-000049010000}">
      <text>
        <r>
          <rPr>
            <b/>
            <sz val="9"/>
            <color indexed="81"/>
            <rFont val="Verdana"/>
            <family val="2"/>
          </rPr>
          <t>Kristin Danko:</t>
        </r>
        <r>
          <rPr>
            <sz val="9"/>
            <color indexed="81"/>
            <rFont val="Verdana"/>
            <family val="2"/>
          </rPr>
          <t xml:space="preserve">
"Nurse educators received patient information and were responsible for evaluation of the degree of BG control." pg 243</t>
        </r>
      </text>
    </comment>
    <comment ref="G171" authorId="3" shapeId="0" xr:uid="{00000000-0006-0000-0200-00004A010000}">
      <text>
        <r>
          <rPr>
            <b/>
            <sz val="9"/>
            <color indexed="81"/>
            <rFont val="Verdana"/>
            <family val="2"/>
          </rPr>
          <t>Kristin Danko:</t>
        </r>
        <r>
          <rPr>
            <sz val="9"/>
            <color indexed="81"/>
            <rFont val="Verdana"/>
            <family val="2"/>
          </rPr>
          <t xml:space="preserve">
"medication adjustments were advised and communicated to participants in both the telephone and modem groups." pg. 243</t>
        </r>
      </text>
    </comment>
    <comment ref="K171" authorId="3" shapeId="0" xr:uid="{00000000-0006-0000-0200-00004B010000}">
      <text>
        <r>
          <rPr>
            <b/>
            <sz val="9"/>
            <color indexed="81"/>
            <rFont val="Verdana"/>
            <family val="2"/>
          </rPr>
          <t>Kristin Danko:</t>
        </r>
        <r>
          <rPr>
            <sz val="9"/>
            <color indexed="81"/>
            <rFont val="Verdana"/>
            <family val="2"/>
          </rPr>
          <t xml:space="preserve">
"Nurse educators received patient information and were responsible for evaluation of the degree of BG control." pg 243</t>
        </r>
      </text>
    </comment>
    <comment ref="M171" authorId="3" shapeId="0" xr:uid="{00000000-0006-0000-0200-00004C010000}">
      <text>
        <r>
          <rPr>
            <b/>
            <sz val="9"/>
            <color indexed="81"/>
            <rFont val="Verdana"/>
            <family val="2"/>
          </rPr>
          <t>Kristin Danko:</t>
        </r>
        <r>
          <rPr>
            <sz val="9"/>
            <color indexed="81"/>
            <rFont val="Verdana"/>
            <family val="2"/>
          </rPr>
          <t xml:space="preserve">
"self management skills" pg. 243</t>
        </r>
      </text>
    </comment>
    <comment ref="L172" authorId="3" shapeId="0" xr:uid="{00000000-0006-0000-0200-00004D010000}">
      <text>
        <r>
          <rPr>
            <b/>
            <sz val="9"/>
            <color indexed="81"/>
            <rFont val="Verdana"/>
            <family val="2"/>
          </rPr>
          <t>Kristin Danko:</t>
        </r>
        <r>
          <rPr>
            <sz val="9"/>
            <color indexed="81"/>
            <rFont val="Verdana"/>
            <family val="2"/>
          </rPr>
          <t xml:space="preserve">
"It was 49 pages in length" pg. 155</t>
        </r>
      </text>
    </comment>
    <comment ref="F173" authorId="3" shapeId="0" xr:uid="{00000000-0006-0000-0200-00004E010000}">
      <text>
        <r>
          <rPr>
            <b/>
            <sz val="9"/>
            <color indexed="81"/>
            <rFont val="Verdana"/>
            <family val="2"/>
          </rPr>
          <t>Kristin Danko:</t>
        </r>
        <r>
          <rPr>
            <sz val="9"/>
            <color indexed="81"/>
            <rFont val="Verdana"/>
            <family val="2"/>
          </rPr>
          <t xml:space="preserve">
"a doctoral nursing student. She followed a set of detailed treatment procedures under the direction of a diabetes specialist who was responsible for all
diabetes management decisions for patients in the intervention group" pg. 156 </t>
        </r>
      </text>
    </comment>
    <comment ref="G173" authorId="3" shapeId="0" xr:uid="{00000000-0006-0000-0200-00004F010000}">
      <text>
        <r>
          <rPr>
            <b/>
            <sz val="9"/>
            <color indexed="81"/>
            <rFont val="Verdana"/>
            <family val="2"/>
          </rPr>
          <t>Kristin Danko:</t>
        </r>
        <r>
          <rPr>
            <sz val="9"/>
            <color indexed="81"/>
            <rFont val="Verdana"/>
            <family val="2"/>
          </rPr>
          <t xml:space="preserve">
"A registered dietician analyzed subjects’ daily caloric intake and made recommendations for appropriate diabetic dietary control based on the subjects’ diet and exercise patterns." pg. 156</t>
        </r>
      </text>
    </comment>
    <comment ref="K173" authorId="3" shapeId="0" xr:uid="{00000000-0006-0000-0200-000050010000}">
      <text>
        <r>
          <rPr>
            <b/>
            <sz val="9"/>
            <color indexed="81"/>
            <rFont val="Verdana"/>
            <family val="2"/>
          </rPr>
          <t>Kristin Danko:</t>
        </r>
        <r>
          <rPr>
            <sz val="9"/>
            <color indexed="81"/>
            <rFont val="Verdana"/>
            <family val="2"/>
          </rPr>
          <t xml:space="preserve">
"researcher then adjustedmedications after reviewing the blood glucose log" pg. 156</t>
        </r>
      </text>
    </comment>
    <comment ref="L173" authorId="3" shapeId="0" xr:uid="{00000000-0006-0000-0200-000051010000}">
      <text>
        <r>
          <rPr>
            <b/>
            <sz val="9"/>
            <color indexed="81"/>
            <rFont val="Verdana"/>
            <family val="2"/>
          </rPr>
          <t>Kristin Danko:</t>
        </r>
        <r>
          <rPr>
            <sz val="9"/>
            <color indexed="81"/>
            <rFont val="Verdana"/>
            <family val="2"/>
          </rPr>
          <t xml:space="preserve">
"It was 49 pages in length" pg. 155</t>
        </r>
      </text>
    </comment>
    <comment ref="M173" authorId="3" shapeId="0" xr:uid="{00000000-0006-0000-0200-000052010000}">
      <text>
        <r>
          <rPr>
            <b/>
            <sz val="9"/>
            <color indexed="81"/>
            <rFont val="Verdana"/>
            <family val="2"/>
          </rPr>
          <t>Kristin Danko:</t>
        </r>
        <r>
          <rPr>
            <sz val="9"/>
            <color indexed="81"/>
            <rFont val="Verdana"/>
            <family val="2"/>
          </rPr>
          <t xml:space="preserve">
"and reinforcement of diet, exercise, and medication adjustment" pg. 156</t>
        </r>
      </text>
    </comment>
    <comment ref="F175" authorId="3" shapeId="0" xr:uid="{00000000-0006-0000-0200-000053010000}">
      <text>
        <r>
          <rPr>
            <b/>
            <sz val="9"/>
            <color indexed="81"/>
            <rFont val="Verdana"/>
            <family val="2"/>
          </rPr>
          <t>Kristin Danko:</t>
        </r>
        <r>
          <rPr>
            <sz val="9"/>
            <color indexed="81"/>
            <rFont val="Verdana"/>
            <family val="2"/>
          </rPr>
          <t xml:space="preserve">
"case management" title </t>
        </r>
      </text>
    </comment>
    <comment ref="G175" authorId="3" shapeId="0" xr:uid="{00000000-0006-0000-0200-000054010000}">
      <text>
        <r>
          <rPr>
            <b/>
            <sz val="9"/>
            <color indexed="81"/>
            <rFont val="Verdana"/>
            <family val="2"/>
          </rPr>
          <t>Kristin Danko:</t>
        </r>
        <r>
          <rPr>
            <sz val="9"/>
            <color indexed="81"/>
            <rFont val="Verdana"/>
            <family val="2"/>
          </rPr>
          <t xml:space="preserve">
"team-based approach to management" pg. 256</t>
        </r>
      </text>
    </comment>
    <comment ref="L175" authorId="3" shapeId="0" xr:uid="{00000000-0006-0000-0200-000055010000}">
      <text>
        <r>
          <rPr>
            <b/>
            <sz val="9"/>
            <color indexed="81"/>
            <rFont val="Verdana"/>
            <family val="2"/>
          </rPr>
          <t>Kristin Danko:</t>
        </r>
        <r>
          <rPr>
            <sz val="9"/>
            <color indexed="81"/>
            <rFont val="Verdana"/>
            <family val="2"/>
          </rPr>
          <t xml:space="preserve">
"in addition to an initial assessment of medication management, the clinical pharmacist provided patients with basic education regarding diabetes self management skills." pg. 256</t>
        </r>
      </text>
    </comment>
    <comment ref="M175" authorId="3" shapeId="0" xr:uid="{00000000-0006-0000-0200-000056010000}">
      <text>
        <r>
          <rPr>
            <b/>
            <sz val="9"/>
            <color indexed="81"/>
            <rFont val="Verdana"/>
            <family val="2"/>
          </rPr>
          <t>Kristin Danko:</t>
        </r>
        <r>
          <rPr>
            <sz val="9"/>
            <color indexed="81"/>
            <rFont val="Verdana"/>
            <family val="2"/>
          </rPr>
          <t xml:space="preserve">
"self-management diabetes education" pg. 253</t>
        </r>
      </text>
    </comment>
    <comment ref="I176" authorId="3" shapeId="0" xr:uid="{00000000-0006-0000-0200-000057010000}">
      <text>
        <r>
          <rPr>
            <b/>
            <sz val="9"/>
            <color indexed="81"/>
            <rFont val="Verdana"/>
            <family val="2"/>
          </rPr>
          <t>Kristin Danko:</t>
        </r>
        <r>
          <rPr>
            <sz val="9"/>
            <color indexed="81"/>
            <rFont val="Verdana"/>
            <family val="2"/>
          </rPr>
          <t xml:space="preserve">
"included diabetes education for the patient, and treatment
recommendations were given to the patient’s primary care
provider" pg. 3</t>
        </r>
      </text>
    </comment>
    <comment ref="L176" authorId="3" shapeId="0" xr:uid="{00000000-0006-0000-0200-000058010000}">
      <text>
        <r>
          <rPr>
            <b/>
            <sz val="9"/>
            <color indexed="81"/>
            <rFont val="Verdana"/>
            <family val="2"/>
          </rPr>
          <t>Kristin Danko:</t>
        </r>
        <r>
          <rPr>
            <sz val="9"/>
            <color indexed="81"/>
            <rFont val="Verdana"/>
            <family val="2"/>
          </rPr>
          <t xml:space="preserve">
"included diabetes education for the patient, and treatment
recommendations were given to the patient’s primary care
provider" pg. 3</t>
        </r>
      </text>
    </comment>
    <comment ref="F177" authorId="3" shapeId="0" xr:uid="{00000000-0006-0000-0200-000059010000}">
      <text>
        <r>
          <rPr>
            <b/>
            <sz val="9"/>
            <color indexed="81"/>
            <rFont val="Verdana"/>
            <family val="2"/>
          </rPr>
          <t>Kristin Danko:</t>
        </r>
        <r>
          <rPr>
            <sz val="9"/>
            <color indexed="81"/>
            <rFont val="Verdana"/>
            <family val="2"/>
          </rPr>
          <t xml:space="preserve">
"received intensive management from clinical pharmacists, as well as from a diabetes care coordinator" pg. 276</t>
        </r>
      </text>
    </comment>
    <comment ref="G177" authorId="3" shapeId="0" xr:uid="{00000000-0006-0000-0200-00005A010000}">
      <text>
        <r>
          <rPr>
            <b/>
            <sz val="9"/>
            <color indexed="81"/>
            <rFont val="Verdana"/>
            <family val="2"/>
          </rPr>
          <t>Kristin Danko:</t>
        </r>
        <r>
          <rPr>
            <sz val="9"/>
            <color indexed="81"/>
            <rFont val="Verdana"/>
            <family val="2"/>
          </rPr>
          <t xml:space="preserve">
"received intensive management from clinical pharmacists, as well as from a diabetes care coordinator" pg. 276</t>
        </r>
      </text>
    </comment>
    <comment ref="H177" authorId="3" shapeId="0" xr:uid="{00000000-0006-0000-0200-00005B010000}">
      <text>
        <r>
          <rPr>
            <b/>
            <sz val="9"/>
            <color indexed="81"/>
            <rFont val="Verdana"/>
            <family val="2"/>
          </rPr>
          <t>Kristin Danko:</t>
        </r>
        <r>
          <rPr>
            <sz val="9"/>
            <color indexed="81"/>
            <rFont val="Verdana"/>
            <family val="2"/>
          </rPr>
          <t xml:space="preserve">
"A Microsoft Access (Redmond, Washington) database
was developed to track patient outcomes and proactively
improve care." pg. 3</t>
        </r>
      </text>
    </comment>
    <comment ref="I177" authorId="3" shapeId="0" xr:uid="{00000000-0006-0000-0200-00005C010000}">
      <text>
        <r>
          <rPr>
            <b/>
            <sz val="9"/>
            <color indexed="81"/>
            <rFont val="Verdana"/>
            <family val="2"/>
          </rPr>
          <t>Kristin Danko:</t>
        </r>
        <r>
          <rPr>
            <sz val="9"/>
            <color indexed="81"/>
            <rFont val="Verdana"/>
            <family val="2"/>
          </rPr>
          <t xml:space="preserve">
"included diabetes education for the patient, and treatment
recommendations were given to the patient’s primary care
provider" pg. 3</t>
        </r>
      </text>
    </comment>
    <comment ref="L177" authorId="3" shapeId="0" xr:uid="{00000000-0006-0000-0200-00005D010000}">
      <text>
        <r>
          <rPr>
            <b/>
            <sz val="9"/>
            <color indexed="81"/>
            <rFont val="Verdana"/>
            <family val="2"/>
          </rPr>
          <t>Kristin Danko:</t>
        </r>
        <r>
          <rPr>
            <sz val="9"/>
            <color indexed="81"/>
            <rFont val="Verdana"/>
            <family val="2"/>
          </rPr>
          <t xml:space="preserve">
"included diabetes education for the patient, and treatment
recommendations were given to the patient’s primary care
provider" pg. 3</t>
        </r>
      </text>
    </comment>
    <comment ref="N177" authorId="3" shapeId="0" xr:uid="{00000000-0006-0000-0200-00005E010000}">
      <text>
        <r>
          <rPr>
            <b/>
            <sz val="9"/>
            <color indexed="81"/>
            <rFont val="Verdana"/>
            <family val="2"/>
          </rPr>
          <t>Kristin Danko:</t>
        </r>
        <r>
          <rPr>
            <sz val="9"/>
            <color indexed="81"/>
            <rFont val="Verdana"/>
            <family val="2"/>
          </rPr>
          <t xml:space="preserve">
"coordinator called patients regularly to remind them of
appointments and to assess" pg. 3</t>
        </r>
      </text>
    </comment>
    <comment ref="F179" authorId="3" shapeId="0" xr:uid="{00000000-0006-0000-0200-00005F010000}">
      <text>
        <r>
          <rPr>
            <b/>
            <sz val="9"/>
            <color indexed="81"/>
            <rFont val="Verdana"/>
            <family val="2"/>
          </rPr>
          <t>Kristin Danko:</t>
        </r>
        <r>
          <rPr>
            <sz val="9"/>
            <color indexed="81"/>
            <rFont val="Verdana"/>
            <family val="2"/>
          </rPr>
          <t xml:space="preserve">
"The pharmacist maintained regular contact with the subjects with weekly in-person or telephone meetings" pg. 2</t>
        </r>
      </text>
    </comment>
    <comment ref="G179" authorId="3" shapeId="0" xr:uid="{00000000-0006-0000-0200-000060010000}">
      <text>
        <r>
          <rPr>
            <b/>
            <sz val="9"/>
            <color indexed="81"/>
            <rFont val="Verdana"/>
            <family val="2"/>
          </rPr>
          <t>Kristin Danko:</t>
        </r>
        <r>
          <rPr>
            <sz val="9"/>
            <color indexed="81"/>
            <rFont val="Verdana"/>
            <family val="2"/>
          </rPr>
          <t xml:space="preserve">
"The pharmacist maintained regular contact with the subjects with weekly in-person or telephone meetings" pg. 2</t>
        </r>
      </text>
    </comment>
    <comment ref="L179" authorId="0" shapeId="0" xr:uid="{00000000-0006-0000-0200-000061010000}">
      <text>
        <r>
          <rPr>
            <b/>
            <sz val="8"/>
            <color indexed="81"/>
            <rFont val="Tahoma"/>
            <family val="2"/>
          </rPr>
          <t>kdanko:</t>
        </r>
        <r>
          <rPr>
            <sz val="8"/>
            <color indexed="81"/>
            <rFont val="Tahoma"/>
            <family val="2"/>
          </rPr>
          <t xml:space="preserve">
"address pt's individual diabetes educational needs" pg. 7</t>
        </r>
      </text>
    </comment>
    <comment ref="M179" authorId="0" shapeId="0" xr:uid="{00000000-0006-0000-0200-000062010000}">
      <text>
        <r>
          <rPr>
            <b/>
            <sz val="8"/>
            <color indexed="81"/>
            <rFont val="Tahoma"/>
            <family val="2"/>
          </rPr>
          <t>kdanko:</t>
        </r>
        <r>
          <rPr>
            <sz val="8"/>
            <color indexed="81"/>
            <rFont val="Tahoma"/>
            <family val="2"/>
          </rPr>
          <t xml:space="preserve">
"Assessment of diabetes care needs (baseline, 6 mo, 12 mo)
determine diabetes care goals" pg. 7</t>
        </r>
      </text>
    </comment>
    <comment ref="G180" authorId="3" shapeId="0" xr:uid="{00000000-0006-0000-0200-000063010000}">
      <text>
        <r>
          <rPr>
            <b/>
            <sz val="9"/>
            <color indexed="81"/>
            <rFont val="Verdana"/>
            <family val="2"/>
          </rPr>
          <t>Kristin Danko:</t>
        </r>
        <r>
          <rPr>
            <sz val="9"/>
            <color indexed="81"/>
            <rFont val="Verdana"/>
            <family val="2"/>
          </rPr>
          <t xml:space="preserve">
(2) individual visits with a Registered Nurse and a nutritionist; (3) collaborative care
management" pg. 2</t>
        </r>
      </text>
    </comment>
    <comment ref="L180" authorId="3" shapeId="0" xr:uid="{00000000-0006-0000-0200-000064010000}">
      <text>
        <r>
          <rPr>
            <b/>
            <sz val="9"/>
            <color indexed="81"/>
            <rFont val="Verdana"/>
            <family val="2"/>
          </rPr>
          <t>Kristin Danko:</t>
        </r>
        <r>
          <rPr>
            <sz val="9"/>
            <color indexed="81"/>
            <rFont val="Verdana"/>
            <family val="2"/>
          </rPr>
          <t xml:space="preserve">
"three 4-hr educational classes" pg. 2</t>
        </r>
      </text>
    </comment>
    <comment ref="M180" authorId="3" shapeId="0" xr:uid="{00000000-0006-0000-0200-000065010000}">
      <text>
        <r>
          <rPr>
            <b/>
            <sz val="9"/>
            <color indexed="81"/>
            <rFont val="Verdana"/>
            <family val="2"/>
          </rPr>
          <t>Kristin Danko:</t>
        </r>
        <r>
          <rPr>
            <sz val="9"/>
            <color indexed="81"/>
            <rFont val="Verdana"/>
            <family val="2"/>
          </rPr>
          <t xml:space="preserve">
"blood glucose monitoring) and strategies to enhance self-management" pg. 2</t>
        </r>
      </text>
    </comment>
    <comment ref="F181" authorId="3" shapeId="0" xr:uid="{00000000-0006-0000-0200-000066010000}">
      <text>
        <r>
          <rPr>
            <b/>
            <sz val="9"/>
            <color indexed="81"/>
            <rFont val="Verdana"/>
            <family val="2"/>
          </rPr>
          <t>Kristin Danko:</t>
        </r>
        <r>
          <rPr>
            <sz val="9"/>
            <color indexed="81"/>
            <rFont val="Verdana"/>
            <family val="2"/>
          </rPr>
          <t xml:space="preserve">
"The intervention consisted of a series of 12 weekly phone calls" pg. 2</t>
        </r>
      </text>
    </comment>
    <comment ref="G181" authorId="3" shapeId="0" xr:uid="{00000000-0006-0000-0200-000067010000}">
      <text>
        <r>
          <rPr>
            <b/>
            <sz val="9"/>
            <color indexed="81"/>
            <rFont val="Verdana"/>
            <family val="2"/>
          </rPr>
          <t>Kristin Danko:</t>
        </r>
        <r>
          <rPr>
            <sz val="9"/>
            <color indexed="81"/>
            <rFont val="Verdana"/>
            <family val="2"/>
          </rPr>
          <t xml:space="preserve">
(2) individual visits with a Registered Nurse and a nutritionist; (3) collaborative care
management" pg. 2</t>
        </r>
      </text>
    </comment>
    <comment ref="L181" authorId="3" shapeId="0" xr:uid="{00000000-0006-0000-0200-000068010000}">
      <text>
        <r>
          <rPr>
            <b/>
            <sz val="9"/>
            <color indexed="81"/>
            <rFont val="Verdana"/>
            <family val="2"/>
          </rPr>
          <t>Kristin Danko:</t>
        </r>
        <r>
          <rPr>
            <sz val="9"/>
            <color indexed="81"/>
            <rFont val="Verdana"/>
            <family val="2"/>
          </rPr>
          <t xml:space="preserve">
"three 4-hr educational classes" pg. 2</t>
        </r>
      </text>
    </comment>
    <comment ref="M181" authorId="3" shapeId="0" xr:uid="{00000000-0006-0000-0200-000069010000}">
      <text>
        <r>
          <rPr>
            <b/>
            <sz val="9"/>
            <color indexed="81"/>
            <rFont val="Verdana"/>
            <family val="2"/>
          </rPr>
          <t>Kristin Danko:</t>
        </r>
        <r>
          <rPr>
            <sz val="9"/>
            <color indexed="81"/>
            <rFont val="Verdana"/>
            <family val="2"/>
          </rPr>
          <t xml:space="preserve">
"blood glucose monitoring) and strategies to enhance self-management" pg. 2</t>
        </r>
      </text>
    </comment>
    <comment ref="L182" authorId="3" shapeId="0" xr:uid="{00000000-0006-0000-0200-00006A010000}">
      <text>
        <r>
          <rPr>
            <b/>
            <sz val="9"/>
            <color indexed="81"/>
            <rFont val="Verdana"/>
            <family val="2"/>
          </rPr>
          <t>Kristin Danko:</t>
        </r>
        <r>
          <rPr>
            <sz val="9"/>
            <color indexed="81"/>
            <rFont val="Verdana"/>
            <family val="2"/>
          </rPr>
          <t xml:space="preserve">
"visits as intervention patients and received a printout, but one that focused on general health risks and risk reduction" pg. 35</t>
        </r>
      </text>
    </comment>
    <comment ref="F183" authorId="3" shapeId="0" xr:uid="{00000000-0006-0000-0200-00006B010000}">
      <text>
        <r>
          <rPr>
            <b/>
            <sz val="9"/>
            <color indexed="81"/>
            <rFont val="Verdana"/>
            <family val="2"/>
          </rPr>
          <t>Kristin Danko:</t>
        </r>
        <r>
          <rPr>
            <sz val="9"/>
            <color indexed="81"/>
            <rFont val="Verdana"/>
            <family val="2"/>
          </rPr>
          <t xml:space="preserve">
"care manager was an existing clinic staff member (usually a nurse or a medical assistant) who conducted a brief counselling session with the patient" pg. 3</t>
        </r>
      </text>
    </comment>
    <comment ref="K183" authorId="3" shapeId="0" xr:uid="{00000000-0006-0000-0200-00006C010000}">
      <text>
        <r>
          <rPr>
            <b/>
            <sz val="9"/>
            <color indexed="81"/>
            <rFont val="Verdana"/>
            <family val="2"/>
          </rPr>
          <t>Kristin Danko:</t>
        </r>
        <r>
          <rPr>
            <sz val="9"/>
            <color indexed="81"/>
            <rFont val="Verdana"/>
            <family val="2"/>
          </rPr>
          <t xml:space="preserve">
"included a summary of assay/checks the patient might be due for" pg. 3</t>
        </r>
      </text>
    </comment>
    <comment ref="L183" authorId="3" shapeId="0" xr:uid="{00000000-0006-0000-0200-00006D010000}">
      <text>
        <r>
          <rPr>
            <b/>
            <sz val="9"/>
            <color indexed="81"/>
            <rFont val="Verdana"/>
            <family val="2"/>
          </rPr>
          <t>Kristin Danko:</t>
        </r>
        <r>
          <rPr>
            <sz val="9"/>
            <color indexed="81"/>
            <rFont val="Verdana"/>
            <family val="2"/>
          </rPr>
          <t xml:space="preserve">
"visits as intervention patients and received a printout, but one that focused on general health risks and risk reduction" pg. 35</t>
        </r>
      </text>
    </comment>
    <comment ref="M183" authorId="3" shapeId="0" xr:uid="{00000000-0006-0000-0200-00006E010000}">
      <text>
        <r>
          <rPr>
            <b/>
            <sz val="9"/>
            <color indexed="81"/>
            <rFont val="Verdana"/>
            <family val="2"/>
          </rPr>
          <t>Kristin Danko:</t>
        </r>
        <r>
          <rPr>
            <sz val="9"/>
            <color indexed="81"/>
            <rFont val="Verdana"/>
            <family val="2"/>
          </rPr>
          <t xml:space="preserve">
"and action-planning procedure" pg. 2</t>
        </r>
      </text>
    </comment>
    <comment ref="F185" authorId="3" shapeId="0" xr:uid="{00000000-0006-0000-0200-00006F010000}">
      <text>
        <r>
          <rPr>
            <b/>
            <sz val="9"/>
            <color indexed="81"/>
            <rFont val="Verdana"/>
            <family val="2"/>
          </rPr>
          <t>Kristin Danko:</t>
        </r>
        <r>
          <rPr>
            <sz val="9"/>
            <color indexed="81"/>
            <rFont val="Verdana"/>
            <family val="2"/>
          </rPr>
          <t xml:space="preserve">
"received 4 to 5 visits from the nurse, as well as 1 visit from the dietitian." pg4</t>
        </r>
      </text>
    </comment>
    <comment ref="G185" authorId="3" shapeId="0" xr:uid="{00000000-0006-0000-0200-000070010000}">
      <text>
        <r>
          <rPr>
            <b/>
            <sz val="9"/>
            <color indexed="81"/>
            <rFont val="Verdana"/>
            <family val="2"/>
          </rPr>
          <t>Kristin Danko:</t>
        </r>
        <r>
          <rPr>
            <sz val="9"/>
            <color indexed="81"/>
            <rFont val="Verdana"/>
            <family val="2"/>
          </rPr>
          <t xml:space="preserve">
"Throughout the study period, the nurse made notes about observations and interventions, which were shared with the physicians in regularly scheduled case conferences." pg. 5</t>
        </r>
      </text>
    </comment>
    <comment ref="L185" authorId="3" shapeId="0" xr:uid="{00000000-0006-0000-0200-000071010000}">
      <text>
        <r>
          <rPr>
            <b/>
            <sz val="9"/>
            <color indexed="81"/>
            <rFont val="Verdana"/>
            <family val="2"/>
          </rPr>
          <t>Kristin Danko:</t>
        </r>
        <r>
          <rPr>
            <sz val="9"/>
            <color indexed="81"/>
            <rFont val="Verdana"/>
            <family val="2"/>
          </rPr>
          <t xml:space="preserve">
"received 4 to 5 visits from the nurse, as well as 1 visit from the dietitian." pg4</t>
        </r>
      </text>
    </comment>
    <comment ref="M185" authorId="3" shapeId="0" xr:uid="{00000000-0006-0000-0200-000072010000}">
      <text>
        <r>
          <rPr>
            <b/>
            <sz val="9"/>
            <color indexed="81"/>
            <rFont val="Verdana"/>
            <family val="2"/>
          </rPr>
          <t>Kristin Danko:</t>
        </r>
        <r>
          <rPr>
            <sz val="9"/>
            <color indexed="81"/>
            <rFont val="Verdana"/>
            <family val="2"/>
          </rPr>
          <t xml:space="preserve">
"self-management"; "goal setting is mutual" pg. 4</t>
        </r>
      </text>
    </comment>
    <comment ref="J187" authorId="3" shapeId="0" xr:uid="{00000000-0006-0000-0200-000073010000}">
      <text>
        <r>
          <rPr>
            <b/>
            <sz val="9"/>
            <color indexed="81"/>
            <rFont val="Verdana"/>
            <family val="2"/>
          </rPr>
          <t>Kristin Danko:</t>
        </r>
        <r>
          <rPr>
            <sz val="9"/>
            <color indexed="81"/>
            <rFont val="Verdana"/>
            <family val="2"/>
          </rPr>
          <t xml:space="preserve">
"Figure 3. The Self Management Support module’s first page introduces self management as a five step process" [prompting what to say to patient] pg. 3</t>
        </r>
      </text>
    </comment>
    <comment ref="L187" authorId="3" shapeId="0" xr:uid="{00000000-0006-0000-0200-000074010000}">
      <text>
        <r>
          <rPr>
            <b/>
            <sz val="9"/>
            <color indexed="81"/>
            <rFont val="Verdana"/>
            <family val="2"/>
          </rPr>
          <t>Kristin Danko:</t>
        </r>
        <r>
          <rPr>
            <sz val="9"/>
            <color indexed="81"/>
            <rFont val="Verdana"/>
            <family val="2"/>
          </rPr>
          <t xml:space="preserve">
"tailored to the individual patient for the chosen topic" pg. 3</t>
        </r>
      </text>
    </comment>
    <comment ref="M187" authorId="3" shapeId="0" xr:uid="{00000000-0006-0000-0200-000075010000}">
      <text>
        <r>
          <rPr>
            <b/>
            <sz val="9"/>
            <color indexed="81"/>
            <rFont val="Verdana"/>
            <family val="2"/>
          </rPr>
          <t>Kristin Danko:</t>
        </r>
        <r>
          <rPr>
            <sz val="9"/>
            <color indexed="81"/>
            <rFont val="Verdana"/>
            <family val="2"/>
          </rPr>
          <t xml:space="preserve">
"self-management support" pg. 2</t>
        </r>
      </text>
    </comment>
    <comment ref="E189" authorId="3" shapeId="0" xr:uid="{00000000-0006-0000-0200-000076010000}">
      <text>
        <r>
          <rPr>
            <b/>
            <sz val="9"/>
            <color indexed="81"/>
            <rFont val="Verdana"/>
            <family val="2"/>
          </rPr>
          <t>Kristin Danko:</t>
        </r>
        <r>
          <rPr>
            <sz val="9"/>
            <color indexed="81"/>
            <rFont val="Verdana"/>
            <family val="2"/>
          </rPr>
          <t xml:space="preserve">
"practice nurse received a list of patients
that were above target at their last review." pg. 2</t>
        </r>
      </text>
    </comment>
    <comment ref="I189" authorId="3" shapeId="0" xr:uid="{00000000-0006-0000-0200-000077010000}">
      <text>
        <r>
          <rPr>
            <b/>
            <sz val="9"/>
            <color indexed="81"/>
            <rFont val="Verdana"/>
            <family val="2"/>
          </rPr>
          <t>Kristin Danko:</t>
        </r>
        <r>
          <rPr>
            <sz val="9"/>
            <color indexed="81"/>
            <rFont val="Verdana"/>
            <family val="2"/>
          </rPr>
          <t xml:space="preserve">
"case examples" pg. 2</t>
        </r>
      </text>
    </comment>
    <comment ref="L189" authorId="3" shapeId="0" xr:uid="{00000000-0006-0000-0200-000078010000}">
      <text>
        <r>
          <rPr>
            <b/>
            <sz val="9"/>
            <color indexed="81"/>
            <rFont val="Verdana"/>
            <family val="2"/>
          </rPr>
          <t>Kristin Danko:</t>
        </r>
        <r>
          <rPr>
            <sz val="9"/>
            <color indexed="81"/>
            <rFont val="Verdana"/>
            <family val="2"/>
          </rPr>
          <t xml:space="preserve">
"Patients were initially provided with life-style advice to improve
metabolic control." pg. 2</t>
        </r>
      </text>
    </comment>
    <comment ref="L190" authorId="0" shapeId="0" xr:uid="{00000000-0006-0000-0200-000079010000}">
      <text>
        <r>
          <rPr>
            <b/>
            <sz val="8"/>
            <color indexed="81"/>
            <rFont val="Tahoma"/>
            <family val="2"/>
          </rPr>
          <t>kdanko:</t>
        </r>
        <r>
          <rPr>
            <sz val="8"/>
            <color indexed="81"/>
            <rFont val="Tahoma"/>
            <family val="2"/>
          </rPr>
          <t xml:space="preserve">
"a lay version of the VA Diabetes Clinical Guidelines (36), and a periodic study newsletter." pg. 2</t>
        </r>
      </text>
    </comment>
    <comment ref="M190" authorId="0" shapeId="0" xr:uid="{00000000-0006-0000-0200-00007A010000}">
      <text>
        <r>
          <rPr>
            <b/>
            <sz val="8"/>
            <color indexed="81"/>
            <rFont val="Tahoma"/>
            <family val="2"/>
          </rPr>
          <t>kdanko:</t>
        </r>
        <r>
          <rPr>
            <sz val="8"/>
            <color indexed="81"/>
            <rFont val="Tahoma"/>
            <family val="2"/>
          </rPr>
          <t xml:space="preserve">
"All study participants were given an A&amp;D Medical semiautomatic blood pressure monitor (Model UA-702H; Milpitas, California), home blood pressure monitoring guidelines" pg. 2</t>
        </r>
      </text>
    </comment>
    <comment ref="F191" authorId="0" shapeId="0" xr:uid="{00000000-0006-0000-0200-00007B010000}">
      <text>
        <r>
          <rPr>
            <b/>
            <sz val="8"/>
            <color indexed="81"/>
            <rFont val="Tahoma"/>
            <family val="2"/>
          </rPr>
          <t>kdanko:</t>
        </r>
        <r>
          <rPr>
            <sz val="8"/>
            <color indexed="81"/>
            <rFont val="Tahoma"/>
            <family val="2"/>
          </rPr>
          <t xml:space="preserve">
"Case management" (title); </t>
        </r>
      </text>
    </comment>
    <comment ref="L191" authorId="0" shapeId="0" xr:uid="{00000000-0006-0000-0200-00007C010000}">
      <text>
        <r>
          <rPr>
            <b/>
            <sz val="8"/>
            <color indexed="81"/>
            <rFont val="Tahoma"/>
            <family val="2"/>
          </rPr>
          <t>kdanko:</t>
        </r>
        <r>
          <rPr>
            <sz val="8"/>
            <color indexed="81"/>
            <rFont val="Tahoma"/>
            <family val="2"/>
          </rPr>
          <t xml:space="preserve">
"a lay version of the VA Diabetes Clinical Guidelines (36), and a periodic study newsletter." pg. 2</t>
        </r>
      </text>
    </comment>
    <comment ref="M191" authorId="0" shapeId="0" xr:uid="{00000000-0006-0000-0200-00007D010000}">
      <text>
        <r>
          <rPr>
            <b/>
            <sz val="8"/>
            <color indexed="81"/>
            <rFont val="Tahoma"/>
            <family val="2"/>
          </rPr>
          <t>kdanko:</t>
        </r>
        <r>
          <rPr>
            <sz val="8"/>
            <color indexed="81"/>
            <rFont val="Tahoma"/>
            <family val="2"/>
          </rPr>
          <t xml:space="preserve">
"All study participants were given an A&amp;D Medical semiautomatic blood pressure monitor (Model UA-702H; Milpitas, California), home blood pressure monitoring guidelines" pg. 2</t>
        </r>
      </text>
    </comment>
    <comment ref="N191" authorId="0" shapeId="0" xr:uid="{00000000-0006-0000-0200-00007E010000}">
      <text>
        <r>
          <rPr>
            <b/>
            <sz val="8"/>
            <color indexed="81"/>
            <rFont val="Tahoma"/>
            <family val="2"/>
          </rPr>
          <t>kdanko:</t>
        </r>
        <r>
          <rPr>
            <sz val="8"/>
            <color indexed="81"/>
            <rFont val="Tahoma"/>
            <family val="2"/>
          </rPr>
          <t xml:space="preserve">
"provide reminders" pg. 2</t>
        </r>
      </text>
    </comment>
    <comment ref="M192" authorId="3" shapeId="0" xr:uid="{00000000-0006-0000-0200-00007F010000}">
      <text>
        <r>
          <rPr>
            <b/>
            <sz val="9"/>
            <color indexed="81"/>
            <rFont val="Verdana"/>
            <family val="2"/>
          </rPr>
          <t>Kristin Danko:</t>
        </r>
        <r>
          <rPr>
            <sz val="9"/>
            <color indexed="81"/>
            <rFont val="Verdana"/>
            <family val="2"/>
          </rPr>
          <t xml:space="preserve">
"blood glucose four times per day, 7 days per week, and to transmit the recorded glucometer data at least every 2 weeks" pg. 2</t>
        </r>
      </text>
    </comment>
    <comment ref="F193" authorId="3" shapeId="0" xr:uid="{00000000-0006-0000-0200-000080010000}">
      <text>
        <r>
          <rPr>
            <b/>
            <sz val="9"/>
            <color indexed="81"/>
            <rFont val="Verdana"/>
            <family val="2"/>
          </rPr>
          <t>Kristin Danko:</t>
        </r>
        <r>
          <rPr>
            <sz val="9"/>
            <color indexed="81"/>
            <rFont val="Verdana"/>
            <family val="2"/>
          </rPr>
          <t xml:space="preserve">
"receieved feedback within 24hr of transmission from a study nurse supervised by a clinical endocrinologist" pg. 2</t>
        </r>
      </text>
    </comment>
    <comment ref="K193" authorId="3" shapeId="0" xr:uid="{00000000-0006-0000-0200-000081010000}">
      <text>
        <r>
          <rPr>
            <b/>
            <sz val="9"/>
            <color indexed="81"/>
            <rFont val="Verdana"/>
            <family val="2"/>
          </rPr>
          <t>Kristin Danko:</t>
        </r>
        <r>
          <rPr>
            <sz val="9"/>
            <color indexed="81"/>
            <rFont val="Verdana"/>
            <family val="2"/>
          </rPr>
          <t xml:space="preserve">
"receieved feedback within 24hr of transmission from a study nurse supervised by a clinical endocrinologist" pg. 2</t>
        </r>
      </text>
    </comment>
    <comment ref="M193" authorId="3" shapeId="0" xr:uid="{00000000-0006-0000-0200-000082010000}">
      <text>
        <r>
          <rPr>
            <b/>
            <sz val="9"/>
            <color indexed="81"/>
            <rFont val="Verdana"/>
            <family val="2"/>
          </rPr>
          <t>Kristin Danko:</t>
        </r>
        <r>
          <rPr>
            <sz val="9"/>
            <color indexed="81"/>
            <rFont val="Verdana"/>
            <family val="2"/>
          </rPr>
          <t xml:space="preserve">
"blood glucose four times per day, 7 days per week, and to transmit the recorded glucometer data at least every 2 weeks" pg. 2</t>
        </r>
      </text>
    </comment>
    <comment ref="G195" authorId="3" shapeId="0" xr:uid="{00000000-0006-0000-0200-000083010000}">
      <text>
        <r>
          <rPr>
            <b/>
            <sz val="9"/>
            <color indexed="81"/>
            <rFont val="Verdana"/>
            <family val="2"/>
          </rPr>
          <t>Kristin Danko:</t>
        </r>
        <r>
          <rPr>
            <sz val="9"/>
            <color indexed="81"/>
            <rFont val="Verdana"/>
            <family val="2"/>
          </rPr>
          <t xml:space="preserve">
"Appointment of a community-based diabetes nurse specialist (DNS)"; "annual diabetes review, performed by specialist team in diabetes out-patient clinic" pg. 2</t>
        </r>
      </text>
    </comment>
    <comment ref="I195" authorId="3" shapeId="0" xr:uid="{00000000-0006-0000-0200-000084010000}">
      <text>
        <r>
          <rPr>
            <b/>
            <sz val="9"/>
            <color indexed="81"/>
            <rFont val="Verdana"/>
            <family val="2"/>
          </rPr>
          <t>Kristin Danko:</t>
        </r>
        <r>
          <rPr>
            <sz val="9"/>
            <color indexed="81"/>
            <rFont val="Verdana"/>
            <family val="2"/>
          </rPr>
          <t xml:space="preserve">
"professional education" pg. 2</t>
        </r>
      </text>
    </comment>
    <comment ref="G197" authorId="3" shapeId="0" xr:uid="{00000000-0006-0000-0200-000085010000}">
      <text>
        <r>
          <rPr>
            <b/>
            <sz val="9"/>
            <color indexed="81"/>
            <rFont val="Verdana"/>
            <family val="2"/>
          </rPr>
          <t>Kristin Danko:</t>
        </r>
        <r>
          <rPr>
            <sz val="9"/>
            <color indexed="81"/>
            <rFont val="Verdana"/>
            <family val="2"/>
          </rPr>
          <t xml:space="preserve">
"Three nurses mainly commented upon lifestyle modification, including exercise, and two dieticians supplied individually modified medical…"pg 2</t>
        </r>
      </text>
    </comment>
    <comment ref="H197" authorId="3" shapeId="0" xr:uid="{00000000-0006-0000-0200-000086010000}">
      <text>
        <r>
          <rPr>
            <b/>
            <sz val="9"/>
            <color indexed="81"/>
            <rFont val="Verdana"/>
            <family val="2"/>
          </rPr>
          <t>Kristin Danko:</t>
        </r>
        <r>
          <rPr>
            <sz val="9"/>
            <color indexed="81"/>
            <rFont val="Verdana"/>
            <family val="2"/>
          </rPr>
          <t xml:space="preserve">
"Screen viewed by patients and physicians on the website" Figure 1 pg. 3</t>
        </r>
      </text>
    </comment>
    <comment ref="K197" authorId="3" shapeId="0" xr:uid="{00000000-0006-0000-0200-000087010000}">
      <text>
        <r>
          <rPr>
            <b/>
            <sz val="9"/>
            <color indexed="81"/>
            <rFont val="Verdana"/>
            <family val="2"/>
          </rPr>
          <t>Kristin Danko:</t>
        </r>
        <r>
          <rPr>
            <sz val="9"/>
            <color indexed="81"/>
            <rFont val="Verdana"/>
            <family val="2"/>
          </rPr>
          <t xml:space="preserve">
"Physicians, meanwhile, were able to inspect the information for each of their patients, including the blood glucose levels, medication, and other details provided by the patients" pg. 2</t>
        </r>
      </text>
    </comment>
    <comment ref="N197" authorId="3" shapeId="0" xr:uid="{00000000-0006-0000-0200-000088010000}">
      <text>
        <r>
          <rPr>
            <b/>
            <sz val="9"/>
            <color indexed="81"/>
            <rFont val="Verdana"/>
            <family val="2"/>
          </rPr>
          <t>Kristin Danko:</t>
        </r>
        <r>
          <rPr>
            <sz val="9"/>
            <color indexed="81"/>
            <rFont val="Verdana"/>
            <family val="2"/>
          </rPr>
          <t xml:space="preserve">
"If the patient in the intervention group did not forward a blood glucose level for &gt;1week, a warning message was sent" pg. 2</t>
        </r>
      </text>
    </comment>
    <comment ref="F199" authorId="3" shapeId="0" xr:uid="{00000000-0006-0000-0200-000089010000}">
      <text>
        <r>
          <rPr>
            <b/>
            <sz val="9"/>
            <color indexed="81"/>
            <rFont val="Verdana"/>
            <family val="2"/>
          </rPr>
          <t>Kristin Danko:</t>
        </r>
        <r>
          <rPr>
            <sz val="9"/>
            <color indexed="81"/>
            <rFont val="Verdana"/>
            <family val="2"/>
          </rPr>
          <t xml:space="preserve">
"case management" Title</t>
        </r>
      </text>
    </comment>
    <comment ref="G199" authorId="3" shapeId="0" xr:uid="{00000000-0006-0000-0200-00008A010000}">
      <text>
        <r>
          <rPr>
            <b/>
            <sz val="9"/>
            <color indexed="81"/>
            <rFont val="Verdana"/>
            <family val="2"/>
          </rPr>
          <t>Kristin Danko:</t>
        </r>
        <r>
          <rPr>
            <sz val="9"/>
            <color indexed="81"/>
            <rFont val="Verdana"/>
            <family val="2"/>
          </rPr>
          <t xml:space="preserve">
"registered nurses and registered dieticians working in close collaboration with an endocrinologist" pg. 2</t>
        </r>
      </text>
    </comment>
    <comment ref="L199" authorId="3" shapeId="0" xr:uid="{00000000-0006-0000-0200-00008B010000}">
      <text>
        <r>
          <rPr>
            <b/>
            <sz val="9"/>
            <color indexed="81"/>
            <rFont val="Verdana"/>
            <family val="2"/>
          </rPr>
          <t>Kristin Danko:</t>
        </r>
        <r>
          <rPr>
            <sz val="9"/>
            <color indexed="81"/>
            <rFont val="Verdana"/>
            <family val="2"/>
          </rPr>
          <t xml:space="preserve">
"Education" Table 2 pg. 4</t>
        </r>
      </text>
    </comment>
    <comment ref="M199" authorId="3" shapeId="0" xr:uid="{00000000-0006-0000-0200-00008C010000}">
      <text>
        <r>
          <rPr>
            <b/>
            <sz val="9"/>
            <color indexed="81"/>
            <rFont val="Verdana"/>
            <family val="2"/>
          </rPr>
          <t>Kristin Danko:</t>
        </r>
        <r>
          <rPr>
            <sz val="9"/>
            <color indexed="81"/>
            <rFont val="Verdana"/>
            <family val="2"/>
          </rPr>
          <t xml:space="preserve">
"Self-monitoring of blood glucose (SMBG)" Table 2 pg. 4</t>
        </r>
      </text>
    </comment>
    <comment ref="L200" authorId="3" shapeId="0" xr:uid="{00000000-0006-0000-0200-00008D010000}">
      <text>
        <r>
          <rPr>
            <b/>
            <sz val="9"/>
            <color indexed="81"/>
            <rFont val="Verdana"/>
            <family val="2"/>
          </rPr>
          <t>Kristin Danko:</t>
        </r>
        <r>
          <rPr>
            <sz val="9"/>
            <color indexed="81"/>
            <rFont val="Verdana"/>
            <family val="2"/>
          </rPr>
          <t xml:space="preserve">
"A routinely published beneficiary newsletter was dedicated to diabetic care and sent to all patients in both the intervention and comparison counties during the intervention period." pg. 3</t>
        </r>
      </text>
    </comment>
    <comment ref="E201" authorId="3" shapeId="0" xr:uid="{00000000-0006-0000-0200-00008E010000}">
      <text>
        <r>
          <rPr>
            <b/>
            <sz val="9"/>
            <color indexed="81"/>
            <rFont val="Verdana"/>
            <family val="2"/>
          </rPr>
          <t>Kristin Danko:</t>
        </r>
        <r>
          <rPr>
            <sz val="9"/>
            <color indexed="81"/>
            <rFont val="Verdana"/>
            <family val="2"/>
          </rPr>
          <t xml:space="preserve">
"Feedback regarding patterns of care of diabetes mellitus in the state was provided as aggregate and county-specific reports." pg. 3</t>
        </r>
      </text>
    </comment>
    <comment ref="I201" authorId="3" shapeId="0" xr:uid="{00000000-0006-0000-0200-00008F010000}">
      <text>
        <r>
          <rPr>
            <b/>
            <sz val="9"/>
            <color indexed="81"/>
            <rFont val="Verdana"/>
            <family val="2"/>
          </rPr>
          <t>Kristin Danko:</t>
        </r>
        <r>
          <rPr>
            <sz val="9"/>
            <color indexed="81"/>
            <rFont val="Verdana"/>
            <family val="2"/>
          </rPr>
          <t xml:space="preserve">
"Each mailing contained clinical practice guidelines, general information about patterns of diabetes care in the state, an educational tape, and practice aids to implement guideline recommendations" pg.3</t>
        </r>
      </text>
    </comment>
    <comment ref="L201" authorId="3" shapeId="0" xr:uid="{00000000-0006-0000-0200-000090010000}">
      <text>
        <r>
          <rPr>
            <b/>
            <sz val="9"/>
            <color indexed="81"/>
            <rFont val="Verdana"/>
            <family val="2"/>
          </rPr>
          <t>Kristin Danko:</t>
        </r>
        <r>
          <rPr>
            <sz val="9"/>
            <color indexed="81"/>
            <rFont val="Verdana"/>
            <family val="2"/>
          </rPr>
          <t xml:space="preserve">
"A routinely published beneficiary newsletter was dedicated to diabetic care and sent to all patients in both the intervention and comparison counties during the intervention period." pg. 3</t>
        </r>
      </text>
    </comment>
    <comment ref="C202" authorId="2" shapeId="0" xr:uid="{00000000-0006-0000-0200-000091010000}">
      <text>
        <r>
          <rPr>
            <b/>
            <sz val="9"/>
            <color indexed="81"/>
            <rFont val="Tahoma"/>
            <family val="2"/>
          </rPr>
          <t>Mostafa:</t>
        </r>
        <r>
          <rPr>
            <sz val="9"/>
            <color indexed="81"/>
            <rFont val="Tahoma"/>
            <family val="2"/>
          </rPr>
          <t xml:space="preserve">
standard diabetes care with the addition of quarterly education mailings</t>
        </r>
      </text>
    </comment>
    <comment ref="L202" authorId="3" shapeId="0" xr:uid="{00000000-0006-0000-0200-000092010000}">
      <text>
        <r>
          <rPr>
            <b/>
            <sz val="9"/>
            <color indexed="81"/>
            <rFont val="Verdana"/>
            <family val="2"/>
          </rPr>
          <t>Kristin Danko:</t>
        </r>
        <r>
          <rPr>
            <sz val="9"/>
            <color indexed="81"/>
            <rFont val="Verdana"/>
            <family val="2"/>
          </rPr>
          <t xml:space="preserve">
"the addition of quarterly educational mailings for 12 months. These mailings consisted of Joslin patient brochures: "Overview of diabetics", "Getting to the heart of it", "Meal planning", and "The foot book"</t>
        </r>
      </text>
    </comment>
    <comment ref="F203" authorId="3" shapeId="0" xr:uid="{00000000-0006-0000-0200-000093010000}">
      <text>
        <r>
          <rPr>
            <b/>
            <sz val="9"/>
            <color indexed="81"/>
            <rFont val="Verdana"/>
            <family val="2"/>
          </rPr>
          <t>Kristin Danko:</t>
        </r>
        <r>
          <rPr>
            <sz val="9"/>
            <color indexed="81"/>
            <rFont val="Verdana"/>
            <family val="2"/>
          </rPr>
          <t xml:space="preserve">
"Following the program, the nurse case manager arranged to contact each patient by phone (or, if preferred, in person) on at least a quarterly basis to address problems as they arose, provide support" pg. 2</t>
        </r>
      </text>
    </comment>
    <comment ref="G203" authorId="3" shapeId="0" xr:uid="{00000000-0006-0000-0200-000094010000}">
      <text>
        <r>
          <rPr>
            <b/>
            <sz val="9"/>
            <color indexed="81"/>
            <rFont val="Verdana"/>
            <family val="2"/>
          </rPr>
          <t>Kristin Danko:</t>
        </r>
        <r>
          <rPr>
            <sz val="9"/>
            <color indexed="81"/>
            <rFont val="Verdana"/>
            <family val="2"/>
          </rPr>
          <t xml:space="preserve">
"staff physician, nurse, case manager, dietician, and exercise physiologist. This was followed by an introductory group session coordinated by the staff psychologist" pg 2</t>
        </r>
      </text>
    </comment>
    <comment ref="L203" authorId="3" shapeId="0" xr:uid="{00000000-0006-0000-0200-000095010000}">
      <text>
        <r>
          <rPr>
            <b/>
            <sz val="9"/>
            <color indexed="81"/>
            <rFont val="Verdana"/>
            <family val="2"/>
          </rPr>
          <t>Kristin Danko:</t>
        </r>
        <r>
          <rPr>
            <sz val="9"/>
            <color indexed="81"/>
            <rFont val="Verdana"/>
            <family val="2"/>
          </rPr>
          <t xml:space="preserve">
"series of classes covering the standard American Diabetes Association curriculum" pg. 2</t>
        </r>
      </text>
    </comment>
    <comment ref="M203" authorId="3" shapeId="0" xr:uid="{00000000-0006-0000-0200-000096010000}">
      <text>
        <r>
          <rPr>
            <b/>
            <sz val="9"/>
            <color indexed="81"/>
            <rFont val="Verdana"/>
            <family val="2"/>
          </rPr>
          <t>Kristin Danko:</t>
        </r>
        <r>
          <rPr>
            <sz val="9"/>
            <color indexed="81"/>
            <rFont val="Verdana"/>
            <family val="2"/>
          </rPr>
          <t xml:space="preserve">
"self-management" title; topics such as carbohydrate counting and to introduce new devices" pg. 2</t>
        </r>
      </text>
    </comment>
    <comment ref="J205" authorId="3" shapeId="0" xr:uid="{00000000-0006-0000-0200-000097010000}">
      <text>
        <r>
          <rPr>
            <b/>
            <sz val="9"/>
            <color indexed="81"/>
            <rFont val="Verdana"/>
            <family val="2"/>
          </rPr>
          <t>Kristin Danko:</t>
        </r>
        <r>
          <rPr>
            <sz val="9"/>
            <color indexed="81"/>
            <rFont val="Verdana"/>
            <family val="2"/>
          </rPr>
          <t xml:space="preserve">
"diabetes care recommendations (based on the provider group and MCO diabetes guideline) were also mailed to the participants PCP</t>
        </r>
      </text>
    </comment>
    <comment ref="L205" authorId="3" shapeId="0" xr:uid="{00000000-0006-0000-0200-000098010000}">
      <text>
        <r>
          <rPr>
            <b/>
            <sz val="9"/>
            <color indexed="81"/>
            <rFont val="Verdana"/>
            <family val="2"/>
          </rPr>
          <t>Kristin Danko:</t>
        </r>
        <r>
          <rPr>
            <sz val="9"/>
            <color indexed="81"/>
            <rFont val="Verdana"/>
            <family val="2"/>
          </rPr>
          <t xml:space="preserve">
"information booklet that was given to the participant" pg. 2</t>
        </r>
      </text>
    </comment>
    <comment ref="K207" authorId="3" shapeId="0" xr:uid="{00000000-0006-0000-0200-000099010000}">
      <text>
        <r>
          <rPr>
            <b/>
            <sz val="9"/>
            <color indexed="81"/>
            <rFont val="Verdana"/>
            <family val="2"/>
          </rPr>
          <t>Kristin Danko:</t>
        </r>
        <r>
          <rPr>
            <sz val="9"/>
            <color indexed="81"/>
            <rFont val="Verdana"/>
            <family val="2"/>
          </rPr>
          <t xml:space="preserve">
"An ophthalmologist located at the university setting distant from the primary care practice site evaluated the retinal photograph and consulted with the patient using real-time video conrerencing." pg. 1</t>
        </r>
      </text>
    </comment>
    <comment ref="C208" authorId="2" shapeId="0" xr:uid="{00000000-0006-0000-0200-00009A010000}">
      <text>
        <r>
          <rPr>
            <b/>
            <sz val="9"/>
            <color indexed="81"/>
            <rFont val="Tahoma"/>
            <family val="2"/>
          </rPr>
          <t>Mostafa:</t>
        </r>
        <r>
          <rPr>
            <sz val="9"/>
            <color indexed="81"/>
            <rFont val="Tahoma"/>
            <family val="2"/>
          </rPr>
          <t xml:space="preserve">
MD - physician
NP - nurse practitioner</t>
        </r>
      </text>
    </comment>
    <comment ref="F209" authorId="3" shapeId="0" xr:uid="{00000000-0006-0000-0200-00009B010000}">
      <text>
        <r>
          <rPr>
            <b/>
            <sz val="9"/>
            <color indexed="81"/>
            <rFont val="Verdana"/>
            <family val="2"/>
          </rPr>
          <t>Kristin Danko:</t>
        </r>
        <r>
          <rPr>
            <sz val="9"/>
            <color indexed="81"/>
            <rFont val="Verdana"/>
            <family val="2"/>
          </rPr>
          <t xml:space="preserve">
"These included telephonic management, in-office follow-up with the NP, and use of new chart forms during patient visits designed to facilitate documentation of preventive care delivery" pg. 4</t>
        </r>
      </text>
    </comment>
    <comment ref="G209" authorId="3" shapeId="0" xr:uid="{00000000-0006-0000-0200-00009C010000}">
      <text>
        <r>
          <rPr>
            <b/>
            <sz val="9"/>
            <color indexed="81"/>
            <rFont val="Verdana"/>
            <family val="2"/>
          </rPr>
          <t>Kristin Danko:</t>
        </r>
        <r>
          <rPr>
            <sz val="9"/>
            <color indexed="81"/>
            <rFont val="Verdana"/>
            <family val="2"/>
          </rPr>
          <t xml:space="preserve">
"Management of these issues consisted of implementing a plan following discussions between the physician and NP" pg. 4</t>
        </r>
      </text>
    </comment>
    <comment ref="L209" authorId="3" shapeId="0" xr:uid="{00000000-0006-0000-0200-00009D010000}">
      <text>
        <r>
          <rPr>
            <b/>
            <sz val="9"/>
            <color indexed="81"/>
            <rFont val="Verdana"/>
            <family val="2"/>
          </rPr>
          <t>Kristin Danko:</t>
        </r>
        <r>
          <rPr>
            <sz val="9"/>
            <color indexed="81"/>
            <rFont val="Verdana"/>
            <family val="2"/>
          </rPr>
          <t xml:space="preserve">
"patient education on disease self-management strategies" pg. 3</t>
        </r>
      </text>
    </comment>
    <comment ref="M209" authorId="3" shapeId="0" xr:uid="{00000000-0006-0000-0200-00009E010000}">
      <text>
        <r>
          <rPr>
            <b/>
            <sz val="9"/>
            <color indexed="81"/>
            <rFont val="Verdana"/>
            <family val="2"/>
          </rPr>
          <t>Kristin Danko:</t>
        </r>
        <r>
          <rPr>
            <sz val="9"/>
            <color indexed="81"/>
            <rFont val="Verdana"/>
            <family val="2"/>
          </rPr>
          <t xml:space="preserve">
"patient education on disease self-management strategies" pg. 3</t>
        </r>
      </text>
    </comment>
    <comment ref="L210" authorId="3" shapeId="0" xr:uid="{00000000-0006-0000-0200-00009F010000}">
      <text>
        <r>
          <rPr>
            <b/>
            <sz val="9"/>
            <color indexed="81"/>
            <rFont val="Verdana"/>
            <family val="2"/>
          </rPr>
          <t>Kristin Danko:</t>
        </r>
        <r>
          <rPr>
            <sz val="9"/>
            <color indexed="81"/>
            <rFont val="Verdana"/>
            <family val="2"/>
          </rPr>
          <t xml:space="preserve">
"In addition, they received a quarterly newsletter, which contained information on various diabetes-related health topics and on-going trial communication" pg. 3</t>
        </r>
      </text>
    </comment>
    <comment ref="F211" authorId="3" shapeId="0" xr:uid="{00000000-0006-0000-0200-0000A0010000}">
      <text>
        <r>
          <rPr>
            <b/>
            <sz val="9"/>
            <color indexed="81"/>
            <rFont val="Verdana"/>
            <family val="2"/>
          </rPr>
          <t>Kristin Danko:</t>
        </r>
        <r>
          <rPr>
            <sz val="9"/>
            <color indexed="81"/>
            <rFont val="Verdana"/>
            <family val="2"/>
          </rPr>
          <t xml:space="preserve">
"NCM interventions were 45-min face-to-face clinic visits and/or telephone contacts." pg. 3</t>
        </r>
      </text>
    </comment>
    <comment ref="L211" authorId="3" shapeId="0" xr:uid="{00000000-0006-0000-0200-0000A1010000}">
      <text>
        <r>
          <rPr>
            <b/>
            <sz val="9"/>
            <color indexed="81"/>
            <rFont val="Verdana"/>
            <family val="2"/>
          </rPr>
          <t>Kristin Danko:</t>
        </r>
        <r>
          <rPr>
            <sz val="9"/>
            <color indexed="81"/>
            <rFont val="Verdana"/>
            <family val="2"/>
          </rPr>
          <t xml:space="preserve">
"In addition, they received a quarterly newsletter, which contained information on various diabetes-related health topics and on-going trial communication" pg. 3</t>
        </r>
      </text>
    </comment>
    <comment ref="F212" authorId="3" shapeId="0" xr:uid="{00000000-0006-0000-0200-0000A2010000}">
      <text>
        <r>
          <rPr>
            <b/>
            <sz val="9"/>
            <color indexed="81"/>
            <rFont val="Verdana"/>
            <family val="2"/>
          </rPr>
          <t>Kristin Danko:</t>
        </r>
        <r>
          <rPr>
            <sz val="9"/>
            <color indexed="81"/>
            <rFont val="Verdana"/>
            <family val="2"/>
          </rPr>
          <t xml:space="preserve">
"Rather, the CHW facilitated preventive care by offering to schedule appointments and visits, along with providing education." pg. 3</t>
        </r>
      </text>
    </comment>
    <comment ref="L212" authorId="3" shapeId="0" xr:uid="{00000000-0006-0000-0200-0000A3010000}">
      <text>
        <r>
          <rPr>
            <b/>
            <sz val="9"/>
            <color indexed="81"/>
            <rFont val="Verdana"/>
            <family val="2"/>
          </rPr>
          <t>Kristin Danko:</t>
        </r>
        <r>
          <rPr>
            <sz val="9"/>
            <color indexed="81"/>
            <rFont val="Verdana"/>
            <family val="2"/>
          </rPr>
          <t xml:space="preserve">
"In addition, they received a quarterly newsletter, which contained information on various diabetes-related health topics and on-going trial communication" pg. 3</t>
        </r>
      </text>
    </comment>
    <comment ref="F213" authorId="3" shapeId="0" xr:uid="{00000000-0006-0000-0200-0000A4010000}">
      <text>
        <r>
          <rPr>
            <b/>
            <sz val="9"/>
            <color indexed="81"/>
            <rFont val="Verdana"/>
            <family val="2"/>
          </rPr>
          <t>Kristin Danko:</t>
        </r>
        <r>
          <rPr>
            <sz val="9"/>
            <color indexed="81"/>
            <rFont val="Verdana"/>
            <family val="2"/>
          </rPr>
          <t xml:space="preserve">
"This intervention combined the individual activities of the NCM and CHW. In addition, the two interventionists conducted biweekly conferences to coordinate interventions and promote synergy." pg. 3</t>
        </r>
      </text>
    </comment>
    <comment ref="G213" authorId="3" shapeId="0" xr:uid="{00000000-0006-0000-0200-0000A5010000}">
      <text>
        <r>
          <rPr>
            <b/>
            <sz val="9"/>
            <color indexed="81"/>
            <rFont val="Verdana"/>
            <family val="2"/>
          </rPr>
          <t>Kristin Danko:</t>
        </r>
        <r>
          <rPr>
            <sz val="9"/>
            <color indexed="81"/>
            <rFont val="Verdana"/>
            <family val="2"/>
          </rPr>
          <t xml:space="preserve">
"This intervention combined the individual activities of the NCM and CHW. In addition, the two interventionists conducted biweekly conferences to coordinate interventions and promote synergy." pg. 3</t>
        </r>
      </text>
    </comment>
    <comment ref="L213" authorId="3" shapeId="0" xr:uid="{00000000-0006-0000-0200-0000A6010000}">
      <text>
        <r>
          <rPr>
            <b/>
            <sz val="9"/>
            <color indexed="81"/>
            <rFont val="Verdana"/>
            <family val="2"/>
          </rPr>
          <t>Kristin Danko:</t>
        </r>
        <r>
          <rPr>
            <sz val="9"/>
            <color indexed="81"/>
            <rFont val="Verdana"/>
            <family val="2"/>
          </rPr>
          <t xml:space="preserve">
"In addition, they received a quarterly newsletter, which contained information on various diabetes-related health topics and on-going trial communication" pg. 3</t>
        </r>
      </text>
    </comment>
    <comment ref="L214" authorId="3" shapeId="0" xr:uid="{00000000-0006-0000-0200-0000A7010000}">
      <text>
        <r>
          <rPr>
            <b/>
            <sz val="9"/>
            <color indexed="81"/>
            <rFont val="Verdana"/>
            <family val="2"/>
          </rPr>
          <t>Kristin Danko:</t>
        </r>
        <r>
          <rPr>
            <sz val="9"/>
            <color indexed="81"/>
            <rFont val="Verdana"/>
            <family val="2"/>
          </rPr>
          <t xml:space="preserve">
"They received a folder containing a copy of the informed consent, diabetes pamphlets, a Medic Alert pamphlet, and a half-sheet of instructions encouraging them to maintain contact with their personal physician and to attend general diabetes education classes at their medical centre" pg 2</t>
        </r>
      </text>
    </comment>
    <comment ref="F215" authorId="3" shapeId="0" xr:uid="{00000000-0006-0000-0200-0000A8010000}">
      <text>
        <r>
          <rPr>
            <b/>
            <sz val="9"/>
            <color indexed="81"/>
            <rFont val="Verdana"/>
            <family val="2"/>
          </rPr>
          <t>Kristin Danko:</t>
        </r>
        <r>
          <rPr>
            <sz val="9"/>
            <color indexed="81"/>
            <rFont val="Verdana"/>
            <family val="2"/>
          </rPr>
          <t xml:space="preserve">
"The nurse-care managers used treatment algorithms developed by the Kaiser Permanente Medical panels based on national guidelines" pg. 2</t>
        </r>
      </text>
    </comment>
    <comment ref="G215" authorId="3" shapeId="0" xr:uid="{00000000-0006-0000-0200-0000A9010000}">
      <text>
        <r>
          <rPr>
            <b/>
            <sz val="9"/>
            <color indexed="81"/>
            <rFont val="Verdana"/>
            <family val="2"/>
          </rPr>
          <t>Kristin Danko:</t>
        </r>
        <r>
          <rPr>
            <sz val="9"/>
            <color indexed="81"/>
            <rFont val="Verdana"/>
            <family val="2"/>
          </rPr>
          <t xml:space="preserve">
"Group class. All intervention patients were asked to attend a 1- to 2-h group class (4-10 participants per group) that met once a week for 4 weeks" pg. 2</t>
        </r>
      </text>
    </comment>
    <comment ref="L215" authorId="3" shapeId="0" xr:uid="{00000000-0006-0000-0200-0000AA010000}">
      <text>
        <r>
          <rPr>
            <b/>
            <sz val="9"/>
            <color indexed="81"/>
            <rFont val="Verdana"/>
            <family val="2"/>
          </rPr>
          <t>Kristin Danko:</t>
        </r>
        <r>
          <rPr>
            <sz val="9"/>
            <color indexed="81"/>
            <rFont val="Verdana"/>
            <family val="2"/>
          </rPr>
          <t xml:space="preserve">
"workbook specifically created for the program included some didactic material" pg. 2</t>
        </r>
      </text>
    </comment>
    <comment ref="M215" authorId="3" shapeId="0" xr:uid="{00000000-0006-0000-0200-0000AB010000}">
      <text>
        <r>
          <rPr>
            <b/>
            <sz val="9"/>
            <color indexed="81"/>
            <rFont val="Verdana"/>
            <family val="2"/>
          </rPr>
          <t>Kristin Danko:</t>
        </r>
        <r>
          <rPr>
            <sz val="9"/>
            <color indexed="81"/>
            <rFont val="Verdana"/>
            <family val="2"/>
          </rPr>
          <t xml:space="preserve">
"intial self-management plan was developed" pg. 2</t>
        </r>
      </text>
    </comment>
    <comment ref="I217" authorId="3" shapeId="0" xr:uid="{00000000-0006-0000-0200-0000AC010000}">
      <text>
        <r>
          <rPr>
            <b/>
            <sz val="9"/>
            <color indexed="81"/>
            <rFont val="Verdana"/>
            <family val="2"/>
          </rPr>
          <t>Kristin Danko:</t>
        </r>
        <r>
          <rPr>
            <sz val="9"/>
            <color indexed="81"/>
            <rFont val="Verdana"/>
            <family val="2"/>
          </rPr>
          <t xml:space="preserve">
"The algorithm was designed for use by practice nurses and GPs as it included measuring, monitoring, and treating hypertension. It was based on monthly blood pressure checks and increasing specified antihypertensive treatment until the target of &lt;140/80 mmHg was obtained, the threshold for starting treatment being ³140/90 mmHg. Training in using the algorithm was provided for practice nurses and guidelines were given for its use." pg. 2</t>
        </r>
      </text>
    </comment>
    <comment ref="I218" authorId="3" shapeId="0" xr:uid="{00000000-0006-0000-0200-0000AD010000}">
      <text>
        <r>
          <rPr>
            <b/>
            <sz val="9"/>
            <color indexed="81"/>
            <rFont val="Verdana"/>
            <family val="2"/>
          </rPr>
          <t>Kristin Danko:</t>
        </r>
        <r>
          <rPr>
            <sz val="9"/>
            <color indexed="81"/>
            <rFont val="Verdana"/>
            <family val="2"/>
          </rPr>
          <t xml:space="preserve">
"Routine practice nurse led diabetes clinics, but guided by prescribing algorithm" pg. 2</t>
        </r>
      </text>
    </comment>
    <comment ref="G219" authorId="3" shapeId="0" xr:uid="{00000000-0006-0000-0200-0000AE010000}">
      <text>
        <r>
          <rPr>
            <b/>
            <sz val="9"/>
            <color indexed="81"/>
            <rFont val="Verdana"/>
            <family val="2"/>
          </rPr>
          <t>Kristin Danko:</t>
        </r>
        <r>
          <rPr>
            <sz val="9"/>
            <color indexed="81"/>
            <rFont val="Verdana"/>
            <family val="2"/>
          </rPr>
          <t xml:space="preserve">
"Enhanced care included an additional practice nurse time (4 h per practice per week), supported by link workers and a community nurse specialising in diabetes." pg. 2</t>
        </r>
      </text>
    </comment>
    <comment ref="I219" authorId="3" shapeId="0" xr:uid="{00000000-0006-0000-0200-0000AF010000}">
      <text>
        <r>
          <rPr>
            <b/>
            <sz val="9"/>
            <color indexed="81"/>
            <rFont val="Verdana"/>
            <family val="2"/>
          </rPr>
          <t>Kristin Danko:</t>
        </r>
        <r>
          <rPr>
            <sz val="9"/>
            <color indexed="81"/>
            <rFont val="Verdana"/>
            <family val="2"/>
          </rPr>
          <t xml:space="preserve">
"The two community diabetes-specialist nurses covered the nine intervention practices and attended some research clinics every 6–8 weeks, providing additional educational and clinical support including insulin initiation, to the practice teams." pg. 2</t>
        </r>
      </text>
    </comment>
    <comment ref="L219" authorId="3" shapeId="0" xr:uid="{00000000-0006-0000-0200-0000B0010000}">
      <text>
        <r>
          <rPr>
            <b/>
            <sz val="9"/>
            <color indexed="81"/>
            <rFont val="Verdana"/>
            <family val="2"/>
          </rPr>
          <t>Kristin Danko:</t>
        </r>
        <r>
          <rPr>
            <sz val="9"/>
            <color indexed="81"/>
            <rFont val="Verdana"/>
            <family val="2"/>
          </rPr>
          <t xml:space="preserve">
"provide face-to-face patient education in
clinic setting" pg. 2</t>
        </r>
      </text>
    </comment>
    <comment ref="F221" authorId="3" shapeId="0" xr:uid="{00000000-0006-0000-0200-0000B1010000}">
      <text>
        <r>
          <rPr>
            <b/>
            <sz val="9"/>
            <color indexed="81"/>
            <rFont val="Verdana"/>
            <family val="2"/>
          </rPr>
          <t>Kristin Danko:</t>
        </r>
        <r>
          <rPr>
            <sz val="9"/>
            <color indexed="81"/>
            <rFont val="Verdana"/>
            <family val="2"/>
          </rPr>
          <t xml:space="preserve">
"All PC patients were assessed by a clinical pharmacist…at baseline, at 6-weekly intervals by telephone, and face-to-face meetings at 6 and 12 months"</t>
        </r>
      </text>
    </comment>
    <comment ref="L221" authorId="3" shapeId="0" xr:uid="{00000000-0006-0000-0200-0000B2010000}">
      <text>
        <r>
          <rPr>
            <b/>
            <sz val="9"/>
            <color indexed="81"/>
            <rFont val="Verdana"/>
            <family val="2"/>
          </rPr>
          <t>Kristin Danko:</t>
        </r>
        <r>
          <rPr>
            <sz val="9"/>
            <color indexed="81"/>
            <rFont val="Verdana"/>
            <family val="2"/>
          </rPr>
          <t xml:space="preserve">
"In addition to scheduled contacts, all PC patients received a bimonthly newsletter on topics based on issues identified at interview"</t>
        </r>
      </text>
    </comment>
    <comment ref="M221" authorId="3" shapeId="0" xr:uid="{00000000-0006-0000-0200-0000B3010000}">
      <text>
        <r>
          <rPr>
            <b/>
            <sz val="9"/>
            <color indexed="81"/>
            <rFont val="Verdana"/>
            <family val="2"/>
          </rPr>
          <t>Kristin Danko:</t>
        </r>
        <r>
          <rPr>
            <sz val="9"/>
            <color indexed="81"/>
            <rFont val="Verdana"/>
            <family val="2"/>
          </rPr>
          <t xml:space="preserve">
"compliance with home blood glucose monitoring and treatment encouraged initially" pg. 2</t>
        </r>
      </text>
    </comment>
    <comment ref="F223" authorId="3" shapeId="0" xr:uid="{00000000-0006-0000-0200-0000B4010000}">
      <text>
        <r>
          <rPr>
            <b/>
            <sz val="9"/>
            <color indexed="81"/>
            <rFont val="Verdana"/>
            <family val="2"/>
          </rPr>
          <t>Kristin Danko:</t>
        </r>
        <r>
          <rPr>
            <sz val="9"/>
            <color indexed="81"/>
            <rFont val="Verdana"/>
            <family val="2"/>
          </rPr>
          <t xml:space="preserve">
"After each monthly interview, the pharmacist assessed the patient’s situation state, noting and studying all of the health problems referred by the patient or those detected by the pharmacist himself." pg. 3</t>
        </r>
      </text>
    </comment>
    <comment ref="L223" authorId="3" shapeId="0" xr:uid="{00000000-0006-0000-0200-0000B5010000}">
      <text>
        <r>
          <rPr>
            <b/>
            <sz val="9"/>
            <color indexed="81"/>
            <rFont val="Verdana"/>
            <family val="2"/>
          </rPr>
          <t>Kristin Danko:</t>
        </r>
        <r>
          <rPr>
            <sz val="9"/>
            <color indexed="81"/>
            <rFont val="Verdana"/>
            <family val="2"/>
          </rPr>
          <t xml:space="preserve">
"possible adverse reactions or interactions of each drug, along with educational interventions leading to improve lifestyles and to improve or maintain patient compliance." pg 3</t>
        </r>
      </text>
    </comment>
    <comment ref="G225" authorId="3" shapeId="0" xr:uid="{00000000-0006-0000-0200-0000B6010000}">
      <text>
        <r>
          <rPr>
            <b/>
            <sz val="9"/>
            <color indexed="81"/>
            <rFont val="Verdana"/>
            <family val="2"/>
          </rPr>
          <t>Kristin Danko:</t>
        </r>
        <r>
          <rPr>
            <sz val="9"/>
            <color indexed="81"/>
            <rFont val="Verdana"/>
            <family val="2"/>
          </rPr>
          <t xml:space="preserve">
"delivered to groups of 12 subjects and consisted of (i) an educational course given by a nurse and physician in two sessions (total duration 5 h) focusing on different options for non-pharmacological treatment," pg. 3</t>
        </r>
      </text>
    </comment>
    <comment ref="L225" authorId="3" shapeId="0" xr:uid="{00000000-0006-0000-0200-0000B7010000}">
      <text>
        <r>
          <rPr>
            <b/>
            <sz val="9"/>
            <color indexed="81"/>
            <rFont val="Verdana"/>
            <family val="2"/>
          </rPr>
          <t>Kristin Danko:</t>
        </r>
        <r>
          <rPr>
            <sz val="9"/>
            <color indexed="81"/>
            <rFont val="Verdana"/>
            <family val="2"/>
          </rPr>
          <t xml:space="preserve">
"delivered to groups of 12 subjects and consisted of (i) an educational course given by a nurse and physician in two sessions (total duration 5 h) focusing on different options for non-pharmacological treatment," pg. 3</t>
        </r>
      </text>
    </comment>
    <comment ref="P225" authorId="3" shapeId="0" xr:uid="{00000000-0006-0000-0200-0000B8010000}">
      <text>
        <r>
          <rPr>
            <b/>
            <sz val="9"/>
            <color indexed="81"/>
            <rFont val="Verdana"/>
            <family val="2"/>
          </rPr>
          <t>Kristin Danko:</t>
        </r>
        <r>
          <rPr>
            <sz val="9"/>
            <color indexed="81"/>
            <rFont val="Verdana"/>
            <family val="2"/>
          </rPr>
          <t xml:space="preserve">
"refund for attending
a gymnasium up to a total of £120" pg. 3</t>
        </r>
      </text>
    </comment>
    <comment ref="F227" authorId="3" shapeId="0" xr:uid="{00000000-0006-0000-0200-0000B9010000}">
      <text>
        <r>
          <rPr>
            <b/>
            <sz val="9"/>
            <color indexed="81"/>
            <rFont val="Verdana"/>
            <family val="2"/>
          </rPr>
          <t>Kristin Danko:</t>
        </r>
        <r>
          <rPr>
            <sz val="9"/>
            <color indexed="81"/>
            <rFont val="Verdana"/>
            <family val="2"/>
          </rPr>
          <t xml:space="preserve">
"Intervention patients met with the pharmacist five times over 6 months." pg. 2</t>
        </r>
      </text>
    </comment>
    <comment ref="I227" authorId="3" shapeId="0" xr:uid="{00000000-0006-0000-0200-0000BA010000}">
      <text>
        <r>
          <rPr>
            <b/>
            <sz val="9"/>
            <color indexed="81"/>
            <rFont val="Verdana"/>
            <family val="2"/>
          </rPr>
          <t>Kristin Danko:</t>
        </r>
        <r>
          <rPr>
            <sz val="9"/>
            <color indexed="81"/>
            <rFont val="Verdana"/>
            <family val="2"/>
          </rPr>
          <t xml:space="preserve">
"All intervention pharmacists received a diabetes education manual for self-directed learning [15] and also attended a 2-day
workshop." pg. 2</t>
        </r>
      </text>
    </comment>
    <comment ref="L227" authorId="3" shapeId="0" xr:uid="{00000000-0006-0000-0200-0000BB010000}">
      <text>
        <r>
          <rPr>
            <b/>
            <sz val="9"/>
            <color indexed="81"/>
            <rFont val="Verdana"/>
            <family val="2"/>
          </rPr>
          <t>Kristin Danko:</t>
        </r>
        <r>
          <rPr>
            <sz val="9"/>
            <color indexed="81"/>
            <rFont val="Verdana"/>
            <family val="2"/>
          </rPr>
          <t xml:space="preserve">
"lifestyle education" pg. 2</t>
        </r>
      </text>
    </comment>
    <comment ref="M227" authorId="3" shapeId="0" xr:uid="{00000000-0006-0000-0200-0000BC010000}">
      <text>
        <r>
          <rPr>
            <b/>
            <sz val="9"/>
            <color indexed="81"/>
            <rFont val="Verdana"/>
            <family val="2"/>
          </rPr>
          <t>Kristin Danko:</t>
        </r>
        <r>
          <rPr>
            <sz val="9"/>
            <color indexed="81"/>
            <rFont val="Verdana"/>
            <family val="2"/>
          </rPr>
          <t xml:space="preserve">
"given a Medisense Optium™ blood glucose meter (Abbot Diagnostics, North Ryde, Australia), instructed in its use, and then asked to take measurements at least once daily (preferably at different times) for the duration of the study." pg. 2</t>
        </r>
      </text>
    </comment>
    <comment ref="L228" authorId="3" shapeId="0" xr:uid="{00000000-0006-0000-0200-0000BD010000}">
      <text>
        <r>
          <rPr>
            <b/>
            <sz val="9"/>
            <color indexed="81"/>
            <rFont val="Verdana"/>
            <family val="2"/>
          </rPr>
          <t>Kristin Danko:</t>
        </r>
        <r>
          <rPr>
            <sz val="9"/>
            <color indexed="81"/>
            <rFont val="Verdana"/>
            <family val="2"/>
          </rPr>
          <t xml:space="preserve">
" Patients randomized to usual care received the same BP wallet card with their BP measures documented, a pamphlet on diabetes,12 and general diabetes counseling from the nurse or pharmacist." pg. 2</t>
        </r>
      </text>
    </comment>
    <comment ref="F229" authorId="3" shapeId="0" xr:uid="{00000000-0006-0000-0200-0000BE010000}">
      <text>
        <r>
          <rPr>
            <b/>
            <sz val="9"/>
            <color indexed="81"/>
            <rFont val="Verdana"/>
            <family val="2"/>
          </rPr>
          <t>Kristin Danko:</t>
        </r>
        <r>
          <rPr>
            <sz val="9"/>
            <color indexed="81"/>
            <rFont val="Verdana"/>
            <family val="2"/>
          </rPr>
          <t xml:space="preserve">
"In addition, a 1-page summary of the evidence for management of BP in patients with diabetes endorsed by 4 local opinion leaders was also included in the fax to the primary care physician. Intervention group patients
were seen at 6-week intervals by the study nurse and pharmacist for counseling and measurement of BP, and the study team communicated results of these BP assessments to each patient’s primary care physician." pg. 2</t>
        </r>
      </text>
    </comment>
    <comment ref="G229" authorId="3" shapeId="0" xr:uid="{00000000-0006-0000-0200-0000BF010000}">
      <text>
        <r>
          <rPr>
            <b/>
            <sz val="9"/>
            <color indexed="81"/>
            <rFont val="Verdana"/>
            <family val="2"/>
          </rPr>
          <t>Kristin Danko:</t>
        </r>
        <r>
          <rPr>
            <sz val="9"/>
            <color indexed="81"/>
            <rFont val="Verdana"/>
            <family val="2"/>
          </rPr>
          <t xml:space="preserve">
"The intervention was delivered by pharmacist-nurse teams at various pharmacy sites" pg. 2</t>
        </r>
      </text>
    </comment>
    <comment ref="I229" authorId="3" shapeId="0" xr:uid="{00000000-0006-0000-0200-0000C0010000}">
      <text>
        <r>
          <rPr>
            <b/>
            <sz val="9"/>
            <color indexed="81"/>
            <rFont val="Verdana"/>
            <family val="2"/>
          </rPr>
          <t>Kristin Danko:</t>
        </r>
        <r>
          <rPr>
            <sz val="9"/>
            <color indexed="81"/>
            <rFont val="Verdana"/>
            <family val="2"/>
          </rPr>
          <t xml:space="preserve">
"local opinion leader–endorsed evidence summary sent to the physician reinforcing the guideline recommendations" pg. 1</t>
        </r>
      </text>
    </comment>
    <comment ref="L229" authorId="3" shapeId="0" xr:uid="{00000000-0006-0000-0200-0000C1010000}">
      <text>
        <r>
          <rPr>
            <b/>
            <sz val="9"/>
            <color indexed="81"/>
            <rFont val="Verdana"/>
            <family val="2"/>
          </rPr>
          <t>Kristin Danko:</t>
        </r>
        <r>
          <rPr>
            <sz val="9"/>
            <color indexed="81"/>
            <rFont val="Verdana"/>
            <family val="2"/>
          </rPr>
          <t xml:space="preserve">
" Patients randomized to usual care received the same BP wallet card with their BP measures documented, a pamphlet on diabetes,12 and general diabetes counseling from the nurse or pharmacist." pg. 2</t>
        </r>
      </text>
    </comment>
    <comment ref="I230" authorId="3" shapeId="0" xr:uid="{00000000-0006-0000-0200-0000C2010000}">
      <text>
        <r>
          <rPr>
            <b/>
            <sz val="9"/>
            <color indexed="81"/>
            <rFont val="Verdana"/>
            <family val="2"/>
          </rPr>
          <t>Kristin Danko:</t>
        </r>
        <r>
          <rPr>
            <sz val="9"/>
            <color indexed="81"/>
            <rFont val="Verdana"/>
            <family val="2"/>
          </rPr>
          <t xml:space="preserve">
"Control practices received the same guidelines to achieve targets" (both) pg. 2</t>
        </r>
      </text>
    </comment>
    <comment ref="G231" authorId="3" shapeId="0" xr:uid="{00000000-0006-0000-0200-0000C3010000}">
      <text>
        <r>
          <rPr>
            <b/>
            <sz val="9"/>
            <color indexed="81"/>
            <rFont val="Verdana"/>
            <family val="2"/>
          </rPr>
          <t>Kristin Danko:</t>
        </r>
        <r>
          <rPr>
            <sz val="9"/>
            <color indexed="81"/>
            <rFont val="Verdana"/>
            <family val="2"/>
          </rPr>
          <t xml:space="preserve">
"An enhanced care approach was used for intervention practices, using Asian link workers, an additional practice nurse session per week and community diabetes specialist nurse input, working to protocols to achieve clearly defined targets" pg. 2</t>
        </r>
      </text>
    </comment>
    <comment ref="I231" authorId="3" shapeId="0" xr:uid="{00000000-0006-0000-0200-0000C4010000}">
      <text>
        <r>
          <rPr>
            <b/>
            <sz val="9"/>
            <color indexed="81"/>
            <rFont val="Verdana"/>
            <family val="2"/>
          </rPr>
          <t>Kristin Danko:</t>
        </r>
        <r>
          <rPr>
            <sz val="9"/>
            <color indexed="81"/>
            <rFont val="Verdana"/>
            <family val="2"/>
          </rPr>
          <t xml:space="preserve">
"Control practices received the same guidelines to achieve targets" (both) pg. 2</t>
        </r>
      </text>
    </comment>
    <comment ref="L231" authorId="3" shapeId="0" xr:uid="{00000000-0006-0000-0200-0000C5010000}">
      <text>
        <r>
          <rPr>
            <b/>
            <sz val="9"/>
            <color indexed="81"/>
            <rFont val="Verdana"/>
            <family val="2"/>
          </rPr>
          <t>Kristin Danko:</t>
        </r>
        <r>
          <rPr>
            <sz val="9"/>
            <color indexed="81"/>
            <rFont val="Verdana"/>
            <family val="2"/>
          </rPr>
          <t xml:space="preserve">
"organized educational sessions" pg. 2</t>
        </r>
      </text>
    </comment>
    <comment ref="N231" authorId="3" shapeId="0" xr:uid="{00000000-0006-0000-0200-0000C6010000}">
      <text>
        <r>
          <rPr>
            <b/>
            <sz val="9"/>
            <color indexed="81"/>
            <rFont val="Verdana"/>
            <family val="2"/>
          </rPr>
          <t>Kristin Danko:</t>
        </r>
        <r>
          <rPr>
            <sz val="9"/>
            <color indexed="81"/>
            <rFont val="Verdana"/>
            <family val="2"/>
          </rPr>
          <t xml:space="preserve">
"before appointments to encourage clinic
attendance" pg. 2</t>
        </r>
      </text>
    </comment>
    <comment ref="B232" authorId="0" shapeId="0" xr:uid="{00000000-0006-0000-0200-0000C7010000}">
      <text>
        <r>
          <rPr>
            <b/>
            <sz val="8"/>
            <color indexed="81"/>
            <rFont val="Tahoma"/>
            <family val="2"/>
          </rPr>
          <t>kdanko:</t>
        </r>
        <r>
          <rPr>
            <sz val="8"/>
            <color indexed="81"/>
            <rFont val="Tahoma"/>
            <family val="2"/>
          </rPr>
          <t xml:space="preserve">
found in study characteristics May 15 2014, but not in QI page. Need to extract</t>
        </r>
        <r>
          <rPr>
            <sz val="8"/>
            <color indexed="81"/>
            <rFont val="Tahoma"/>
            <family val="2"/>
          </rPr>
          <t>.
Extracted and sent to KD from AT and NI July 2</t>
        </r>
      </text>
    </comment>
    <comment ref="I233" authorId="3" shapeId="0" xr:uid="{00000000-0006-0000-0200-0000C8010000}">
      <text>
        <r>
          <rPr>
            <b/>
            <sz val="9"/>
            <color indexed="81"/>
            <rFont val="Verdana"/>
            <family val="2"/>
          </rPr>
          <t>Kristin Danko:</t>
        </r>
        <r>
          <rPr>
            <sz val="9"/>
            <color indexed="81"/>
            <rFont val="Verdana"/>
            <family val="2"/>
          </rPr>
          <t xml:space="preserve">
"...or dissemination of the guideline without the training course but with a written request to implement the guide- line (arm 2, passive dissemination)." pg. 3</t>
        </r>
      </text>
    </comment>
    <comment ref="I234" authorId="3" shapeId="0" xr:uid="{00000000-0006-0000-0200-0000C9010000}">
      <text>
        <r>
          <rPr>
            <b/>
            <sz val="9"/>
            <color indexed="81"/>
            <rFont val="Verdana"/>
            <family val="2"/>
          </rPr>
          <t>Kristin Danko:</t>
        </r>
        <r>
          <rPr>
            <sz val="9"/>
            <color indexed="81"/>
            <rFont val="Verdana"/>
            <family val="2"/>
          </rPr>
          <t xml:space="preserve">
"The intervention program included either a two-day training course with CME credits and dissemina- tion of the guideline (arm 1, active implementation)" pg 3</t>
        </r>
      </text>
    </comment>
    <comment ref="H236" authorId="3" shapeId="0" xr:uid="{00000000-0006-0000-0200-0000CA010000}">
      <text>
        <r>
          <rPr>
            <b/>
            <sz val="9"/>
            <color indexed="81"/>
            <rFont val="Verdana"/>
            <family val="2"/>
          </rPr>
          <t>Kristin Danko:</t>
        </r>
        <r>
          <rPr>
            <sz val="9"/>
            <color indexed="81"/>
            <rFont val="Verdana"/>
            <family val="2"/>
          </rPr>
          <t xml:space="preserve">
"Guided Compliance directed patients to test their BG at optimal times to generate BG data points that could be used for a pattern analysis" pg. 3</t>
        </r>
      </text>
    </comment>
    <comment ref="K236" authorId="3" shapeId="0" xr:uid="{00000000-0006-0000-0200-0000CB010000}">
      <text>
        <r>
          <rPr>
            <b/>
            <sz val="9"/>
            <color indexed="81"/>
            <rFont val="Verdana"/>
            <family val="2"/>
          </rPr>
          <t>Kristin Danko:</t>
        </r>
        <r>
          <rPr>
            <sz val="9"/>
            <color indexed="81"/>
            <rFont val="Verdana"/>
            <family val="2"/>
          </rPr>
          <t xml:space="preserve">
"When a troubling BG value or pattern was detected, the patient either was directed to test (at particular times of the day to generate a pattern analysis) or e-mailed several questions in attempt to discover the root of the issue. Once the problem was identified, the patient was sent an email with educational material specific to that issue." pg. 3</t>
        </r>
      </text>
    </comment>
    <comment ref="L236" authorId="3" shapeId="0" xr:uid="{00000000-0006-0000-0200-0000CC010000}">
      <text>
        <r>
          <rPr>
            <b/>
            <sz val="9"/>
            <color indexed="81"/>
            <rFont val="Verdana"/>
            <family val="2"/>
          </rPr>
          <t>Kristin Danko:</t>
        </r>
        <r>
          <rPr>
            <sz val="9"/>
            <color indexed="81"/>
            <rFont val="Verdana"/>
            <family val="2"/>
          </rPr>
          <t xml:space="preserve">
"When a troubling BG value or pattern was detected, the patient either was directed to test (at particular times of the day to generate a pattern analysis) or e-mailed several questions in attempt to discover the root of the issue. Once the problem was identified, the patient was sent an email with educational material specific to that issue." pg. 3</t>
        </r>
      </text>
    </comment>
    <comment ref="M236" authorId="3" shapeId="0" xr:uid="{00000000-0006-0000-0200-0000CD010000}">
      <text>
        <r>
          <rPr>
            <b/>
            <sz val="9"/>
            <color indexed="81"/>
            <rFont val="Verdana"/>
            <family val="2"/>
          </rPr>
          <t>Kristin Danko:</t>
        </r>
        <r>
          <rPr>
            <sz val="9"/>
            <color indexed="81"/>
            <rFont val="Verdana"/>
            <family val="2"/>
          </rPr>
          <t xml:space="preserve">
"Study patients enrolled in the intervention group received a Bluetooth® (Bluetooth SIG, Bellevue, WA)-enabled One Touch Ultra BG meter, adequate BG testing strips and lancets
for the duration of the trial, and a Nokia (Espoo, Finland) 6682™ or 6680™ cell phone equipped with WellDoc’s proprietary DiabetesManager software." pg. </t>
        </r>
      </text>
    </comment>
    <comment ref="I238" authorId="3" shapeId="0" xr:uid="{00000000-0006-0000-0200-0000CE010000}">
      <text>
        <r>
          <rPr>
            <b/>
            <sz val="9"/>
            <color indexed="81"/>
            <rFont val="Verdana"/>
            <family val="2"/>
          </rPr>
          <t>Kristin Danko:</t>
        </r>
        <r>
          <rPr>
            <sz val="9"/>
            <color indexed="81"/>
            <rFont val="Verdana"/>
            <family val="2"/>
          </rPr>
          <t xml:space="preserve">
"The report also included rotating practice tips derived from stateof-the-art clinical studies" pg. 2</t>
        </r>
      </text>
    </comment>
    <comment ref="K238" authorId="3" shapeId="0" xr:uid="{00000000-0006-0000-0200-0000CF010000}">
      <text>
        <r>
          <rPr>
            <b/>
            <sz val="9"/>
            <color indexed="81"/>
            <rFont val="Verdana"/>
            <family val="2"/>
          </rPr>
          <t>Kristin Danko:</t>
        </r>
        <r>
          <rPr>
            <sz val="9"/>
            <color indexed="81"/>
            <rFont val="Verdana"/>
            <family val="2"/>
          </rPr>
          <t xml:space="preserve">
"Example of one-page patient-feedback report." (Figure 1)</t>
        </r>
      </text>
    </comment>
    <comment ref="F240" authorId="3" shapeId="0" xr:uid="{00000000-0006-0000-0200-0000D0010000}">
      <text>
        <r>
          <rPr>
            <b/>
            <sz val="9"/>
            <color indexed="81"/>
            <rFont val="Verdana"/>
            <family val="2"/>
          </rPr>
          <t>Kristin Danko:</t>
        </r>
        <r>
          <rPr>
            <sz val="9"/>
            <color indexed="81"/>
            <rFont val="Verdana"/>
            <family val="2"/>
          </rPr>
          <t xml:space="preserve">
"pharmacist-led diabetes care program" Appendix pg. 7</t>
        </r>
      </text>
    </comment>
    <comment ref="G240" authorId="3" shapeId="0" xr:uid="{00000000-0006-0000-0200-0000D1010000}">
      <text>
        <r>
          <rPr>
            <b/>
            <sz val="9"/>
            <color indexed="81"/>
            <rFont val="Verdana"/>
            <family val="2"/>
          </rPr>
          <t>Kristin Danko:</t>
        </r>
        <r>
          <rPr>
            <sz val="9"/>
            <color indexed="81"/>
            <rFont val="Verdana"/>
            <family val="2"/>
          </rPr>
          <t xml:space="preserve">
"group-session appointments" pg. 2</t>
        </r>
      </text>
    </comment>
    <comment ref="L240" authorId="3" shapeId="0" xr:uid="{00000000-0006-0000-0200-0000D2010000}">
      <text>
        <r>
          <rPr>
            <b/>
            <sz val="9"/>
            <color indexed="81"/>
            <rFont val="Verdana"/>
            <family val="2"/>
          </rPr>
          <t>Kristin Danko:</t>
        </r>
        <r>
          <rPr>
            <sz val="9"/>
            <color indexed="81"/>
            <rFont val="Verdana"/>
            <family val="2"/>
          </rPr>
          <t xml:space="preserve">
"Patient education
1. Brief diabetes overview" pg. 7</t>
        </r>
      </text>
    </comment>
    <comment ref="M240" authorId="3" shapeId="0" xr:uid="{00000000-0006-0000-0200-0000D3010000}">
      <text>
        <r>
          <rPr>
            <b/>
            <sz val="9"/>
            <color indexed="81"/>
            <rFont val="Verdana"/>
            <family val="2"/>
          </rPr>
          <t>Kristin Danko:</t>
        </r>
        <r>
          <rPr>
            <sz val="9"/>
            <color indexed="81"/>
            <rFont val="Verdana"/>
            <family val="2"/>
          </rPr>
          <t xml:space="preserve">
"goal-setting" pg. 2</t>
        </r>
      </text>
    </comment>
    <comment ref="N240" authorId="3" shapeId="0" xr:uid="{00000000-0006-0000-0200-0000D4010000}">
      <text>
        <r>
          <rPr>
            <b/>
            <sz val="9"/>
            <color indexed="81"/>
            <rFont val="Verdana"/>
            <family val="2"/>
          </rPr>
          <t>Kristin Danko:</t>
        </r>
        <r>
          <rPr>
            <sz val="9"/>
            <color indexed="81"/>
            <rFont val="Verdana"/>
            <family val="2"/>
          </rPr>
          <t xml:space="preserve">
"Throughout the study, the clinicalpharmacist reminded patients of appointments" pg. 2</t>
        </r>
      </text>
    </comment>
    <comment ref="F241" authorId="3" shapeId="0" xr:uid="{00000000-0006-0000-0200-0000D5010000}">
      <text>
        <r>
          <rPr>
            <b/>
            <sz val="9"/>
            <color indexed="81"/>
            <rFont val="Verdana"/>
            <family val="2"/>
          </rPr>
          <t>Kristin Danko:</t>
        </r>
        <r>
          <rPr>
            <sz val="9"/>
            <color indexed="81"/>
            <rFont val="Verdana"/>
            <family val="2"/>
          </rPr>
          <t xml:space="preserve">
"All participants were seen by a home care nurse in the medical clinic on their reserve at baseline, at 6 weeks and at 3, 6, 9 and 12 months after enrolment." pg. 2</t>
        </r>
      </text>
    </comment>
    <comment ref="I241" authorId="3" shapeId="0" xr:uid="{00000000-0006-0000-0200-0000D6010000}">
      <text>
        <r>
          <rPr>
            <b/>
            <sz val="9"/>
            <color indexed="81"/>
            <rFont val="Verdana"/>
            <family val="2"/>
          </rPr>
          <t>Kristin Danko:</t>
        </r>
        <r>
          <rPr>
            <sz val="9"/>
            <color indexed="81"/>
            <rFont val="Verdana"/>
            <family val="2"/>
          </rPr>
          <t xml:space="preserve">
"A summary of the clinical practice guidelines for managing hypertension in people with diabetes8 was included with each
letter." pg. 2</t>
        </r>
      </text>
    </comment>
    <comment ref="L241" authorId="3" shapeId="0" xr:uid="{00000000-0006-0000-0200-0000D7010000}">
      <text>
        <r>
          <rPr>
            <b/>
            <sz val="9"/>
            <color indexed="81"/>
            <rFont val="Verdana"/>
            <family val="2"/>
          </rPr>
          <t>Kristin Danko:</t>
        </r>
        <r>
          <rPr>
            <sz val="9"/>
            <color indexed="81"/>
            <rFont val="Verdana"/>
            <family val="2"/>
          </rPr>
          <t xml:space="preserve">
"All patients received healthy lifestyle
classes" pg. 2</t>
        </r>
      </text>
    </comment>
    <comment ref="F242" authorId="3" shapeId="0" xr:uid="{00000000-0006-0000-0200-0000D8010000}">
      <text>
        <r>
          <rPr>
            <b/>
            <sz val="9"/>
            <color indexed="81"/>
            <rFont val="Verdana"/>
            <family val="2"/>
          </rPr>
          <t>Kristin Danko:</t>
        </r>
        <r>
          <rPr>
            <sz val="9"/>
            <color indexed="81"/>
            <rFont val="Verdana"/>
            <family val="2"/>
          </rPr>
          <t xml:space="preserve">
"All participants were seen by a home care nurse in the medical clinic on their reserve at baseline, at 6 weeks and at 3, 6, 9 and 12 months after enrolment." pg. 2</t>
        </r>
      </text>
    </comment>
    <comment ref="G242" authorId="3" shapeId="0" xr:uid="{00000000-0006-0000-0200-0000D9010000}">
      <text>
        <r>
          <rPr>
            <b/>
            <sz val="9"/>
            <color indexed="81"/>
            <rFont val="Verdana"/>
            <family val="2"/>
          </rPr>
          <t>Kristin Danko:</t>
        </r>
        <r>
          <rPr>
            <sz val="9"/>
            <color indexed="81"/>
            <rFont val="Verdana"/>
            <family val="2"/>
          </rPr>
          <t xml:space="preserve">
"a stepped protocol approach to lower the blood pressure to the target (&lt; 130/80 mm Hg) was begun, administered by the home care nurse under the indirect supervision of the hypertension specialist." pg. 2</t>
        </r>
      </text>
    </comment>
    <comment ref="I242" authorId="3" shapeId="0" xr:uid="{00000000-0006-0000-0200-0000DA010000}">
      <text>
        <r>
          <rPr>
            <b/>
            <sz val="9"/>
            <color indexed="81"/>
            <rFont val="Verdana"/>
            <family val="2"/>
          </rPr>
          <t>Kristin Danko:</t>
        </r>
        <r>
          <rPr>
            <sz val="9"/>
            <color indexed="81"/>
            <rFont val="Verdana"/>
            <family val="2"/>
          </rPr>
          <t xml:space="preserve">
"A summary of the clinical practice guidelines for managing hypertension in people with diabetes8 was included with each
letter." pg. 2</t>
        </r>
      </text>
    </comment>
    <comment ref="L242" authorId="3" shapeId="0" xr:uid="{00000000-0006-0000-0200-0000DB010000}">
      <text>
        <r>
          <rPr>
            <b/>
            <sz val="9"/>
            <color indexed="81"/>
            <rFont val="Verdana"/>
            <family val="2"/>
          </rPr>
          <t>Kristin Danko:</t>
        </r>
        <r>
          <rPr>
            <sz val="9"/>
            <color indexed="81"/>
            <rFont val="Verdana"/>
            <family val="2"/>
          </rPr>
          <t xml:space="preserve">
"All patients received healthy lifestyle
classes" pg. 2</t>
        </r>
      </text>
    </comment>
    <comment ref="H243" authorId="3" shapeId="0" xr:uid="{00000000-0006-0000-0200-0000DC010000}">
      <text>
        <r>
          <rPr>
            <b/>
            <sz val="9"/>
            <color indexed="81"/>
            <rFont val="Verdana"/>
            <family val="2"/>
          </rPr>
          <t>Kristin Danko:</t>
        </r>
        <r>
          <rPr>
            <sz val="9"/>
            <color indexed="81"/>
            <rFont val="Verdana"/>
            <family val="2"/>
          </rPr>
          <t xml:space="preserve">
"Patients allocated to conventional care were sent computer generated letters reminding them of routine appointments at the clinic,and patients getting integrated care were invited to make appointments with their general practitioner." pg 4</t>
        </r>
      </text>
    </comment>
    <comment ref="N243" authorId="3" shapeId="0" xr:uid="{00000000-0006-0000-0200-0000DD010000}">
      <text>
        <r>
          <rPr>
            <b/>
            <sz val="9"/>
            <color indexed="81"/>
            <rFont val="Verdana"/>
            <family val="2"/>
          </rPr>
          <t>Kristin Danko:</t>
        </r>
        <r>
          <rPr>
            <sz val="9"/>
            <color indexed="81"/>
            <rFont val="Verdana"/>
            <family val="2"/>
          </rPr>
          <t xml:space="preserve">
"Patients allocated to conventional care were sent computer generated letters reminding them of routine appointments at the clinic,and patients getting integrated care were invited to make appointments with their general practitioner." pg 4</t>
        </r>
      </text>
    </comment>
    <comment ref="H244" authorId="3" shapeId="0" xr:uid="{00000000-0006-0000-0200-0000DE010000}">
      <text>
        <r>
          <rPr>
            <b/>
            <sz val="9"/>
            <color indexed="81"/>
            <rFont val="Verdana"/>
            <family val="2"/>
          </rPr>
          <t>Kristin Danko:</t>
        </r>
        <r>
          <rPr>
            <sz val="9"/>
            <color indexed="81"/>
            <rFont val="Verdana"/>
            <family val="2"/>
          </rPr>
          <t xml:space="preserve">
"Patients allocated to conventional care were sent computer generated letters reminding them of routine appointments at the clinic,and patients getting integrated care were invited to make appointments with their general practitioner." pg 4</t>
        </r>
      </text>
    </comment>
    <comment ref="I244" authorId="3" shapeId="0" xr:uid="{00000000-0006-0000-0200-0000DF010000}">
      <text>
        <r>
          <rPr>
            <b/>
            <sz val="9"/>
            <color indexed="81"/>
            <rFont val="Verdana"/>
            <family val="2"/>
          </rPr>
          <t>Kristin Danko:</t>
        </r>
        <r>
          <rPr>
            <sz val="9"/>
            <color indexed="81"/>
            <rFont val="Verdana"/>
            <family val="2"/>
          </rPr>
          <t xml:space="preserve">
"Practices received guidelines on the requirements of integrated care" pg. 3</t>
        </r>
      </text>
    </comment>
    <comment ref="J244" authorId="3" shapeId="0" xr:uid="{00000000-0006-0000-0200-0000E0010000}">
      <text>
        <r>
          <rPr>
            <b/>
            <sz val="9"/>
            <color indexed="81"/>
            <rFont val="Verdana"/>
            <family val="2"/>
          </rPr>
          <t>Kristin Danko:</t>
        </r>
        <r>
          <rPr>
            <sz val="9"/>
            <color indexed="81"/>
            <rFont val="Verdana"/>
            <family val="2"/>
          </rPr>
          <t xml:space="preserve">
"general practitioner received a computer aenerated reminder that the patient was due for consultation together with the most recent clinical details" pg. 4</t>
        </r>
      </text>
    </comment>
    <comment ref="N244" authorId="3" shapeId="0" xr:uid="{00000000-0006-0000-0200-0000E1010000}">
      <text>
        <r>
          <rPr>
            <b/>
            <sz val="9"/>
            <color indexed="81"/>
            <rFont val="Verdana"/>
            <family val="2"/>
          </rPr>
          <t>Kristin Danko:</t>
        </r>
        <r>
          <rPr>
            <sz val="9"/>
            <color indexed="81"/>
            <rFont val="Verdana"/>
            <family val="2"/>
          </rPr>
          <t xml:space="preserve">
"Patients allocated to conventional care were sent computer generated letters reminding them of routine appointments at the clinic,and patients getting integrated care were invited to make appointments with their general practitioner." pg 4</t>
        </r>
      </text>
    </comment>
    <comment ref="E245" authorId="3" shapeId="0" xr:uid="{00000000-0006-0000-0200-0000E2010000}">
      <text>
        <r>
          <rPr>
            <b/>
            <sz val="9"/>
            <color indexed="81"/>
            <rFont val="Verdana"/>
            <family val="2"/>
          </rPr>
          <t>Kristin Danko:</t>
        </r>
        <r>
          <rPr>
            <sz val="9"/>
            <color indexed="81"/>
            <rFont val="Verdana"/>
            <family val="2"/>
          </rPr>
          <t xml:space="preserve">
"aggregated data were provided annually to patients and clinicians." pg. 4</t>
        </r>
      </text>
    </comment>
    <comment ref="H245" authorId="3" shapeId="0" xr:uid="{00000000-0006-0000-0200-0000E3010000}">
      <text>
        <r>
          <rPr>
            <b/>
            <sz val="9"/>
            <color indexed="81"/>
            <rFont val="Verdana"/>
            <family val="2"/>
          </rPr>
          <t>Kristin Danko:</t>
        </r>
        <r>
          <rPr>
            <sz val="9"/>
            <color indexed="81"/>
            <rFont val="Verdana"/>
            <family val="2"/>
          </rPr>
          <t xml:space="preserve">
"A structured dataset was completed on paper forms and returned to the central register; the hospital laboratory provided a monthly download of laboratory test results (e.g. HbA1c) for patients" pg. 4</t>
        </r>
      </text>
    </comment>
    <comment ref="E246" authorId="3" shapeId="0" xr:uid="{00000000-0006-0000-0200-0000E4010000}">
      <text>
        <r>
          <rPr>
            <b/>
            <sz val="9"/>
            <color indexed="81"/>
            <rFont val="Verdana"/>
            <family val="2"/>
          </rPr>
          <t>Kristin Danko:</t>
        </r>
        <r>
          <rPr>
            <sz val="9"/>
            <color indexed="81"/>
            <rFont val="Verdana"/>
            <family val="2"/>
          </rPr>
          <t xml:space="preserve">
"aggregated data were provided annually to patients and clinicians." pg. 4</t>
        </r>
      </text>
    </comment>
    <comment ref="H246" authorId="3" shapeId="0" xr:uid="{00000000-0006-0000-0200-0000E5010000}">
      <text>
        <r>
          <rPr>
            <b/>
            <sz val="9"/>
            <color indexed="81"/>
            <rFont val="Verdana"/>
            <family val="2"/>
          </rPr>
          <t>Kristin Danko:</t>
        </r>
        <r>
          <rPr>
            <sz val="9"/>
            <color indexed="81"/>
            <rFont val="Verdana"/>
            <family val="2"/>
          </rPr>
          <t xml:space="preserve">
"computerised diabetes register incorporating a full structured recall and management system, including individualised patient management prompts" pg. 1; "A structured dataset was completed on paper forms and returned to the central register; the hospital laboratory provided a monthly download of laboratory test results (e.g. HbA1c) for patients" pg. 4</t>
        </r>
      </text>
    </comment>
    <comment ref="J246" authorId="3" shapeId="0" xr:uid="{00000000-0006-0000-0200-0000E6010000}">
      <text>
        <r>
          <rPr>
            <b/>
            <sz val="9"/>
            <color indexed="81"/>
            <rFont val="Verdana"/>
            <family val="2"/>
          </rPr>
          <t>Kristin Danko:</t>
        </r>
        <r>
          <rPr>
            <sz val="9"/>
            <color indexed="81"/>
            <rFont val="Verdana"/>
            <family val="2"/>
          </rPr>
          <t xml:space="preserve">
"computerised diabetes register incorporating a full structured recall and management system, including individualised patient management prompts" pg. 1; "At the same time, the central database generated a letter to the practice stating that the patient should be making a review appointment in the near
future." pg. 4</t>
        </r>
      </text>
    </comment>
    <comment ref="N246" authorId="3" shapeId="0" xr:uid="{00000000-0006-0000-0200-0000E7010000}">
      <text>
        <r>
          <rPr>
            <b/>
            <sz val="9"/>
            <color indexed="81"/>
            <rFont val="Verdana"/>
            <family val="2"/>
          </rPr>
          <t>Kristin Danko:</t>
        </r>
        <r>
          <rPr>
            <sz val="9"/>
            <color indexed="81"/>
            <rFont val="Verdana"/>
            <family val="2"/>
          </rPr>
          <t xml:space="preserve">
"computerised diabetes register incorporating a full structured recall and management system, including individualised patient management prompts" pg. 1; "central database system identified when patients
were due for review and generated a letter to the patients asking them" pg. 4</t>
        </r>
      </text>
    </comment>
    <comment ref="L248" authorId="3" shapeId="0" xr:uid="{00000000-0006-0000-0200-0000E8010000}">
      <text>
        <r>
          <rPr>
            <b/>
            <sz val="9"/>
            <color indexed="81"/>
            <rFont val="Verdana"/>
            <family val="2"/>
          </rPr>
          <t>Kristin Danko:</t>
        </r>
        <r>
          <rPr>
            <sz val="9"/>
            <color indexed="81"/>
            <rFont val="Verdana"/>
            <family val="2"/>
          </rPr>
          <t xml:space="preserve">
"A summary of the patient's current condition. A graph showed personal trends in A1C and LDL cholesterol values over at least a 12-month period and noted that the patient was above the goal for the A1C, LDL cholesterol or both" pg. 2</t>
        </r>
      </text>
    </comment>
    <comment ref="N248" authorId="3" shapeId="0" xr:uid="{00000000-0006-0000-0200-0000E9010000}">
      <text>
        <r>
          <rPr>
            <b/>
            <sz val="9"/>
            <color indexed="81"/>
            <rFont val="Verdana"/>
            <family val="2"/>
          </rPr>
          <t>Kristin Danko:</t>
        </r>
        <r>
          <rPr>
            <sz val="9"/>
            <color indexed="81"/>
            <rFont val="Verdana"/>
            <family val="2"/>
          </rPr>
          <t xml:space="preserve">
"General medication recommendations. Patients were encouraged to see their physician soon and were given a customized checklist of items to discuss with him or her including…" pg. 2</t>
        </r>
      </text>
    </comment>
    <comment ref="E249" authorId="3" shapeId="0" xr:uid="{00000000-0006-0000-0200-0000EA010000}">
      <text>
        <r>
          <rPr>
            <b/>
            <sz val="9"/>
            <color indexed="81"/>
            <rFont val="Verdana"/>
            <family val="2"/>
          </rPr>
          <t>Kristin Danko:</t>
        </r>
        <r>
          <rPr>
            <sz val="9"/>
            <color indexed="81"/>
            <rFont val="Verdana"/>
            <family val="2"/>
          </rPr>
          <t xml:space="preserve">
"Physicians received a printed list of their diabetic patients every 4 months. Patients were prioritized based on distance from A1C or LDL cholesterol goal, and the list included patient laboratory data, medications, comorbidity,  and renal function" pg. 2 (selected by KD because text could not be highlighted) pg. 2</t>
        </r>
      </text>
    </comment>
    <comment ref="J249" authorId="3" shapeId="0" xr:uid="{00000000-0006-0000-0200-0000EB010000}">
      <text>
        <r>
          <rPr>
            <b/>
            <sz val="9"/>
            <color indexed="81"/>
            <rFont val="Verdana"/>
            <family val="2"/>
          </rPr>
          <t>Kristin Danko:</t>
        </r>
        <r>
          <rPr>
            <sz val="9"/>
            <color indexed="81"/>
            <rFont val="Verdana"/>
            <family val="2"/>
          </rPr>
          <t xml:space="preserve">
"1. Reminders for overdue A1C or LDL cholesterol; 2. Recommendation to intensify pharmacotherapy if A1C or LDL cholesterol were above the goal and there was no treatment intensification in the prior 4 months; 3. Notification of inappropriate pharmacotherapy. If patients were receiving any potentially risky treatments, a specific alternative treatment was suggested" pg. 2 (text selected by KD)</t>
        </r>
      </text>
    </comment>
    <comment ref="E250" authorId="3" shapeId="0" xr:uid="{00000000-0006-0000-0200-0000EC010000}">
      <text>
        <r>
          <rPr>
            <b/>
            <sz val="9"/>
            <color indexed="81"/>
            <rFont val="Verdana"/>
            <family val="2"/>
          </rPr>
          <t>Kristin Danko:</t>
        </r>
        <r>
          <rPr>
            <sz val="9"/>
            <color indexed="81"/>
            <rFont val="Verdana"/>
            <family val="2"/>
          </rPr>
          <t xml:space="preserve">
"Physicians received a printed list of their diabetic patients every 4 months. Patients were prioritized based on distance from A1C or LDL cholesterol goal, and the list included patient laboratory data, medications, comorbidity,  and renal function" pg. 2 (selected by KD because text could not be highlighted) pg. 2</t>
        </r>
      </text>
    </comment>
    <comment ref="J250" authorId="3" shapeId="0" xr:uid="{00000000-0006-0000-0200-0000ED010000}">
      <text>
        <r>
          <rPr>
            <b/>
            <sz val="9"/>
            <color indexed="81"/>
            <rFont val="Verdana"/>
            <family val="2"/>
          </rPr>
          <t>Kristin Danko:</t>
        </r>
        <r>
          <rPr>
            <sz val="9"/>
            <color indexed="81"/>
            <rFont val="Verdana"/>
            <family val="2"/>
          </rPr>
          <t xml:space="preserve">
"1. Reminders for overdue A1C or LDL cholesterol; 2. Recommendation to intensify pharmacotherapy if A1C or LDL cholesterol were above the goal and there was no treatment intensification in the prior 4 months; 3. Notification of inappropriate pharmacotherapy. If patients were receiving any potentially risky treatments, a specific alternative treatment was suggested" pg. 2 (text selected by KD)</t>
        </r>
      </text>
    </comment>
    <comment ref="L250" authorId="3" shapeId="0" xr:uid="{00000000-0006-0000-0200-0000EE010000}">
      <text>
        <r>
          <rPr>
            <b/>
            <sz val="9"/>
            <color indexed="81"/>
            <rFont val="Verdana"/>
            <family val="2"/>
          </rPr>
          <t>Kristin Danko:</t>
        </r>
        <r>
          <rPr>
            <sz val="9"/>
            <color indexed="81"/>
            <rFont val="Verdana"/>
            <family val="2"/>
          </rPr>
          <t xml:space="preserve">
"A summary of the patient's current condition. A graph showed personal trends in A1C and LDL cholesterol values over at least a 12-month period and noted that the patient was above the goal for the A1C, LDL cholesterol or both" pg. 2</t>
        </r>
      </text>
    </comment>
    <comment ref="N250" authorId="3" shapeId="0" xr:uid="{00000000-0006-0000-0200-0000EF010000}">
      <text>
        <r>
          <rPr>
            <b/>
            <sz val="9"/>
            <color indexed="81"/>
            <rFont val="Verdana"/>
            <family val="2"/>
          </rPr>
          <t>Kristin Danko:</t>
        </r>
        <r>
          <rPr>
            <sz val="9"/>
            <color indexed="81"/>
            <rFont val="Verdana"/>
            <family val="2"/>
          </rPr>
          <t xml:space="preserve">
"General medication recommendations. Patients were encouraged to see their physician soon and were given a customized checklist of items to discuss with him or her including…" pg. 2</t>
        </r>
      </text>
    </comment>
    <comment ref="E251" authorId="3" shapeId="0" xr:uid="{00000000-0006-0000-0200-0000F0010000}">
      <text>
        <r>
          <rPr>
            <b/>
            <sz val="9"/>
            <color indexed="81"/>
            <rFont val="Verdana"/>
            <family val="2"/>
          </rPr>
          <t>Kristin Danko:</t>
        </r>
        <r>
          <rPr>
            <sz val="9"/>
            <color indexed="81"/>
            <rFont val="Verdana"/>
            <family val="2"/>
          </rPr>
          <t xml:space="preserve">
"evidence-based treatment protocol, annual benchmarking, postgraduate education,
case-coaching for GPs and patient education." pg. 1</t>
        </r>
      </text>
    </comment>
    <comment ref="I251" authorId="3" shapeId="0" xr:uid="{00000000-0006-0000-0200-0000F1010000}">
      <text>
        <r>
          <rPr>
            <b/>
            <sz val="9"/>
            <color indexed="81"/>
            <rFont val="Verdana"/>
            <family val="2"/>
          </rPr>
          <t>Kristin Danko:</t>
        </r>
        <r>
          <rPr>
            <sz val="9"/>
            <color indexed="81"/>
            <rFont val="Verdana"/>
            <family val="2"/>
          </rPr>
          <t xml:space="preserve">
"evidence-based treatment protocol, annual benchmarking, postgraduate education,
case-coaching for GPs and patient education." pg. 1</t>
        </r>
      </text>
    </comment>
    <comment ref="L251" authorId="3" shapeId="0" xr:uid="{00000000-0006-0000-0200-0000F2010000}">
      <text>
        <r>
          <rPr>
            <b/>
            <sz val="9"/>
            <color indexed="81"/>
            <rFont val="Verdana"/>
            <family val="2"/>
          </rPr>
          <t>Kristin Danko:</t>
        </r>
        <r>
          <rPr>
            <sz val="9"/>
            <color indexed="81"/>
            <rFont val="Verdana"/>
            <family val="2"/>
          </rPr>
          <t xml:space="preserve">
"evidence-based treatment protocol, annual benchmarking, postgraduate education,
case-coaching for GPs and patient education." pg. 1</t>
        </r>
      </text>
    </comment>
    <comment ref="E252" authorId="3" shapeId="0" xr:uid="{00000000-0006-0000-0200-0000F3010000}">
      <text>
        <r>
          <rPr>
            <b/>
            <sz val="9"/>
            <color indexed="81"/>
            <rFont val="Verdana"/>
            <family val="2"/>
          </rPr>
          <t>Kristin Danko:</t>
        </r>
        <r>
          <rPr>
            <sz val="9"/>
            <color indexed="81"/>
            <rFont val="Verdana"/>
            <family val="2"/>
          </rPr>
          <t xml:space="preserve">
"evidence-based treatment protocol, annual benchmarking, postgraduate education,
case-coaching for GPs and patient education." pg. 1</t>
        </r>
      </text>
    </comment>
    <comment ref="G252" authorId="3" shapeId="0" xr:uid="{00000000-0006-0000-0200-0000F4010000}">
      <text>
        <r>
          <rPr>
            <b/>
            <sz val="9"/>
            <color indexed="81"/>
            <rFont val="Verdana"/>
            <family val="2"/>
          </rPr>
          <t>Kristin Danko:</t>
        </r>
        <r>
          <rPr>
            <sz val="9"/>
            <color indexed="81"/>
            <rFont val="Verdana"/>
            <family val="2"/>
          </rPr>
          <t xml:space="preserve">
"was reinforced with
a health psychologist and a diabetes educator who delivered diabetes education at the patient’s home." pg. 3</t>
        </r>
      </text>
    </comment>
    <comment ref="I252" authorId="3" shapeId="0" xr:uid="{00000000-0006-0000-0200-0000F5010000}">
      <text>
        <r>
          <rPr>
            <b/>
            <sz val="9"/>
            <color indexed="81"/>
            <rFont val="Verdana"/>
            <family val="2"/>
          </rPr>
          <t>Kristin Danko:</t>
        </r>
        <r>
          <rPr>
            <sz val="9"/>
            <color indexed="81"/>
            <rFont val="Verdana"/>
            <family val="2"/>
          </rPr>
          <t xml:space="preserve">
"evidence-based treatment protocol, annual benchmarking, postgraduate education,
case-coaching for GPs and patient education." pg. 1</t>
        </r>
      </text>
    </comment>
    <comment ref="J252" authorId="3" shapeId="0" xr:uid="{00000000-0006-0000-0200-0000F6010000}">
      <text>
        <r>
          <rPr>
            <b/>
            <sz val="9"/>
            <color indexed="81"/>
            <rFont val="Verdana"/>
            <family val="2"/>
          </rPr>
          <t>Kristin Danko:</t>
        </r>
        <r>
          <rPr>
            <sz val="9"/>
            <color indexed="81"/>
            <rFont val="Verdana"/>
            <family val="2"/>
          </rPr>
          <t xml:space="preserve">
"Regular reminders actively encouraged GPs to refer all their patients not reaching the targets. Other reminders encouraged GPs to collaborate with existing community campaigns on smoking cessation and physical activity" pg. 3</t>
        </r>
      </text>
    </comment>
    <comment ref="L252" authorId="3" shapeId="0" xr:uid="{00000000-0006-0000-0200-0000F7010000}">
      <text>
        <r>
          <rPr>
            <b/>
            <sz val="9"/>
            <color indexed="81"/>
            <rFont val="Verdana"/>
            <family val="2"/>
          </rPr>
          <t>Kristin Danko:</t>
        </r>
        <r>
          <rPr>
            <sz val="9"/>
            <color indexed="81"/>
            <rFont val="Verdana"/>
            <family val="2"/>
          </rPr>
          <t xml:space="preserve">
"evidence-based treatment protocol, annual benchmarking, postgraduate education,
case-coaching for GPs and patient education." pg. 1; "printed educational brochures,
pedometers and home blood glucose material (HBGM)" pg. 3</t>
        </r>
      </text>
    </comment>
    <comment ref="M252" authorId="3" shapeId="0" xr:uid="{00000000-0006-0000-0200-0000F8010000}">
      <text>
        <r>
          <rPr>
            <b/>
            <sz val="9"/>
            <color indexed="81"/>
            <rFont val="Verdana"/>
            <family val="2"/>
          </rPr>
          <t>Kristin Danko:</t>
        </r>
        <r>
          <rPr>
            <sz val="9"/>
            <color indexed="81"/>
            <rFont val="Verdana"/>
            <family val="2"/>
          </rPr>
          <t xml:space="preserve">
"printed educational brochures, pedometers and home blood glucose material (HBGM)" pg. 3</t>
        </r>
      </text>
    </comment>
    <comment ref="F254" authorId="3" shapeId="0" xr:uid="{00000000-0006-0000-0200-0000F9010000}">
      <text>
        <r>
          <rPr>
            <b/>
            <sz val="9"/>
            <color indexed="81"/>
            <rFont val="Verdana"/>
            <family val="2"/>
          </rPr>
          <t>Kristin Danko:</t>
        </r>
        <r>
          <rPr>
            <sz val="9"/>
            <color indexed="81"/>
            <rFont val="Verdana"/>
            <family val="2"/>
          </rPr>
          <t xml:space="preserve">
"This included early switching to insulin therapy after failure of 2 oral medications. The patient’s primary care physician approved any changes in medication or therapy, although the pharmacist was given autonomy to adjust insulin doses as needed. The number of subsequent visits with the pharmacist was based on the need to further educate the patient about diabetes control or to monitor therapeutic changes." pg. 2</t>
        </r>
      </text>
    </comment>
    <comment ref="G254" authorId="3" shapeId="0" xr:uid="{00000000-0006-0000-0200-0000FA010000}">
      <text>
        <r>
          <rPr>
            <b/>
            <sz val="9"/>
            <color indexed="81"/>
            <rFont val="Verdana"/>
            <family val="2"/>
          </rPr>
          <t>Kristin Danko:</t>
        </r>
        <r>
          <rPr>
            <sz val="9"/>
            <color indexed="81"/>
            <rFont val="Verdana"/>
            <family val="2"/>
          </rPr>
          <t xml:space="preserve">
"This included early switching to insulin therapy after failure of 2 oral medications. The patient’s primary care physician approved any changes in medication or therapy, although the pharmacist was given autonomy to adjust insulin doses as needed. The number of subsequent visits with the pharmacist was based on the need to further educate the patient about diabetes control or to monitor therapeutic changes." pg. 2</t>
        </r>
      </text>
    </comment>
    <comment ref="L254" authorId="3" shapeId="0" xr:uid="{00000000-0006-0000-0200-0000FB010000}">
      <text>
        <r>
          <rPr>
            <b/>
            <sz val="9"/>
            <color indexed="81"/>
            <rFont val="Verdana"/>
            <family val="2"/>
          </rPr>
          <t>Kristin Danko:</t>
        </r>
        <r>
          <rPr>
            <sz val="9"/>
            <color indexed="81"/>
            <rFont val="Verdana"/>
            <family val="2"/>
          </rPr>
          <t xml:space="preserve">
"diabetes self-management, including diet, exercise, blood glucose level testing, medications,and insulin." pg. 2</t>
        </r>
      </text>
    </comment>
    <comment ref="M254" authorId="3" shapeId="0" xr:uid="{00000000-0006-0000-0200-0000FC010000}">
      <text>
        <r>
          <rPr>
            <b/>
            <sz val="9"/>
            <color indexed="81"/>
            <rFont val="Verdana"/>
            <family val="2"/>
          </rPr>
          <t>Kristin Danko:</t>
        </r>
        <r>
          <rPr>
            <sz val="9"/>
            <color indexed="81"/>
            <rFont val="Verdana"/>
            <family val="2"/>
          </rPr>
          <t xml:space="preserve">
"diabetes self-management, including diet, exercise, blood glucose level testing, medications,and insulin." pg. 2</t>
        </r>
      </text>
    </comment>
    <comment ref="G256" authorId="3" shapeId="0" xr:uid="{00000000-0006-0000-0200-0000FD010000}">
      <text>
        <r>
          <rPr>
            <b/>
            <sz val="9"/>
            <color indexed="81"/>
            <rFont val="Verdana"/>
            <family val="2"/>
          </rPr>
          <t>Kristin Danko:</t>
        </r>
        <r>
          <rPr>
            <sz val="9"/>
            <color indexed="81"/>
            <rFont val="Verdana"/>
            <family val="2"/>
          </rPr>
          <t xml:space="preserve">
"Clinics comprised 7 to
8 patients and a care team that consisted of a primary care general internist, a pharmacist, and a nurse or other certified diabetes educator" pg. 1</t>
        </r>
      </text>
    </comment>
    <comment ref="L256" authorId="3" shapeId="0" xr:uid="{00000000-0006-0000-0200-0000FE010000}">
      <text>
        <r>
          <rPr>
            <b/>
            <sz val="9"/>
            <color indexed="81"/>
            <rFont val="Verdana"/>
            <family val="2"/>
          </rPr>
          <t>Kristin Danko:</t>
        </r>
        <r>
          <rPr>
            <sz val="9"/>
            <color indexed="81"/>
            <rFont val="Verdana"/>
            <family val="2"/>
          </rPr>
          <t xml:space="preserve">
"education sessions" pg. 2</t>
        </r>
      </text>
    </comment>
    <comment ref="M256" authorId="3" shapeId="0" xr:uid="{00000000-0006-0000-0200-0000FF010000}">
      <text>
        <r>
          <rPr>
            <b/>
            <sz val="9"/>
            <color indexed="81"/>
            <rFont val="Verdana"/>
            <family val="2"/>
          </rPr>
          <t>Kristin Danko:</t>
        </r>
        <r>
          <rPr>
            <sz val="9"/>
            <color indexed="81"/>
            <rFont val="Verdana"/>
            <family val="2"/>
          </rPr>
          <t xml:space="preserve">
"readings during each session and developed individualized plans for medication" pg. 2</t>
        </r>
      </text>
    </comment>
    <comment ref="F257" authorId="3" shapeId="0" xr:uid="{00000000-0006-0000-0200-000000020000}">
      <text>
        <r>
          <rPr>
            <b/>
            <sz val="9"/>
            <color indexed="81"/>
            <rFont val="Verdana"/>
            <family val="2"/>
          </rPr>
          <t>Kristin Danko:</t>
        </r>
        <r>
          <rPr>
            <sz val="9"/>
            <color indexed="81"/>
            <rFont val="Verdana"/>
            <family val="2"/>
          </rPr>
          <t xml:space="preserve">
"group received monthly telephone calls from the study diabetes nurse educator regarding general health conditions, status of glycemic control" pg. 2</t>
        </r>
      </text>
    </comment>
    <comment ref="L257" authorId="3" shapeId="0" xr:uid="{00000000-0006-0000-0200-000001020000}">
      <text>
        <r>
          <rPr>
            <b/>
            <sz val="9"/>
            <color indexed="81"/>
            <rFont val="Verdana"/>
            <family val="2"/>
          </rPr>
          <t>Kristin Danko:</t>
        </r>
        <r>
          <rPr>
            <sz val="9"/>
            <color indexed="81"/>
            <rFont val="Verdana"/>
            <family val="2"/>
          </rPr>
          <t xml:space="preserve">
"Participants in both groups attended an initial 2-h educational session for diabetes self-management and nutrition." pg. 2</t>
        </r>
      </text>
    </comment>
    <comment ref="M257" authorId="3" shapeId="0" xr:uid="{00000000-0006-0000-0200-000002020000}">
      <text>
        <r>
          <rPr>
            <b/>
            <sz val="9"/>
            <color indexed="81"/>
            <rFont val="Verdana"/>
            <family val="2"/>
          </rPr>
          <t>Kristin Danko:</t>
        </r>
        <r>
          <rPr>
            <sz val="9"/>
            <color indexed="81"/>
            <rFont val="Verdana"/>
            <family val="2"/>
          </rPr>
          <t xml:space="preserve">
"Participants in both groups attended an initial 2-h educational session for diabetes self-management and nutrition." pg. 2</t>
        </r>
      </text>
    </comment>
    <comment ref="F258" authorId="3" shapeId="0" xr:uid="{00000000-0006-0000-0200-000003020000}">
      <text>
        <r>
          <rPr>
            <b/>
            <sz val="9"/>
            <color indexed="81"/>
            <rFont val="Verdana"/>
            <family val="2"/>
          </rPr>
          <t>Kristin Danko:</t>
        </r>
        <r>
          <rPr>
            <sz val="9"/>
            <color indexed="81"/>
            <rFont val="Verdana"/>
            <family val="2"/>
          </rPr>
          <t xml:space="preserve">
"The nurse practitioner also called ACM HT participants monthly to provide
individualized self-management counseling" pg. 2</t>
        </r>
      </text>
    </comment>
    <comment ref="G258" authorId="3" shapeId="0" xr:uid="{00000000-0006-0000-0200-000004020000}">
      <text>
        <r>
          <rPr>
            <b/>
            <sz val="9"/>
            <color indexed="81"/>
            <rFont val="Verdana"/>
            <family val="2"/>
          </rPr>
          <t>Kristin Danko:</t>
        </r>
        <r>
          <rPr>
            <sz val="9"/>
            <color indexed="81"/>
            <rFont val="Verdana"/>
            <family val="2"/>
          </rPr>
          <t xml:space="preserve">
"adjusted by the nurse practitioner supervised by the study endocrinologist without prior approval of the PCP who was" pg. 2</t>
        </r>
      </text>
    </comment>
    <comment ref="K258" authorId="3" shapeId="0" xr:uid="{00000000-0006-0000-0200-000005020000}">
      <text>
        <r>
          <rPr>
            <b/>
            <sz val="9"/>
            <color indexed="81"/>
            <rFont val="Verdana"/>
            <family val="2"/>
          </rPr>
          <t>Kristin Danko:</t>
        </r>
        <r>
          <rPr>
            <sz val="9"/>
            <color indexed="81"/>
            <rFont val="Verdana"/>
            <family val="2"/>
          </rPr>
          <t xml:space="preserve">
"practitioner provided timely telephone follow-up, including further self management education for participants who generated “high-risk” reports" pg. 2</t>
        </r>
      </text>
    </comment>
    <comment ref="L258" authorId="3" shapeId="0" xr:uid="{00000000-0006-0000-0200-000006020000}">
      <text>
        <r>
          <rPr>
            <b/>
            <sz val="9"/>
            <color indexed="81"/>
            <rFont val="Verdana"/>
            <family val="2"/>
          </rPr>
          <t>Kristin Danko:</t>
        </r>
        <r>
          <rPr>
            <sz val="9"/>
            <color indexed="81"/>
            <rFont val="Verdana"/>
            <family val="2"/>
          </rPr>
          <t xml:space="preserve">
"Participants in both groups attended an initial 2-h educational session for diabetes self-management and nutrition." pg. 2</t>
        </r>
      </text>
    </comment>
    <comment ref="M258" authorId="3" shapeId="0" xr:uid="{00000000-0006-0000-0200-000007020000}">
      <text>
        <r>
          <rPr>
            <b/>
            <sz val="9"/>
            <color indexed="81"/>
            <rFont val="Verdana"/>
            <family val="2"/>
          </rPr>
          <t>Kristin Danko:</t>
        </r>
        <r>
          <rPr>
            <sz val="9"/>
            <color indexed="81"/>
            <rFont val="Verdana"/>
            <family val="2"/>
          </rPr>
          <t xml:space="preserve">
"Participants in both groups attended an initial 2-h educational session for diabetes self-management and nutrition." pg. 2</t>
        </r>
      </text>
    </comment>
    <comment ref="N258" authorId="3" shapeId="0" xr:uid="{00000000-0006-0000-0200-000008020000}">
      <text>
        <r>
          <rPr>
            <b/>
            <sz val="9"/>
            <color indexed="81"/>
            <rFont val="Verdana"/>
            <family val="2"/>
          </rPr>
          <t>Kristin Danko:</t>
        </r>
        <r>
          <rPr>
            <sz val="9"/>
            <color indexed="81"/>
            <rFont val="Verdana"/>
            <family val="2"/>
          </rPr>
          <t xml:space="preserve">
"The device permits continuous home messaging with reminders and education" pg. 2</t>
        </r>
      </text>
    </comment>
    <comment ref="H260" authorId="3" shapeId="0" xr:uid="{00000000-0006-0000-0200-000009020000}">
      <text>
        <r>
          <rPr>
            <b/>
            <sz val="9"/>
            <color indexed="81"/>
            <rFont val="Verdana"/>
            <family val="2"/>
          </rPr>
          <t>Kristin Danko:</t>
        </r>
        <r>
          <rPr>
            <sz val="9"/>
            <color indexed="81"/>
            <rFont val="Verdana"/>
            <family val="2"/>
          </rPr>
          <t xml:space="preserve">
Figure 2</t>
        </r>
      </text>
    </comment>
    <comment ref="K260" authorId="3" shapeId="0" xr:uid="{00000000-0006-0000-0200-00000A020000}">
      <text>
        <r>
          <rPr>
            <b/>
            <sz val="9"/>
            <color indexed="81"/>
            <rFont val="Verdana"/>
            <family val="2"/>
          </rPr>
          <t>Kristin Danko:</t>
        </r>
        <r>
          <rPr>
            <sz val="9"/>
            <color indexed="81"/>
            <rFont val="Verdana"/>
            <family val="2"/>
          </rPr>
          <t xml:space="preserve">
Figure 2</t>
        </r>
      </text>
    </comment>
    <comment ref="L260" authorId="3" shapeId="0" xr:uid="{00000000-0006-0000-0200-00000B020000}">
      <text>
        <r>
          <rPr>
            <b/>
            <sz val="9"/>
            <color indexed="81"/>
            <rFont val="Verdana"/>
            <family val="2"/>
          </rPr>
          <t>Kristin Danko:</t>
        </r>
        <r>
          <rPr>
            <sz val="9"/>
            <color indexed="81"/>
            <rFont val="Verdana"/>
            <family val="2"/>
          </rPr>
          <t xml:space="preserve">
"day regarding healthy diet and exercise methods, along with
general information about diabetes, hypertension and obesity." pg. 3</t>
        </r>
      </text>
    </comment>
    <comment ref="M260" authorId="3" shapeId="0" xr:uid="{00000000-0006-0000-0200-00000C020000}">
      <text>
        <r>
          <rPr>
            <b/>
            <sz val="9"/>
            <color indexed="81"/>
            <rFont val="Verdana"/>
            <family val="2"/>
          </rPr>
          <t>Kristin Danko:</t>
        </r>
        <r>
          <rPr>
            <sz val="9"/>
            <color indexed="81"/>
            <rFont val="Verdana"/>
            <family val="2"/>
          </rPr>
          <t xml:space="preserve">
Figure 2</t>
        </r>
      </text>
    </comment>
    <comment ref="N260" authorId="3" shapeId="0" xr:uid="{00000000-0006-0000-0200-00000D020000}">
      <text>
        <r>
          <rPr>
            <b/>
            <sz val="9"/>
            <color indexed="81"/>
            <rFont val="Verdana"/>
            <family val="2"/>
          </rPr>
          <t>Kristin Danko:</t>
        </r>
        <r>
          <rPr>
            <sz val="9"/>
            <color indexed="81"/>
            <rFont val="Verdana"/>
            <family val="2"/>
          </rPr>
          <t xml:space="preserve">
"day regarding healthy diet and exercise methods, along with
general information about diabetes, hypertension and obesity." pg. 3</t>
        </r>
      </text>
    </comment>
    <comment ref="F262" authorId="3" shapeId="0" xr:uid="{00000000-0006-0000-0200-00000E020000}">
      <text>
        <r>
          <rPr>
            <b/>
            <sz val="9"/>
            <color indexed="81"/>
            <rFont val="Verdana"/>
            <family val="2"/>
          </rPr>
          <t>Kristin Danko:</t>
        </r>
        <r>
          <rPr>
            <sz val="9"/>
            <color indexed="81"/>
            <rFont val="Verdana"/>
            <family val="2"/>
          </rPr>
          <t xml:space="preserve">
"2-hour weekly education sessions for 6 weeks, home glucose monitoring with teletransmission
(HGMT), and monthly telephone counseling by a bilingual nurse for 24 weeks." pg. 4</t>
        </r>
      </text>
    </comment>
    <comment ref="H262" authorId="3" shapeId="0" xr:uid="{00000000-0006-0000-0200-00000F020000}">
      <text>
        <r>
          <rPr>
            <b/>
            <sz val="9"/>
            <color indexed="81"/>
            <rFont val="Verdana"/>
            <family val="2"/>
          </rPr>
          <t>Kristin Danko:</t>
        </r>
        <r>
          <rPr>
            <sz val="9"/>
            <color indexed="81"/>
            <rFont val="Verdana"/>
            <family val="2"/>
          </rPr>
          <t xml:space="preserve">
"Web site for the present study that
was used to store and display transmitted data for bilingual nurse counselors to review and use when providing counseling to study participants. Monthly measurement reports were generated and sent to the participants to facilitate communication between the participants and the nurse counselors." pg. 4</t>
        </r>
      </text>
    </comment>
    <comment ref="L262" authorId="3" shapeId="0" xr:uid="{00000000-0006-0000-0200-000010020000}">
      <text>
        <r>
          <rPr>
            <b/>
            <sz val="9"/>
            <color indexed="81"/>
            <rFont val="Verdana"/>
            <family val="2"/>
          </rPr>
          <t>Kristin Danko:</t>
        </r>
        <r>
          <rPr>
            <sz val="9"/>
            <color indexed="81"/>
            <rFont val="Verdana"/>
            <family val="2"/>
          </rPr>
          <t xml:space="preserve">
"2-hour weekly education sessions for 6 weeks, home glucose monitoring with teletransmission
(HGMT), and monthly telephone counseling by a bilingual nurse for 24 weeks." pg. 4</t>
        </r>
      </text>
    </comment>
    <comment ref="M262" authorId="3" shapeId="0" xr:uid="{00000000-0006-0000-0200-000011020000}">
      <text>
        <r>
          <rPr>
            <b/>
            <sz val="9"/>
            <color indexed="81"/>
            <rFont val="Verdana"/>
            <family val="2"/>
          </rPr>
          <t>Kristin Danko:</t>
        </r>
        <r>
          <rPr>
            <sz val="9"/>
            <color indexed="81"/>
            <rFont val="Verdana"/>
            <family val="2"/>
          </rPr>
          <t xml:space="preserve">
"2-hour weekly education sessions for 6 weeks, home glucose monitoring with teletransmission
(HGMT), and monthly telephone counseling by a bilingual nurse for 24 weeks." pg. 4</t>
        </r>
      </text>
    </comment>
    <comment ref="L263" authorId="3" shapeId="0" xr:uid="{00000000-0006-0000-0200-000012020000}">
      <text>
        <r>
          <rPr>
            <b/>
            <sz val="9"/>
            <color indexed="81"/>
            <rFont val="Verdana"/>
            <family val="2"/>
          </rPr>
          <t>Kristin Danko:</t>
        </r>
        <r>
          <rPr>
            <sz val="9"/>
            <color indexed="81"/>
            <rFont val="Verdana"/>
            <family val="2"/>
          </rPr>
          <t xml:space="preserve">
"a ‘standard’ nurse specialised in diabetes was responsible
for educating the patients" pg. 2</t>
        </r>
      </text>
    </comment>
    <comment ref="F264" authorId="3" shapeId="0" xr:uid="{00000000-0006-0000-0200-000013020000}">
      <text>
        <r>
          <rPr>
            <b/>
            <sz val="9"/>
            <color indexed="81"/>
            <rFont val="Verdana"/>
            <family val="2"/>
          </rPr>
          <t>Kristin Danko:</t>
        </r>
        <r>
          <rPr>
            <sz val="9"/>
            <color indexed="81"/>
            <rFont val="Verdana"/>
            <family val="2"/>
          </rPr>
          <t xml:space="preserve">
"These protocols allowed the NSDs to prescribe medication and to order laboratory tests." pg. 2</t>
        </r>
      </text>
    </comment>
    <comment ref="G264" authorId="3" shapeId="0" xr:uid="{00000000-0006-0000-0200-000014020000}">
      <text>
        <r>
          <rPr>
            <b/>
            <sz val="9"/>
            <color indexed="81"/>
            <rFont val="Verdana"/>
            <family val="2"/>
          </rPr>
          <t>Kristin Danko:</t>
        </r>
        <r>
          <rPr>
            <sz val="9"/>
            <color indexed="81"/>
            <rFont val="Verdana"/>
            <family val="2"/>
          </rPr>
          <t xml:space="preserve">
"These protocols allowed the NSDs to prescribe medication and to order laboratory tests." pg. 2</t>
        </r>
      </text>
    </comment>
    <comment ref="L264" authorId="3" shapeId="0" xr:uid="{00000000-0006-0000-0200-000015020000}">
      <text>
        <r>
          <rPr>
            <b/>
            <sz val="9"/>
            <color indexed="81"/>
            <rFont val="Verdana"/>
            <family val="2"/>
          </rPr>
          <t>Kristin Danko:</t>
        </r>
        <r>
          <rPr>
            <sz val="9"/>
            <color indexed="81"/>
            <rFont val="Verdana"/>
            <family val="2"/>
          </rPr>
          <t xml:space="preserve">
"a ‘standard’ nurse specialised in diabetes was responsible
for educating the patients" pg. 2</t>
        </r>
      </text>
    </comment>
    <comment ref="F265" authorId="3" shapeId="0" xr:uid="{00000000-0006-0000-0200-000016020000}">
      <text>
        <r>
          <rPr>
            <b/>
            <sz val="9"/>
            <color indexed="81"/>
            <rFont val="Verdana"/>
            <family val="2"/>
          </rPr>
          <t>Kristin Danko:</t>
        </r>
        <r>
          <rPr>
            <sz val="9"/>
            <color indexed="81"/>
            <rFont val="Verdana"/>
            <family val="2"/>
          </rPr>
          <t xml:space="preserve">
"The minimal intervention consisted of telephone calls every 6 months to remind participants about preventive health screenings (HbA1c tests, primary care and specialty visits). A written summary of their health care utilization was sent to the participant’s primary care provider." pg. 2</t>
        </r>
      </text>
    </comment>
    <comment ref="L265" authorId="3" shapeId="0" xr:uid="{00000000-0006-0000-0200-000017020000}">
      <text>
        <r>
          <rPr>
            <b/>
            <sz val="9"/>
            <color indexed="81"/>
            <rFont val="Verdana"/>
            <family val="2"/>
          </rPr>
          <t>Kristin Danko:</t>
        </r>
        <r>
          <rPr>
            <sz val="9"/>
            <color indexed="81"/>
            <rFont val="Verdana"/>
            <family val="2"/>
          </rPr>
          <t xml:space="preserve">
"DM-specific information in the mail." pg. 2</t>
        </r>
      </text>
    </comment>
    <comment ref="N265" authorId="3" shapeId="0" xr:uid="{00000000-0006-0000-0200-000018020000}">
      <text>
        <r>
          <rPr>
            <b/>
            <sz val="9"/>
            <color indexed="81"/>
            <rFont val="Verdana"/>
            <family val="2"/>
          </rPr>
          <t>Kristin Danko:</t>
        </r>
        <r>
          <rPr>
            <sz val="9"/>
            <color indexed="81"/>
            <rFont val="Verdana"/>
            <family val="2"/>
          </rPr>
          <t xml:space="preserve">
"The minimal intervention consisted of telephone calls every 6 months to remind participants about preventive health screenings (HbA1c tests, primary care and specialty visits). A written summary of their health care utilization was sent to the participant’s primary care provider." pg. 2</t>
        </r>
      </text>
    </comment>
    <comment ref="C266" authorId="2" shapeId="0" xr:uid="{00000000-0006-0000-0200-000019020000}">
      <text>
        <r>
          <rPr>
            <b/>
            <sz val="9"/>
            <color indexed="81"/>
            <rFont val="Tahoma"/>
            <family val="2"/>
          </rPr>
          <t>Mostafa:</t>
        </r>
        <r>
          <rPr>
            <sz val="9"/>
            <color indexed="81"/>
            <rFont val="Tahoma"/>
            <family val="2"/>
          </rPr>
          <t xml:space="preserve">
NCM - nurse case manager
CHW - community health worker</t>
        </r>
      </text>
    </comment>
    <comment ref="F266" authorId="3" shapeId="0" xr:uid="{00000000-0006-0000-0200-00001A020000}">
      <text>
        <r>
          <rPr>
            <b/>
            <sz val="9"/>
            <color indexed="81"/>
            <rFont val="Verdana"/>
            <family val="2"/>
          </rPr>
          <t>Kristin Danko:</t>
        </r>
        <r>
          <rPr>
            <sz val="9"/>
            <color indexed="81"/>
            <rFont val="Verdana"/>
            <family val="2"/>
          </rPr>
          <t xml:space="preserve">
"Case manager" title; "The CHWs scheduled visits a minimum of 3 times per year. The CHWs conducted home visits, during which they conducted a random blood glucose test, monitored blood pressure, and gave participants immediate feedback on the results." pg3</t>
        </r>
      </text>
    </comment>
    <comment ref="G266" authorId="3" shapeId="0" xr:uid="{00000000-0006-0000-0200-00001B020000}">
      <text>
        <r>
          <rPr>
            <b/>
            <sz val="9"/>
            <color indexed="81"/>
            <rFont val="Verdana"/>
            <family val="2"/>
          </rPr>
          <t>Kristin Danko:</t>
        </r>
        <r>
          <rPr>
            <sz val="9"/>
            <color indexed="81"/>
            <rFont val="Verdana"/>
            <family val="2"/>
          </rPr>
          <t xml:space="preserve">
"The interventionists participated in weekly case conferences to discuss and implement a plan of care and also had access to physicians on the investigative team. It is important to note that the intensive intervention was designed to supplement on-going clinical care" pg. 3</t>
        </r>
      </text>
    </comment>
    <comment ref="J266" authorId="3" shapeId="0" xr:uid="{00000000-0006-0000-0200-00001C020000}">
      <text>
        <r>
          <rPr>
            <b/>
            <sz val="9"/>
            <color indexed="81"/>
            <rFont val="Verdana"/>
            <family val="2"/>
          </rPr>
          <t>Kristin Danko:</t>
        </r>
        <r>
          <rPr>
            <sz val="9"/>
            <color indexed="81"/>
            <rFont val="Verdana"/>
            <family val="2"/>
          </rPr>
          <t xml:space="preserve">
"All information from the intensive intervention was fed back to the participant’s primary care provider
in a written or verbal manner depending on urgency. This feedback was designed to prompt provider behavior." pg. 3</t>
        </r>
      </text>
    </comment>
    <comment ref="L266" authorId="3" shapeId="0" xr:uid="{00000000-0006-0000-0200-00001D020000}">
      <text>
        <r>
          <rPr>
            <b/>
            <sz val="9"/>
            <color indexed="81"/>
            <rFont val="Verdana"/>
            <family val="2"/>
          </rPr>
          <t>Kristin Danko:</t>
        </r>
        <r>
          <rPr>
            <sz val="9"/>
            <color indexed="81"/>
            <rFont val="Verdana"/>
            <family val="2"/>
          </rPr>
          <t xml:space="preserve">
"They then intervened on these factors by providing health education, problem solving, and follow-
up implemented through the intervention action plans." pg. 3</t>
        </r>
      </text>
    </comment>
    <comment ref="M266" authorId="3" shapeId="0" xr:uid="{00000000-0006-0000-0200-00001E020000}">
      <text>
        <r>
          <rPr>
            <b/>
            <sz val="9"/>
            <color indexed="81"/>
            <rFont val="Verdana"/>
            <family val="2"/>
          </rPr>
          <t>Kristin Danko:</t>
        </r>
        <r>
          <rPr>
            <sz val="9"/>
            <color indexed="81"/>
            <rFont val="Verdana"/>
            <family val="2"/>
          </rPr>
          <t xml:space="preserve">
"They then intervened on these factors by providing health education, problem solving, and follow-
up implemented through the intervention action plans." pg. 3</t>
        </r>
      </text>
    </comment>
    <comment ref="L267" authorId="3" shapeId="0" xr:uid="{00000000-0006-0000-0200-00001F020000}">
      <text>
        <r>
          <rPr>
            <b/>
            <sz val="9"/>
            <color indexed="81"/>
            <rFont val="Verdana"/>
            <family val="2"/>
          </rPr>
          <t>Kristin Danko:</t>
        </r>
        <r>
          <rPr>
            <sz val="9"/>
            <color indexed="81"/>
            <rFont val="Verdana"/>
            <family val="2"/>
          </rPr>
          <t xml:space="preserve">
"All patients took part in a two-hour education session in
which the diabetes research nurse gave instruction in
general diabetes care and self-blood glucose monitoring." pg. 2</t>
        </r>
      </text>
    </comment>
    <comment ref="K268" authorId="3" shapeId="0" xr:uid="{00000000-0006-0000-0200-000020020000}">
      <text>
        <r>
          <rPr>
            <b/>
            <sz val="9"/>
            <color indexed="81"/>
            <rFont val="Verdana"/>
            <family val="2"/>
          </rPr>
          <t>Kristin Danko:</t>
        </r>
        <r>
          <rPr>
            <sz val="9"/>
            <color indexed="81"/>
            <rFont val="Verdana"/>
            <family val="2"/>
          </rPr>
          <t xml:space="preserve">
"Letters
were sent from the clinician to the patients and their
general practitioners with details of the amalgamated
readings and treatment recommendations." pg. 2</t>
        </r>
      </text>
    </comment>
    <comment ref="L268" authorId="3" shapeId="0" xr:uid="{00000000-0006-0000-0200-000021020000}">
      <text>
        <r>
          <rPr>
            <b/>
            <sz val="9"/>
            <color indexed="81"/>
            <rFont val="Verdana"/>
            <family val="2"/>
          </rPr>
          <t>Kristin Danko:</t>
        </r>
        <r>
          <rPr>
            <sz val="9"/>
            <color indexed="81"/>
            <rFont val="Verdana"/>
            <family val="2"/>
          </rPr>
          <t xml:space="preserve">
"All patients took part in a two-hour education session in
which the diabetes research nurse gave instruction in
general diabetes care and self-blood glucose monitoring." pg. 2</t>
        </r>
      </text>
    </comment>
    <comment ref="M268" authorId="3" shapeId="0" xr:uid="{00000000-0006-0000-0200-000022020000}">
      <text>
        <r>
          <rPr>
            <b/>
            <sz val="9"/>
            <color indexed="81"/>
            <rFont val="Verdana"/>
            <family val="2"/>
          </rPr>
          <t>Kristin Danko:</t>
        </r>
        <r>
          <rPr>
            <sz val="9"/>
            <color indexed="81"/>
            <rFont val="Verdana"/>
            <family val="2"/>
          </rPr>
          <t xml:space="preserve">
"Patients in the telemonitoring arm were trained to selfmeasure
capillary blood sugar (One Touch Ultra Glucose
Meter, Lifescan, CA, USA)." pg. 2</t>
        </r>
      </text>
    </comment>
    <comment ref="F270" authorId="3" shapeId="0" xr:uid="{00000000-0006-0000-0200-000023020000}">
      <text>
        <r>
          <rPr>
            <b/>
            <sz val="9"/>
            <color indexed="81"/>
            <rFont val="Verdana"/>
            <family val="2"/>
          </rPr>
          <t>Kristin Danko:</t>
        </r>
        <r>
          <rPr>
            <sz val="9"/>
            <color indexed="81"/>
            <rFont val="Verdana"/>
            <family val="2"/>
          </rPr>
          <t xml:space="preserve">
"Intervention" Table 1</t>
        </r>
      </text>
    </comment>
    <comment ref="G270" authorId="3" shapeId="0" xr:uid="{00000000-0006-0000-0200-000024020000}">
      <text>
        <r>
          <rPr>
            <b/>
            <sz val="9"/>
            <color indexed="81"/>
            <rFont val="Verdana"/>
            <family val="2"/>
          </rPr>
          <t>Kristin Danko:</t>
        </r>
        <r>
          <rPr>
            <sz val="9"/>
            <color indexed="81"/>
            <rFont val="Verdana"/>
            <family val="2"/>
          </rPr>
          <t xml:space="preserve">
"4 weekly, 2-hour sessions in a classroom setting, with approximately 4 to 8 participants in each session. Family members, friends, or other sources of social support were encouraged to participate in the sessions with the participants. Each session had 2 parts: education in the first half and behavioral and pharmacological interventions in the second half" pg. 4</t>
        </r>
      </text>
    </comment>
    <comment ref="L270" authorId="3" shapeId="0" xr:uid="{00000000-0006-0000-0200-000025020000}">
      <text>
        <r>
          <rPr>
            <b/>
            <sz val="9"/>
            <color indexed="81"/>
            <rFont val="Verdana"/>
            <family val="2"/>
          </rPr>
          <t>Kristin Danko:</t>
        </r>
        <r>
          <rPr>
            <sz val="9"/>
            <color indexed="81"/>
            <rFont val="Verdana"/>
            <family val="2"/>
          </rPr>
          <t xml:space="preserve">
"Education" table 1</t>
        </r>
      </text>
    </comment>
    <comment ref="M270" authorId="3" shapeId="0" xr:uid="{00000000-0006-0000-0200-000026020000}">
      <text>
        <r>
          <rPr>
            <b/>
            <sz val="9"/>
            <color indexed="81"/>
            <rFont val="Verdana"/>
            <family val="2"/>
          </rPr>
          <t>Kristin Danko:</t>
        </r>
        <r>
          <rPr>
            <sz val="9"/>
            <color indexed="81"/>
            <rFont val="Verdana"/>
            <family val="2"/>
          </rPr>
          <t xml:space="preserve">
"Goal setting" Table 1</t>
        </r>
      </text>
    </comment>
    <comment ref="G272" authorId="3" shapeId="0" xr:uid="{00000000-0006-0000-0200-000027020000}">
      <text>
        <r>
          <rPr>
            <b/>
            <sz val="9"/>
            <color indexed="81"/>
            <rFont val="Verdana"/>
            <family val="2"/>
          </rPr>
          <t>Kristin Danko:</t>
        </r>
        <r>
          <rPr>
            <sz val="9"/>
            <color indexed="81"/>
            <rFont val="Verdana"/>
            <family val="2"/>
          </rPr>
          <t xml:space="preserve">
"The educational advicewas reinforced when patients
came to the hospital pharmacy to collect their prescribed
medicines on their monthly schedule" pg. 3</t>
        </r>
      </text>
    </comment>
    <comment ref="L272" authorId="3" shapeId="0" xr:uid="{00000000-0006-0000-0200-000028020000}">
      <text>
        <r>
          <rPr>
            <b/>
            <sz val="9"/>
            <color indexed="81"/>
            <rFont val="Verdana"/>
            <family val="2"/>
          </rPr>
          <t>Kristin Danko:</t>
        </r>
        <r>
          <rPr>
            <sz val="9"/>
            <color indexed="81"/>
            <rFont val="Verdana"/>
            <family val="2"/>
          </rPr>
          <t xml:space="preserve">
"Patients who were randomized to the intervention
group were educated on their illness and their medication
in a structured fashion" pg. 3</t>
        </r>
      </text>
    </comment>
    <comment ref="M272" authorId="3" shapeId="0" xr:uid="{00000000-0006-0000-0200-000029020000}">
      <text>
        <r>
          <rPr>
            <b/>
            <sz val="9"/>
            <color indexed="81"/>
            <rFont val="Verdana"/>
            <family val="2"/>
          </rPr>
          <t>Kristin Danko:</t>
        </r>
        <r>
          <rPr>
            <sz val="9"/>
            <color indexed="81"/>
            <rFont val="Verdana"/>
            <family val="2"/>
          </rPr>
          <t xml:space="preserve">
"In addition, behavioural modification aspects of the
PC intervention involved advice on the following: selfmonitoring
of glycaemic control (patients were encouraged
to monitor their blood glucose levels three times per
day, to record these values and bring a record book to
all subsequent appointments);" pg. 3</t>
        </r>
      </text>
    </comment>
    <comment ref="C273" authorId="2" shapeId="0" xr:uid="{00000000-0006-0000-0200-00002A020000}">
      <text>
        <r>
          <rPr>
            <b/>
            <sz val="9"/>
            <color indexed="81"/>
            <rFont val="Tahoma"/>
            <family val="2"/>
          </rPr>
          <t>Mostafa:</t>
        </r>
        <r>
          <rPr>
            <sz val="9"/>
            <color indexed="81"/>
            <rFont val="Tahoma"/>
            <family val="2"/>
          </rPr>
          <t xml:space="preserve">
diabetic patients treated by endocrinology service</t>
        </r>
      </text>
    </comment>
    <comment ref="C274" authorId="2" shapeId="0" xr:uid="{00000000-0006-0000-0200-00002B020000}">
      <text>
        <r>
          <rPr>
            <b/>
            <sz val="9"/>
            <color indexed="81"/>
            <rFont val="Tahoma"/>
            <family val="2"/>
          </rPr>
          <t>Mostafa:</t>
        </r>
        <r>
          <rPr>
            <sz val="9"/>
            <color indexed="81"/>
            <rFont val="Tahoma"/>
            <family val="2"/>
          </rPr>
          <t xml:space="preserve">
diabetic patients treated by coordinated team, Family Physicians and endocrinologist, at primary care site</t>
        </r>
      </text>
    </comment>
    <comment ref="G274" authorId="0" shapeId="0" xr:uid="{00000000-0006-0000-0200-00002C020000}">
      <text>
        <r>
          <rPr>
            <b/>
            <sz val="8"/>
            <color indexed="81"/>
            <rFont val="Tahoma"/>
            <family val="2"/>
          </rPr>
          <t>kdanko:</t>
        </r>
        <r>
          <rPr>
            <sz val="8"/>
            <color indexed="81"/>
            <rFont val="Tahoma"/>
            <family val="2"/>
          </rPr>
          <t xml:space="preserve">
"The main focus of this program is not a single contact, but a continuous exchange of information between FP and the diabetes team, to optimize the management of these diabetic patients and avoid inertia" pg. 3</t>
        </r>
      </text>
    </comment>
    <comment ref="I274" authorId="0" shapeId="0" xr:uid="{00000000-0006-0000-0200-00002D020000}">
      <text>
        <r>
          <rPr>
            <b/>
            <sz val="8"/>
            <color indexed="81"/>
            <rFont val="Tahoma"/>
            <family val="2"/>
          </rPr>
          <t>kdanko:</t>
        </r>
        <r>
          <rPr>
            <sz val="8"/>
            <color indexed="81"/>
            <rFont val="Tahoma"/>
            <family val="2"/>
          </rPr>
          <t xml:space="preserve">
"with lectures and practical case discussions of MI management. Four meeting were carried out between 2003 and 2006. In addition, three 2-hours sessions at each Health Care Centre were carried out 9 times a year, where FP from three to seven health care teams joined to physicians from the endocrinology service to discuss Steno-based algorithms developed" pg. 3</t>
        </r>
      </text>
    </comment>
    <comment ref="F276" authorId="3" shapeId="0" xr:uid="{00000000-0006-0000-0200-00002E020000}">
      <text>
        <r>
          <rPr>
            <b/>
            <sz val="9"/>
            <color indexed="81"/>
            <rFont val="Verdana"/>
            <family val="2"/>
          </rPr>
          <t>Kristin Danko:</t>
        </r>
        <r>
          <rPr>
            <sz val="9"/>
            <color indexed="81"/>
            <rFont val="Verdana"/>
            <family val="2"/>
          </rPr>
          <t xml:space="preserve">
"The intervention patient could call the registered dieticians if he or she needed dietary advice and the registered dieticiens called the patients to help solve problems that patients might have encountered when trying to follow the diet" pg. 2</t>
        </r>
      </text>
    </comment>
    <comment ref="G276" authorId="3" shapeId="0" xr:uid="{00000000-0006-0000-0200-00002F020000}">
      <text>
        <r>
          <rPr>
            <b/>
            <sz val="9"/>
            <color indexed="81"/>
            <rFont val="Verdana"/>
            <family val="2"/>
          </rPr>
          <t>Kristin Danko:</t>
        </r>
        <r>
          <rPr>
            <sz val="9"/>
            <color indexed="81"/>
            <rFont val="Verdana"/>
            <family val="2"/>
          </rPr>
          <t xml:space="preserve">
"The intervention patient could call the registered dieticians if he or she needed dietary advice and the registered dieticiens called the patients to help solve problems that patients might have encountered when trying to follow the diet" pg. 2</t>
        </r>
      </text>
    </comment>
    <comment ref="L276" authorId="0" shapeId="0" xr:uid="{00000000-0006-0000-0200-000030020000}">
      <text>
        <r>
          <rPr>
            <b/>
            <sz val="8"/>
            <color indexed="81"/>
            <rFont val="Tahoma"/>
            <family val="2"/>
          </rPr>
          <t>kdanko:</t>
        </r>
        <r>
          <rPr>
            <sz val="8"/>
            <color indexed="81"/>
            <rFont val="Tahoma"/>
            <family val="2"/>
          </rPr>
          <t xml:space="preserve">
"Patients in the intervention group…received ongoing instruction" pg. 2</t>
        </r>
      </text>
    </comment>
    <comment ref="M276" authorId="3" shapeId="0" xr:uid="{00000000-0006-0000-0200-000031020000}">
      <text>
        <r>
          <rPr>
            <b/>
            <sz val="9"/>
            <color indexed="81"/>
            <rFont val="Verdana"/>
            <family val="2"/>
          </rPr>
          <t>Kristin Danko:</t>
        </r>
        <r>
          <rPr>
            <sz val="9"/>
            <color indexed="81"/>
            <rFont val="Verdana"/>
            <family val="2"/>
          </rPr>
          <t xml:space="preserve">
"received ongoing instruction on the self monitoring of glucose medications, exercise, hygiene (foot care), and complication management from two registered dietitians" pg. 2</t>
        </r>
      </text>
    </comment>
    <comment ref="F278" authorId="3" shapeId="0" xr:uid="{00000000-0006-0000-0200-000032020000}">
      <text>
        <r>
          <rPr>
            <b/>
            <sz val="9"/>
            <color indexed="81"/>
            <rFont val="Verdana"/>
            <family val="2"/>
          </rPr>
          <t>Kristin Danko:</t>
        </r>
        <r>
          <rPr>
            <sz val="9"/>
            <color indexed="81"/>
            <rFont val="Verdana"/>
            <family val="2"/>
          </rPr>
          <t xml:space="preserve">
"Case management" title; </t>
        </r>
      </text>
    </comment>
    <comment ref="G278" authorId="3" shapeId="0" xr:uid="{00000000-0006-0000-0200-000033020000}">
      <text>
        <r>
          <rPr>
            <b/>
            <sz val="9"/>
            <color indexed="81"/>
            <rFont val="Verdana"/>
            <family val="2"/>
          </rPr>
          <t>Kristin Danko:</t>
        </r>
        <r>
          <rPr>
            <sz val="9"/>
            <color indexed="81"/>
            <rFont val="Verdana"/>
            <family val="2"/>
          </rPr>
          <t xml:space="preserve">
"nurse and dietician-led" pg. 1</t>
        </r>
      </text>
    </comment>
    <comment ref="L278" authorId="3" shapeId="0" xr:uid="{00000000-0006-0000-0200-000034020000}">
      <text>
        <r>
          <rPr>
            <b/>
            <sz val="9"/>
            <color indexed="81"/>
            <rFont val="Verdana"/>
            <family val="2"/>
          </rPr>
          <t>Kristin Danko:</t>
        </r>
        <r>
          <rPr>
            <sz val="9"/>
            <color indexed="81"/>
            <rFont val="Verdana"/>
            <family val="2"/>
          </rPr>
          <t xml:space="preserve">
"behavioral counseling to improve physical activity, nutrition,
weight management, stress reduction, and medication adherence" pg. 2</t>
        </r>
      </text>
    </comment>
    <comment ref="M278" authorId="3" shapeId="0" xr:uid="{00000000-0006-0000-0200-000035020000}">
      <text>
        <r>
          <rPr>
            <b/>
            <sz val="9"/>
            <color indexed="81"/>
            <rFont val="Verdana"/>
            <family val="2"/>
          </rPr>
          <t>Kristin Danko:</t>
        </r>
        <r>
          <rPr>
            <sz val="9"/>
            <color indexed="81"/>
            <rFont val="Verdana"/>
            <family val="2"/>
          </rPr>
          <t xml:space="preserve">
"self management support" pg. 2</t>
        </r>
      </text>
    </comment>
    <comment ref="M279" authorId="0" shapeId="0" xr:uid="{00000000-0006-0000-0200-000036020000}">
      <text>
        <r>
          <rPr>
            <b/>
            <sz val="8"/>
            <color indexed="81"/>
            <rFont val="Tahoma"/>
            <family val="2"/>
          </rPr>
          <t>kdanko:</t>
        </r>
        <r>
          <rPr>
            <sz val="8"/>
            <color indexed="81"/>
            <rFont val="Tahoma"/>
            <family val="2"/>
          </rPr>
          <t xml:space="preserve">
"They were asked to monitor
capillary blood glucose at their normal frequency." pg. 29</t>
        </r>
      </text>
    </comment>
    <comment ref="F280" authorId="3" shapeId="0" xr:uid="{00000000-0006-0000-0200-000037020000}">
      <text>
        <r>
          <rPr>
            <b/>
            <sz val="9"/>
            <color indexed="81"/>
            <rFont val="Verdana"/>
            <family val="2"/>
          </rPr>
          <t>Kristin Danko:</t>
        </r>
        <r>
          <rPr>
            <sz val="9"/>
            <color indexed="81"/>
            <rFont val="Verdana"/>
            <family val="2"/>
          </rPr>
          <t xml:space="preserve">
"appropriate lifestyle advice and adjustments to medication were
also made according to the study protocol"
top right column of page 15; "Throughout both phases of the trial the research nurse was available via the telephone/email to discuss any problems with groups 1–3." middle of pg 15</t>
        </r>
      </text>
    </comment>
    <comment ref="G280" authorId="0" shapeId="0" xr:uid="{00000000-0006-0000-0200-000038020000}">
      <text>
        <r>
          <rPr>
            <b/>
            <sz val="8"/>
            <color indexed="81"/>
            <rFont val="Tahoma"/>
            <family val="2"/>
          </rPr>
          <t>kdanko:</t>
        </r>
        <r>
          <rPr>
            <sz val="8"/>
            <color indexed="81"/>
            <rFont val="Tahoma"/>
            <family val="2"/>
          </rPr>
          <t xml:space="preserve">
"At these
feedback sessions the results from the OneTouch Ultra meter were downloaded and used to give feedback." pg. 29</t>
        </r>
      </text>
    </comment>
    <comment ref="K280" authorId="0" shapeId="0" xr:uid="{00000000-0006-0000-0200-000039020000}">
      <text>
        <r>
          <rPr>
            <b/>
            <sz val="8"/>
            <color indexed="81"/>
            <rFont val="Tahoma"/>
            <family val="2"/>
          </rPr>
          <t>kdanko:</t>
        </r>
        <r>
          <rPr>
            <sz val="8"/>
            <color indexed="81"/>
            <rFont val="Tahoma"/>
            <family val="2"/>
          </rPr>
          <t xml:space="preserve">
"At these
feedback sessions the results from the OneTouch Ultra meter were downloaded and used to give feedback." pg. 29</t>
        </r>
      </text>
    </comment>
    <comment ref="L280" authorId="3" shapeId="0" xr:uid="{00000000-0006-0000-0200-00003A020000}">
      <text>
        <r>
          <rPr>
            <b/>
            <sz val="9"/>
            <color indexed="81"/>
            <rFont val="Calibri"/>
            <family val="2"/>
          </rPr>
          <t>Kristin Danko:</t>
        </r>
        <r>
          <rPr>
            <sz val="9"/>
            <color indexed="81"/>
            <rFont val="Calibri"/>
            <family val="2"/>
          </rPr>
          <t xml:space="preserve">
"“and in groups 1–3 appropriate lifestyle advice and adjustments to medication were also made according to the study protocol”"</t>
        </r>
      </text>
    </comment>
    <comment ref="M280" authorId="0" shapeId="0" xr:uid="{00000000-0006-0000-0200-00003B020000}">
      <text>
        <r>
          <rPr>
            <b/>
            <sz val="8"/>
            <color indexed="81"/>
            <rFont val="Tahoma"/>
            <family val="2"/>
          </rPr>
          <t>kdanko:</t>
        </r>
        <r>
          <rPr>
            <sz val="8"/>
            <color indexed="81"/>
            <rFont val="Tahoma"/>
            <family val="2"/>
          </rPr>
          <t xml:space="preserve">
"Participants were asked
to monitor capillary blood glucose at their normal
frequency for 3 months and to attend nurse
feedback sessions at 4, 8 and 12 weeks" pg. 29</t>
        </r>
      </text>
    </comment>
    <comment ref="N280" authorId="3" shapeId="0" xr:uid="{00000000-0006-0000-0200-00003C020000}">
      <text>
        <r>
          <rPr>
            <b/>
            <sz val="9"/>
            <color indexed="81"/>
            <rFont val="Verdana"/>
            <family val="2"/>
          </rPr>
          <t>Kristin Danko:</t>
        </r>
        <r>
          <rPr>
            <sz val="9"/>
            <color indexed="81"/>
            <rFont val="Verdana"/>
            <family val="2"/>
          </rPr>
          <t xml:space="preserve">
"Two weeks before each follow-up appointment participants were sent an approved reminder letter to prompt them to come in for their visit and asking them to bring their meters, diaries and completed questionnaires."top of page 15</t>
        </r>
      </text>
    </comment>
    <comment ref="F281" authorId="3" shapeId="0" xr:uid="{00000000-0006-0000-0200-00003D020000}">
      <text>
        <r>
          <rPr>
            <b/>
            <sz val="9"/>
            <color indexed="81"/>
            <rFont val="Verdana"/>
            <family val="2"/>
          </rPr>
          <t>Kristin Danko:</t>
        </r>
        <r>
          <rPr>
            <sz val="9"/>
            <color indexed="81"/>
            <rFont val="Verdana"/>
            <family val="2"/>
          </rPr>
          <t xml:space="preserve">
"appropriate lifestyle advice and adjustments to medication were
also made according to the study protocol"
top right column of page 15; "Throughout both phases of the trial the research nurse was available via the telephone/email to discuss any problems with groups 1–3." middle of pg 15</t>
        </r>
      </text>
    </comment>
    <comment ref="G281" authorId="0" shapeId="0" xr:uid="{00000000-0006-0000-0200-00003E020000}">
      <text>
        <r>
          <rPr>
            <b/>
            <sz val="8"/>
            <color indexed="81"/>
            <rFont val="Tahoma"/>
            <family val="2"/>
          </rPr>
          <t>kdanko:</t>
        </r>
        <r>
          <rPr>
            <sz val="8"/>
            <color indexed="81"/>
            <rFont val="Tahoma"/>
            <family val="2"/>
          </rPr>
          <t xml:space="preserve">
"During this period, participants were reviewed by the research nurse at 4, 8, and 12 weeks from baseline, at which point the results from both the GlucoWatch and Onetouch Ultra meter were downloaded, saved and printed. These results were the basis for adjustment of treatment regimes when delivering feedback" pg. 27; "On the return visits, glucose readings
from both the CGMS and the OneTouch Ultra were downloaded, saved and printed. These results were reviewed by the research nurse and used to provide feedback for and adjustment to therapy." pg. 28</t>
        </r>
      </text>
    </comment>
    <comment ref="K281" authorId="0" shapeId="0" xr:uid="{00000000-0006-0000-0200-00003F020000}">
      <text>
        <r>
          <rPr>
            <b/>
            <sz val="8"/>
            <color indexed="81"/>
            <rFont val="Tahoma"/>
            <family val="2"/>
          </rPr>
          <t>kdanko:</t>
        </r>
        <r>
          <rPr>
            <sz val="8"/>
            <color indexed="81"/>
            <rFont val="Tahoma"/>
            <family val="2"/>
          </rPr>
          <t xml:space="preserve">
"During this period, participants were reviewed by the research nurse at 4, 8, and 12 weeks from baseline, at which point the results from both the GlucoWatch and Onetouch Ultra meter were downloaded, saved and printed. These results were the basis for adjustment of treatment regimes when delivering feedback" pg. 27; "On the return visits, glucose readings
from both the CGMS and the OneTouch Ultra were downloaded, saved and printed. These results were reviewed by the research nurse and used to provide feedback for and adjustment to therapy." pg. 28</t>
        </r>
      </text>
    </comment>
    <comment ref="L281" authorId="3" shapeId="0" xr:uid="{00000000-0006-0000-0200-000040020000}">
      <text>
        <r>
          <rPr>
            <b/>
            <sz val="9"/>
            <color indexed="81"/>
            <rFont val="Calibri"/>
            <family val="2"/>
          </rPr>
          <t>Kristin Danko:</t>
        </r>
        <r>
          <rPr>
            <sz val="9"/>
            <color indexed="81"/>
            <rFont val="Calibri"/>
            <family val="2"/>
          </rPr>
          <t xml:space="preserve">
"“and in groups 1–3 appropriate lifestyle advice and adjustments to medication were also made according to the study protocol”"</t>
        </r>
      </text>
    </comment>
    <comment ref="M281" authorId="0" shapeId="0" xr:uid="{00000000-0006-0000-0200-000041020000}">
      <text>
        <r>
          <rPr>
            <b/>
            <sz val="8"/>
            <color indexed="81"/>
            <rFont val="Tahoma"/>
            <family val="2"/>
          </rPr>
          <t>kdanko:</t>
        </r>
        <r>
          <rPr>
            <sz val="8"/>
            <color indexed="81"/>
            <rFont val="Tahoma"/>
            <family val="2"/>
          </rPr>
          <t xml:space="preserve">
"In addition to wearing the CGMS, participants
were asked to continue to perform capillary blood
glucose monitoring as desired." pg. 28</t>
        </r>
      </text>
    </comment>
    <comment ref="N281" authorId="3" shapeId="0" xr:uid="{00000000-0006-0000-0200-000042020000}">
      <text>
        <r>
          <rPr>
            <b/>
            <sz val="9"/>
            <color indexed="81"/>
            <rFont val="Verdana"/>
            <family val="2"/>
          </rPr>
          <t>Kristin Danko:</t>
        </r>
        <r>
          <rPr>
            <sz val="9"/>
            <color indexed="81"/>
            <rFont val="Verdana"/>
            <family val="2"/>
          </rPr>
          <t xml:space="preserve">
"Two weeks before each follow-up appointment participants were sent an approved reminder letter to prompt them to come in for their visit and asking them to bring their meters, diaries and completed questionnaires."top of page 15</t>
        </r>
      </text>
    </comment>
    <comment ref="F282" authorId="3" shapeId="0" xr:uid="{00000000-0006-0000-0200-000043020000}">
      <text>
        <r>
          <rPr>
            <b/>
            <sz val="9"/>
            <color indexed="81"/>
            <rFont val="Verdana"/>
            <family val="2"/>
          </rPr>
          <t>Kristin Danko:</t>
        </r>
        <r>
          <rPr>
            <sz val="9"/>
            <color indexed="81"/>
            <rFont val="Verdana"/>
            <family val="2"/>
          </rPr>
          <t xml:space="preserve">
"appropriate lifestyle advice and adjustments to medication were
also made according to the study protocol"
top right column of page 15; "Throughout both phases of the trial the research nurse was available via the telephone/email to discuss any problems with groups 1–3." middle of pg 15</t>
        </r>
      </text>
    </comment>
    <comment ref="G282" authorId="0" shapeId="0" xr:uid="{00000000-0006-0000-0200-000044020000}">
      <text>
        <r>
          <rPr>
            <b/>
            <sz val="8"/>
            <color indexed="81"/>
            <rFont val="Tahoma"/>
            <family val="2"/>
          </rPr>
          <t>kdanko:</t>
        </r>
        <r>
          <rPr>
            <sz val="8"/>
            <color indexed="81"/>
            <rFont val="Tahoma"/>
            <family val="2"/>
          </rPr>
          <t xml:space="preserve">
"During this period, participants were reviewed by the research nurse at 4, 8, and 12 weeks from baseline, at which point the results from both the GlucoWatch and Onetouch Ultra meter were downloaded, saved and printed. These results were the basis for adjustment of treatment regimes when delivering feedback" pg. 27</t>
        </r>
      </text>
    </comment>
    <comment ref="K282" authorId="0" shapeId="0" xr:uid="{00000000-0006-0000-0200-000045020000}">
      <text>
        <r>
          <rPr>
            <b/>
            <sz val="8"/>
            <color indexed="81"/>
            <rFont val="Tahoma"/>
            <family val="2"/>
          </rPr>
          <t>kdanko:</t>
        </r>
        <r>
          <rPr>
            <sz val="8"/>
            <color indexed="81"/>
            <rFont val="Tahoma"/>
            <family val="2"/>
          </rPr>
          <t xml:space="preserve">
"During this period, participants were reviewed by the research nurse at 4, 8, and 12 weeks from baseline, at which point the results from both the GlucoWatch and Onetouch Ultra meter were downloaded, saved and printed. These results were the basis for adjustment of treatment regimes when delivering feedback" pg. 27</t>
        </r>
      </text>
    </comment>
    <comment ref="L282" authorId="3" shapeId="0" xr:uid="{00000000-0006-0000-0200-000046020000}">
      <text>
        <r>
          <rPr>
            <b/>
            <sz val="9"/>
            <color indexed="81"/>
            <rFont val="Calibri"/>
            <family val="2"/>
          </rPr>
          <t>Kristin Danko:</t>
        </r>
        <r>
          <rPr>
            <sz val="9"/>
            <color indexed="81"/>
            <rFont val="Calibri"/>
            <family val="2"/>
          </rPr>
          <t xml:space="preserve">
"“and in groups 1–3 appropriate lifestyle advice and adjustments to medication were also made according to the study protocol”"</t>
        </r>
      </text>
    </comment>
    <comment ref="M282" authorId="0" shapeId="0" xr:uid="{00000000-0006-0000-0200-000047020000}">
      <text>
        <r>
          <rPr>
            <b/>
            <sz val="8"/>
            <color indexed="81"/>
            <rFont val="Tahoma"/>
            <family val="2"/>
          </rPr>
          <t>kdanko:</t>
        </r>
        <r>
          <rPr>
            <sz val="8"/>
            <color indexed="81"/>
            <rFont val="Tahoma"/>
            <family val="2"/>
          </rPr>
          <t xml:space="preserve">
"Participatants were asked to use the GlucoWatch at times of their choice but with a minimum attempted use of four times per week" pg. 27</t>
        </r>
      </text>
    </comment>
    <comment ref="N282" authorId="3" shapeId="0" xr:uid="{00000000-0006-0000-0200-000048020000}">
      <text>
        <r>
          <rPr>
            <b/>
            <sz val="9"/>
            <color indexed="81"/>
            <rFont val="Verdana"/>
            <family val="2"/>
          </rPr>
          <t>Kristin Danko:</t>
        </r>
        <r>
          <rPr>
            <sz val="9"/>
            <color indexed="81"/>
            <rFont val="Verdana"/>
            <family val="2"/>
          </rPr>
          <t xml:space="preserve">
"Two weeks before each follow-up appointment participants were sent an approved reminder letter to prompt them to come in for their visit and asking them to bring their meters, diaries and completed questionnaires."top of page 15</t>
        </r>
      </text>
    </comment>
    <comment ref="F284" authorId="3" shapeId="0" xr:uid="{00000000-0006-0000-0200-000049020000}">
      <text>
        <r>
          <rPr>
            <b/>
            <sz val="9"/>
            <color indexed="81"/>
            <rFont val="Verdana"/>
            <family val="2"/>
          </rPr>
          <t>Kristin Danko:</t>
        </r>
        <r>
          <rPr>
            <sz val="9"/>
            <color indexed="81"/>
            <rFont val="Verdana"/>
            <family val="2"/>
          </rPr>
          <t xml:space="preserve">
"the pharmacist met with each patient" pg 5</t>
        </r>
      </text>
    </comment>
    <comment ref="L284" authorId="3" shapeId="0" xr:uid="{00000000-0006-0000-0200-00004A020000}">
      <text>
        <r>
          <rPr>
            <b/>
            <sz val="9"/>
            <color indexed="81"/>
            <rFont val="Verdana"/>
            <family val="2"/>
          </rPr>
          <t>Kristin Danko:</t>
        </r>
        <r>
          <rPr>
            <sz val="9"/>
            <color indexed="81"/>
            <rFont val="Verdana"/>
            <family val="2"/>
          </rPr>
          <t xml:space="preserve">
"All patients received education on using the glucose meter and monitoring their glucose levels" pg. 7</t>
        </r>
      </text>
    </comment>
    <comment ref="M284" authorId="3" shapeId="0" xr:uid="{00000000-0006-0000-0200-00004B020000}">
      <text>
        <r>
          <rPr>
            <b/>
            <sz val="9"/>
            <color indexed="81"/>
            <rFont val="Verdana"/>
            <family val="2"/>
          </rPr>
          <t>Kristin Danko:</t>
        </r>
        <r>
          <rPr>
            <sz val="9"/>
            <color indexed="81"/>
            <rFont val="Verdana"/>
            <family val="2"/>
          </rPr>
          <t xml:space="preserve">
"All patients received education on using the glucose meter and monitoring their glucose levels" pg. 7</t>
        </r>
      </text>
    </comment>
    <comment ref="K286" authorId="3" shapeId="0" xr:uid="{00000000-0006-0000-0200-00004C020000}">
      <text>
        <r>
          <rPr>
            <b/>
            <sz val="9"/>
            <color indexed="81"/>
            <rFont val="Verdana"/>
            <family val="2"/>
          </rPr>
          <t>Kristin Danko:</t>
        </r>
        <r>
          <rPr>
            <sz val="9"/>
            <color indexed="81"/>
            <rFont val="Verdana"/>
            <family val="2"/>
          </rPr>
          <t xml:space="preserve">
"passport was used in the trial" pg. 2</t>
        </r>
      </text>
    </comment>
    <comment ref="L286" authorId="3" shapeId="0" xr:uid="{00000000-0006-0000-0200-00004D020000}">
      <text>
        <r>
          <rPr>
            <b/>
            <sz val="9"/>
            <color indexed="81"/>
            <rFont val="Verdana"/>
            <family val="2"/>
          </rPr>
          <t>Kristin Danko:</t>
        </r>
        <r>
          <rPr>
            <sz val="9"/>
            <color indexed="81"/>
            <rFont val="Verdana"/>
            <family val="2"/>
          </rPr>
          <t xml:space="preserve">
"diabetes education ticklist" pg. 2</t>
        </r>
      </text>
    </comment>
    <comment ref="M286" authorId="3" shapeId="0" xr:uid="{00000000-0006-0000-0200-00004E020000}">
      <text>
        <r>
          <rPr>
            <b/>
            <sz val="9"/>
            <color indexed="81"/>
            <rFont val="Verdana"/>
            <family val="2"/>
          </rPr>
          <t>Kristin Danko:</t>
        </r>
        <r>
          <rPr>
            <sz val="9"/>
            <color indexed="81"/>
            <rFont val="Verdana"/>
            <family val="2"/>
          </rPr>
          <t xml:space="preserve">
"Tailored action plans for hypoglycaemia, sick days, foot care, holiday/travel, food, activity, self blood glucose monitoring" pg. 2</t>
        </r>
      </text>
    </comment>
    <comment ref="I287" authorId="0" shapeId="0" xr:uid="{00000000-0006-0000-0200-00004F020000}">
      <text>
        <r>
          <rPr>
            <b/>
            <sz val="8"/>
            <color indexed="81"/>
            <rFont val="Tahoma"/>
            <family val="2"/>
          </rPr>
          <t>kdanko:</t>
        </r>
        <r>
          <rPr>
            <sz val="8"/>
            <color indexed="81"/>
            <rFont val="Tahoma"/>
            <family val="2"/>
          </rPr>
          <t xml:space="preserve">
"telephone. Clinical (weight, body mass index, blood pressure) and biochemical data, as well as recommended guidelines
for therapy, were mailed to their hysicians." pg. 2</t>
        </r>
      </text>
    </comment>
    <comment ref="L287" authorId="3" shapeId="0" xr:uid="{00000000-0006-0000-0200-000050020000}">
      <text>
        <r>
          <rPr>
            <b/>
            <sz val="9"/>
            <color indexed="81"/>
            <rFont val="Verdana"/>
            <family val="2"/>
          </rPr>
          <t>Kristin Danko:</t>
        </r>
        <r>
          <rPr>
            <sz val="9"/>
            <color indexed="81"/>
            <rFont val="Verdana"/>
            <family val="2"/>
          </rPr>
          <t xml:space="preserve">
"diabetes-related advice at each laboratory visit" pg. 2</t>
        </r>
      </text>
    </comment>
    <comment ref="F288" authorId="3" shapeId="0" xr:uid="{00000000-0006-0000-0200-000051020000}">
      <text>
        <r>
          <rPr>
            <b/>
            <sz val="9"/>
            <color indexed="81"/>
            <rFont val="Verdana"/>
            <family val="2"/>
          </rPr>
          <t>Kristin Danko:</t>
        </r>
        <r>
          <rPr>
            <sz val="9"/>
            <color indexed="81"/>
            <rFont val="Verdana"/>
            <family val="2"/>
          </rPr>
          <t xml:space="preserve">
"Between each visit, patients monitored their blood glucose levels at least twice daily and received at least 2 phone calls for information on their tests, therapy adjustments and motivation" pg. 2</t>
        </r>
      </text>
    </comment>
    <comment ref="G288" authorId="3" shapeId="0" xr:uid="{00000000-0006-0000-0200-000052020000}">
      <text>
        <r>
          <rPr>
            <b/>
            <sz val="9"/>
            <color indexed="81"/>
            <rFont val="Verdana"/>
            <family val="2"/>
          </rPr>
          <t>Kristin Danko:</t>
        </r>
        <r>
          <rPr>
            <sz val="9"/>
            <color indexed="81"/>
            <rFont val="Verdana"/>
            <family val="2"/>
          </rPr>
          <t xml:space="preserve">
"The dietary intervention was based on the Canadian Nutrition Recommendations:15 carbohydrates contributed 50%–55% to the total daily energy intake, total fats less than 30%,and saturated fatty acids less than 10%. Dietary compliance was assessed at baseline and at 6 and 12 months using a food record of 3 nonconsecutive days (one weekend day and 2 weekdays). The Candat software18 was used to calculate intake of energy and nutrients.
The individualized home-based physical exercise program included use of an exercise bicycle" pg. 2</t>
        </r>
      </text>
    </comment>
    <comment ref="L288" authorId="3" shapeId="0" xr:uid="{00000000-0006-0000-0200-000053020000}">
      <text>
        <r>
          <rPr>
            <b/>
            <sz val="9"/>
            <color indexed="81"/>
            <rFont val="Verdana"/>
            <family val="2"/>
          </rPr>
          <t>Kristin Danko:</t>
        </r>
        <r>
          <rPr>
            <sz val="9"/>
            <color indexed="81"/>
            <rFont val="Verdana"/>
            <family val="2"/>
          </rPr>
          <t xml:space="preserve">
"received individualized education regarding diet, physical exercise and information on managing diabetes, hypertension andhyperlipidemia." pg. 2</t>
        </r>
      </text>
    </comment>
    <comment ref="M288" authorId="3" shapeId="0" xr:uid="{00000000-0006-0000-0200-000054020000}">
      <text>
        <r>
          <rPr>
            <b/>
            <sz val="9"/>
            <color indexed="81"/>
            <rFont val="Verdana"/>
            <family val="2"/>
          </rPr>
          <t>Kristin Danko:</t>
        </r>
        <r>
          <rPr>
            <sz val="9"/>
            <color indexed="81"/>
            <rFont val="Verdana"/>
            <family val="2"/>
          </rPr>
          <t xml:space="preserve">
"Between each visit, patients monitored their blood glucose levels at least twice daily and received at least 2 phone calls for information on their tests, therapy adjustments and motivation" pg. 2</t>
        </r>
      </text>
    </comment>
    <comment ref="F290" authorId="3" shapeId="0" xr:uid="{00000000-0006-0000-0200-000055020000}">
      <text>
        <r>
          <rPr>
            <b/>
            <sz val="9"/>
            <color indexed="81"/>
            <rFont val="Calibri"/>
            <family val="2"/>
          </rPr>
          <t>Kristin Danko:</t>
        </r>
        <r>
          <rPr>
            <sz val="9"/>
            <color indexed="81"/>
            <rFont val="Calibri"/>
            <family val="2"/>
          </rPr>
          <t xml:space="preserve">
selected cases to be seen by the advisor (?) who was distinct from the clinician and nurse-unclear</t>
        </r>
      </text>
    </comment>
    <comment ref="G290" authorId="3" shapeId="0" xr:uid="{00000000-0006-0000-0200-000056020000}">
      <text>
        <r>
          <rPr>
            <b/>
            <sz val="9"/>
            <color indexed="81"/>
            <rFont val="Calibri"/>
            <family val="2"/>
          </rPr>
          <t>Kristin Danko:</t>
        </r>
        <r>
          <rPr>
            <sz val="9"/>
            <color indexed="81"/>
            <rFont val="Calibri"/>
            <family val="2"/>
          </rPr>
          <t xml:space="preserve">
appeared to be multidisciplinary teams and provide shared care</t>
        </r>
      </text>
    </comment>
    <comment ref="A293" authorId="3" shapeId="0" xr:uid="{00000000-0006-0000-0200-000057020000}">
      <text>
        <r>
          <rPr>
            <b/>
            <sz val="9"/>
            <color indexed="81"/>
            <rFont val="Calibri"/>
            <family val="2"/>
          </rPr>
          <t>Kristin Danko:</t>
        </r>
        <r>
          <rPr>
            <sz val="9"/>
            <color indexed="81"/>
            <rFont val="Calibri"/>
            <family val="2"/>
          </rPr>
          <t xml:space="preserve">
mixed pop'n but kept in b/c predominately diabetic and baseline shows high A1c</t>
        </r>
      </text>
    </comment>
    <comment ref="L308" authorId="3" shapeId="0" xr:uid="{00000000-0006-0000-0200-000058020000}">
      <text>
        <r>
          <rPr>
            <b/>
            <sz val="9"/>
            <color indexed="81"/>
            <rFont val="Calibri"/>
            <family val="2"/>
          </rPr>
          <t>Kristin Danko:</t>
        </r>
        <r>
          <rPr>
            <sz val="9"/>
            <color indexed="81"/>
            <rFont val="Calibri"/>
            <family val="2"/>
          </rPr>
          <t xml:space="preserve">
after discussion looking at preveious pub</t>
        </r>
      </text>
    </comment>
    <comment ref="B330" authorId="3" shapeId="0" xr:uid="{00000000-0006-0000-0200-000059020000}">
      <text>
        <r>
          <rPr>
            <b/>
            <sz val="9"/>
            <color indexed="81"/>
            <rFont val="Calibri"/>
            <family val="2"/>
          </rPr>
          <t>Kristin Danko:</t>
        </r>
        <r>
          <rPr>
            <sz val="9"/>
            <color indexed="81"/>
            <rFont val="Calibri"/>
            <family val="2"/>
          </rPr>
          <t xml:space="preserve">
co pub to 10275; longer f/u thus = primary</t>
        </r>
      </text>
    </comment>
    <comment ref="A335" authorId="3" shapeId="0" xr:uid="{00000000-0006-0000-0200-00005A020000}">
      <text>
        <r>
          <rPr>
            <b/>
            <sz val="9"/>
            <color indexed="81"/>
            <rFont val="Calibri"/>
            <family val="2"/>
          </rPr>
          <t>Kristin Danko:</t>
        </r>
        <r>
          <rPr>
            <sz val="9"/>
            <color indexed="81"/>
            <rFont val="Calibri"/>
            <family val="2"/>
          </rPr>
          <t xml:space="preserve">
note: used additional article cited for coding intervention</t>
        </r>
      </text>
    </comment>
    <comment ref="I341" authorId="3" shapeId="0" xr:uid="{00000000-0006-0000-0200-00005B020000}">
      <text>
        <r>
          <rPr>
            <b/>
            <sz val="9"/>
            <color indexed="81"/>
            <rFont val="Calibri"/>
            <family val="2"/>
          </rPr>
          <t>Kristin Danko:</t>
        </r>
        <r>
          <rPr>
            <sz val="9"/>
            <color indexed="81"/>
            <rFont val="Calibri"/>
            <family val="2"/>
          </rPr>
          <t xml:space="preserve">
all got guidelines</t>
        </r>
      </text>
    </comment>
    <comment ref="M341" authorId="3" shapeId="0" xr:uid="{00000000-0006-0000-0200-00005C020000}">
      <text>
        <r>
          <rPr>
            <b/>
            <sz val="9"/>
            <color indexed="81"/>
            <rFont val="Calibri"/>
            <family val="2"/>
          </rPr>
          <t>Kristin Danko:</t>
        </r>
        <r>
          <rPr>
            <sz val="9"/>
            <color indexed="81"/>
            <rFont val="Calibri"/>
            <family val="2"/>
          </rPr>
          <t xml:space="preserve">
got BG monitor</t>
        </r>
      </text>
    </comment>
    <comment ref="K342" authorId="3" shapeId="0" xr:uid="{00000000-0006-0000-0200-00005D020000}">
      <text>
        <r>
          <rPr>
            <b/>
            <sz val="9"/>
            <color indexed="81"/>
            <rFont val="Calibri"/>
            <family val="2"/>
          </rPr>
          <t>Kristin Danko:</t>
        </r>
        <r>
          <rPr>
            <sz val="9"/>
            <color indexed="81"/>
            <rFont val="Calibri"/>
            <family val="2"/>
          </rPr>
          <t xml:space="preserve">
pts forward logbooks to physicians</t>
        </r>
      </text>
    </comment>
    <comment ref="K343" authorId="3" shapeId="0" xr:uid="{00000000-0006-0000-0200-00005E020000}">
      <text>
        <r>
          <rPr>
            <b/>
            <sz val="9"/>
            <color indexed="81"/>
            <rFont val="Calibri"/>
            <family val="2"/>
          </rPr>
          <t>Kristin Danko:</t>
        </r>
        <r>
          <rPr>
            <sz val="9"/>
            <color indexed="81"/>
            <rFont val="Calibri"/>
            <family val="2"/>
          </rPr>
          <t xml:space="preserve">
access to pt logs though portal; don't have to rely on pts and combines lab data</t>
        </r>
      </text>
    </comment>
    <comment ref="B350" authorId="3" shapeId="0" xr:uid="{00000000-0006-0000-0200-00005F020000}">
      <text>
        <r>
          <rPr>
            <b/>
            <sz val="9"/>
            <color indexed="81"/>
            <rFont val="Calibri"/>
            <family val="2"/>
          </rPr>
          <t>Kristin Danko:</t>
        </r>
        <r>
          <rPr>
            <sz val="9"/>
            <color indexed="81"/>
            <rFont val="Calibri"/>
            <family val="2"/>
          </rPr>
          <t xml:space="preserve">
feels like a co-pub to NI; can't find anything but flagged to be aware of and check again</t>
        </r>
      </text>
    </comment>
    <comment ref="N384" authorId="3" shapeId="0" xr:uid="{00000000-0006-0000-0200-000060020000}">
      <text>
        <r>
          <rPr>
            <b/>
            <sz val="9"/>
            <color indexed="81"/>
            <rFont val="Calibri"/>
            <family val="2"/>
          </rPr>
          <t>Kristin Danko:</t>
        </r>
        <r>
          <rPr>
            <sz val="9"/>
            <color indexed="81"/>
            <rFont val="Calibri"/>
            <family val="2"/>
          </rPr>
          <t xml:space="preserve">
'send advice message'</t>
        </r>
      </text>
    </comment>
    <comment ref="J401" authorId="3" shapeId="0" xr:uid="{00000000-0006-0000-0200-000061020000}">
      <text>
        <r>
          <rPr>
            <b/>
            <sz val="9"/>
            <color indexed="81"/>
            <rFont val="Calibri"/>
            <family val="2"/>
          </rPr>
          <t>Kristin Danko:</t>
        </r>
        <r>
          <rPr>
            <sz val="9"/>
            <color indexed="81"/>
            <rFont val="Calibri"/>
            <family val="2"/>
          </rPr>
          <t xml:space="preserve">
documentation based clinical decision support</t>
        </r>
      </text>
    </comment>
    <comment ref="C411" authorId="5" shapeId="0" xr:uid="{00000000-0006-0000-0200-000062020000}">
      <text>
        <r>
          <rPr>
            <b/>
            <sz val="9"/>
            <color indexed="81"/>
            <rFont val="Tahoma"/>
            <family val="2"/>
          </rPr>
          <t>Quach, Pauline:</t>
        </r>
        <r>
          <rPr>
            <sz val="9"/>
            <color indexed="81"/>
            <rFont val="Tahoma"/>
            <family val="2"/>
          </rPr>
          <t xml:space="preserve">
Diabetes self managmement</t>
        </r>
      </text>
    </comment>
    <comment ref="C412" authorId="5" shapeId="0" xr:uid="{00000000-0006-0000-0200-000063020000}">
      <text>
        <r>
          <rPr>
            <b/>
            <sz val="9"/>
            <color indexed="81"/>
            <rFont val="Tahoma"/>
            <family val="2"/>
          </rPr>
          <t>Quach, Pauline:</t>
        </r>
        <r>
          <rPr>
            <sz val="9"/>
            <color indexed="81"/>
            <rFont val="Tahoma"/>
            <family val="2"/>
          </rPr>
          <t xml:space="preserve">
Diabetes self management +CPU</t>
        </r>
      </text>
    </comment>
    <comment ref="C413" authorId="5" shapeId="0" xr:uid="{00000000-0006-0000-0200-000064020000}">
      <text>
        <r>
          <rPr>
            <b/>
            <sz val="9"/>
            <color indexed="81"/>
            <rFont val="Tahoma"/>
            <family val="2"/>
          </rPr>
          <t>Quach, Pauline:</t>
        </r>
        <r>
          <rPr>
            <sz val="9"/>
            <color indexed="81"/>
            <rFont val="Tahoma"/>
            <family val="2"/>
          </rPr>
          <t xml:space="preserve">
Motivational interviewing and diabetes self management</t>
        </r>
      </text>
    </comment>
    <comment ref="C414" authorId="5" shapeId="0" xr:uid="{00000000-0006-0000-0200-000065020000}">
      <text>
        <r>
          <rPr>
            <b/>
            <sz val="9"/>
            <color indexed="81"/>
            <rFont val="Tahoma"/>
            <family val="2"/>
          </rPr>
          <t>Quach, Pauline:</t>
        </r>
        <r>
          <rPr>
            <sz val="9"/>
            <color indexed="81"/>
            <rFont val="Tahoma"/>
            <family val="2"/>
          </rPr>
          <t xml:space="preserve">
Motivational interviewing, diabetes self management, CPU</t>
        </r>
      </text>
    </comment>
    <comment ref="A513" authorId="3" shapeId="0" xr:uid="{00000000-0006-0000-0200-000066020000}">
      <text>
        <r>
          <rPr>
            <b/>
            <sz val="9"/>
            <color indexed="81"/>
            <rFont val="Calibri"/>
            <family val="2"/>
          </rPr>
          <t>Kristin Danko:</t>
        </r>
        <r>
          <rPr>
            <sz val="9"/>
            <color indexed="81"/>
            <rFont val="Calibri"/>
            <family val="2"/>
          </rPr>
          <t xml:space="preserve">
got intervention details from supp of co-pub, PMID 23147277</t>
        </r>
      </text>
    </comment>
    <comment ref="L533" authorId="3" shapeId="0" xr:uid="{00000000-0006-0000-0200-000067020000}">
      <text>
        <r>
          <rPr>
            <b/>
            <sz val="9"/>
            <color indexed="81"/>
            <rFont val="Calibri"/>
            <family val="2"/>
          </rPr>
          <t>Kristin Danko:</t>
        </r>
        <r>
          <rPr>
            <sz val="9"/>
            <color indexed="81"/>
            <rFont val="Calibri"/>
            <family val="2"/>
          </rPr>
          <t xml:space="preserve">
both received info from national diabetes education program</t>
        </r>
      </text>
    </comment>
    <comment ref="F542" authorId="3" shapeId="0" xr:uid="{00000000-0006-0000-0200-000068020000}">
      <text>
        <r>
          <rPr>
            <b/>
            <sz val="9"/>
            <color indexed="81"/>
            <rFont val="Calibri"/>
            <family val="2"/>
          </rPr>
          <t>Kristin Danko:</t>
        </r>
        <r>
          <rPr>
            <sz val="9"/>
            <color indexed="81"/>
            <rFont val="Calibri"/>
            <family val="2"/>
          </rPr>
          <t xml:space="preserve">
face-to-face sessions and telephone support over 24 week period</t>
        </r>
      </text>
    </comment>
    <comment ref="L542" authorId="3" shapeId="0" xr:uid="{00000000-0006-0000-0200-000069020000}">
      <text>
        <r>
          <rPr>
            <b/>
            <sz val="9"/>
            <color indexed="81"/>
            <rFont val="Calibri"/>
            <family val="2"/>
          </rPr>
          <t>Kristin Danko:</t>
        </r>
        <r>
          <rPr>
            <sz val="9"/>
            <color indexed="81"/>
            <rFont val="Calibri"/>
            <family val="2"/>
          </rPr>
          <t xml:space="preserve">
first face to face content included 'incrasing knowledge of the benefits of PA'. Our def'n of PE includes interventions 'designed to..teach specific prevention or treatment strategies'</t>
        </r>
      </text>
    </comment>
    <comment ref="M542" authorId="3" shapeId="0" xr:uid="{00000000-0006-0000-0200-00006A020000}">
      <text>
        <r>
          <rPr>
            <b/>
            <sz val="9"/>
            <color indexed="81"/>
            <rFont val="Calibri"/>
            <family val="2"/>
          </rPr>
          <t>Kristin Danko:</t>
        </r>
        <r>
          <rPr>
            <sz val="9"/>
            <color indexed="81"/>
            <rFont val="Calibri"/>
            <family val="2"/>
          </rPr>
          <t xml:space="preserve">
received pedometer</t>
        </r>
      </text>
    </comment>
    <comment ref="I583" authorId="3" shapeId="0" xr:uid="{00000000-0006-0000-0200-00006B020000}">
      <text>
        <r>
          <rPr>
            <b/>
            <sz val="9"/>
            <color indexed="81"/>
            <rFont val="Verdana"/>
            <family val="2"/>
          </rPr>
          <t>Kristin Danko:</t>
        </r>
        <r>
          <rPr>
            <sz val="9"/>
            <color indexed="81"/>
            <rFont val="Verdana"/>
            <family val="2"/>
          </rPr>
          <t xml:space="preserve">
"All general practitioners and practice nurses had received copies of the district policy for managing hypertension and hypercholesterolemia (the same used
by the nurse specialists). Furthermore, they were invited to 4 monthly education sessions where these guidelines were discussed." pg. 3</t>
        </r>
      </text>
    </comment>
    <comment ref="F584" authorId="3" shapeId="0" xr:uid="{00000000-0006-0000-0200-00006C020000}">
      <text>
        <r>
          <rPr>
            <b/>
            <sz val="9"/>
            <color indexed="81"/>
            <rFont val="Verdana"/>
            <family val="2"/>
          </rPr>
          <t>Kristin Danko:</t>
        </r>
        <r>
          <rPr>
            <sz val="9"/>
            <color indexed="81"/>
            <rFont val="Verdana"/>
            <family val="2"/>
          </rPr>
          <t xml:space="preserve">
"Thereafter, the specialist nurses saw
patients in the diabetes center every 4–6 weeks for 30- to 45-min appointments until targets were achieved" pg. 2</t>
        </r>
      </text>
    </comment>
    <comment ref="G584" authorId="3" shapeId="0" xr:uid="{00000000-0006-0000-0200-00006D020000}">
      <text>
        <r>
          <rPr>
            <b/>
            <sz val="9"/>
            <color indexed="81"/>
            <rFont val="Verdana"/>
            <family val="2"/>
          </rPr>
          <t>Kristin Danko:</t>
        </r>
        <r>
          <rPr>
            <sz val="9"/>
            <color indexed="81"/>
            <rFont val="Verdana"/>
            <family val="2"/>
          </rPr>
          <t xml:space="preserve">
"medications
were titrated according to response to
treatment according to the local protocol" pg. 3</t>
        </r>
      </text>
    </comment>
    <comment ref="I584" authorId="3" shapeId="0" xr:uid="{00000000-0006-0000-0200-00006E020000}">
      <text>
        <r>
          <rPr>
            <b/>
            <sz val="9"/>
            <color indexed="81"/>
            <rFont val="Verdana"/>
            <family val="2"/>
          </rPr>
          <t>Kristin Danko:</t>
        </r>
        <r>
          <rPr>
            <sz val="9"/>
            <color indexed="81"/>
            <rFont val="Verdana"/>
            <family val="2"/>
          </rPr>
          <t xml:space="preserve">
"All general practitioners and practice nurses had received copies of the district policy for managing hypertension and hypercholesterolemia (the same used
by the nurse specialists). Furthermore, they were invited to 4 monthly education sessions where these guidelines were discussed." pg. 3</t>
        </r>
      </text>
    </comment>
    <comment ref="L584" authorId="3" shapeId="0" xr:uid="{00000000-0006-0000-0200-00006F020000}">
      <text>
        <r>
          <rPr>
            <b/>
            <sz val="9"/>
            <color indexed="81"/>
            <rFont val="Verdana"/>
            <family val="2"/>
          </rPr>
          <t>Kristin Danko:</t>
        </r>
        <r>
          <rPr>
            <sz val="9"/>
            <color indexed="81"/>
            <rFont val="Verdana"/>
            <family val="2"/>
          </rPr>
          <t xml:space="preserve">
"individualized education program was implemented
consisting of information about the risks of hypertension or dyslipidemia" pg. 2</t>
        </r>
      </text>
    </comment>
    <comment ref="M584" authorId="3" shapeId="0" xr:uid="{00000000-0006-0000-0200-000070020000}">
      <text>
        <r>
          <rPr>
            <b/>
            <sz val="9"/>
            <color indexed="81"/>
            <rFont val="Verdana"/>
            <family val="2"/>
          </rPr>
          <t>Kristin Danko:</t>
        </r>
        <r>
          <rPr>
            <sz val="9"/>
            <color indexed="81"/>
            <rFont val="Verdana"/>
            <family val="2"/>
          </rPr>
          <t xml:space="preserve">
"The patient’s willingness
to change these lifestyle factors was discussed, and an individualized action plan was drawn up." pg.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Kristin Danko</author>
    <author>Quach, Pauline</author>
    <author>Samir</author>
    <author>kdanko</author>
    <author>Natasha Krahn</author>
    <author>pauline.quach</author>
    <author>Andrea Tricco</author>
    <author>Noah Ivers</author>
  </authors>
  <commentList>
    <comment ref="A1" authorId="0" shapeId="0" xr:uid="{00000000-0006-0000-0000-000001000000}">
      <text>
        <r>
          <rPr>
            <b/>
            <sz val="9"/>
            <color indexed="0"/>
            <rFont val="Helvetica Neue"/>
            <family val="2"/>
          </rPr>
          <t>Andrea Tricco:</t>
        </r>
        <r>
          <rPr>
            <sz val="9"/>
            <color indexed="0"/>
            <rFont val="Helvetica Neue"/>
            <family val="2"/>
          </rPr>
          <t xml:space="preserve">
If it is a companion report, please indicate (e.g., co to RefID) and only abstract data from the MAJOR publication, unless other outcomes are reported in companion reports
</t>
        </r>
      </text>
    </comment>
    <comment ref="M1" authorId="1" shapeId="0" xr:uid="{00000000-0006-0000-0000-000002000000}">
      <text>
        <r>
          <rPr>
            <b/>
            <sz val="9"/>
            <color indexed="81"/>
            <rFont val="Calibri"/>
            <family val="2"/>
          </rPr>
          <t>Kristin Danko:</t>
        </r>
        <r>
          <rPr>
            <sz val="9"/>
            <color indexed="81"/>
            <rFont val="Calibri"/>
            <family val="2"/>
          </rPr>
          <t xml:space="preserve">
Confirm N's are not adjusted for baseline value</t>
        </r>
      </text>
    </comment>
    <comment ref="BJ1" authorId="2" shapeId="0" xr:uid="{00000000-0006-0000-0000-000003000000}">
      <text>
        <r>
          <rPr>
            <b/>
            <sz val="9"/>
            <color indexed="81"/>
            <rFont val="Tahoma"/>
            <family val="2"/>
          </rPr>
          <t>Quach, Pauline:</t>
        </r>
        <r>
          <rPr>
            <sz val="9"/>
            <color indexed="81"/>
            <rFont val="Tahoma"/>
            <family val="2"/>
          </rPr>
          <t xml:space="preserve">
(-) reduction, (+) increase</t>
        </r>
      </text>
    </comment>
    <comment ref="BW1" authorId="2" shapeId="0" xr:uid="{00000000-0006-0000-0000-000004000000}">
      <text>
        <r>
          <rPr>
            <b/>
            <sz val="9"/>
            <color indexed="81"/>
            <rFont val="Tahoma"/>
            <family val="2"/>
          </rPr>
          <t>Quach, Pauline:</t>
        </r>
        <r>
          <rPr>
            <sz val="9"/>
            <color indexed="81"/>
            <rFont val="Tahoma"/>
            <family val="2"/>
          </rPr>
          <t xml:space="preserve">
(-) reduction, (+) increase</t>
        </r>
      </text>
    </comment>
    <comment ref="DC1" authorId="0" shapeId="0" xr:uid="{00000000-0006-0000-0000-000005000000}">
      <text>
        <r>
          <rPr>
            <b/>
            <sz val="9"/>
            <color indexed="0"/>
            <rFont val="Helvetica Neue"/>
            <family val="2"/>
          </rPr>
          <t>Andrea Tricco:</t>
        </r>
        <r>
          <rPr>
            <sz val="9"/>
            <color indexed="0"/>
            <rFont val="Helvetica Neue"/>
            <family val="2"/>
          </rPr>
          <t xml:space="preserve">
In months - use the longest follow-up for data abstraction
</t>
        </r>
      </text>
    </comment>
    <comment ref="DE1" authorId="1" shapeId="0" xr:uid="{00000000-0006-0000-0000-000006000000}">
      <text>
        <r>
          <rPr>
            <b/>
            <sz val="9"/>
            <color indexed="81"/>
            <rFont val="Verdana"/>
            <family val="2"/>
          </rPr>
          <t>Kristin Danko:</t>
        </r>
        <r>
          <rPr>
            <sz val="9"/>
            <color indexed="81"/>
            <rFont val="Verdana"/>
            <family val="2"/>
          </rPr>
          <t xml:space="preserve">
why need to extract; can't just subtract? 
Difference follow-up, or difference of differences? </t>
        </r>
      </text>
    </comment>
    <comment ref="U2" authorId="2" shapeId="0" xr:uid="{00000000-0006-0000-0000-000007000000}">
      <text>
        <r>
          <rPr>
            <b/>
            <sz val="9"/>
            <color indexed="81"/>
            <rFont val="Tahoma"/>
            <family val="2"/>
          </rPr>
          <t>Quach, Pauline:</t>
        </r>
        <r>
          <rPr>
            <sz val="9"/>
            <color indexed="81"/>
            <rFont val="Tahoma"/>
            <family val="2"/>
          </rPr>
          <t xml:space="preserve">
Based on those analyzed</t>
        </r>
      </text>
    </comment>
    <comment ref="V2" authorId="2" shapeId="0" xr:uid="{00000000-0006-0000-0000-000008000000}">
      <text>
        <r>
          <rPr>
            <b/>
            <sz val="9"/>
            <color indexed="81"/>
            <rFont val="Tahoma"/>
            <family val="2"/>
          </rPr>
          <t>Quach, Pauline:</t>
        </r>
        <r>
          <rPr>
            <sz val="9"/>
            <color indexed="81"/>
            <rFont val="Tahoma"/>
            <family val="2"/>
          </rPr>
          <t xml:space="preserve">
Based on those analyzed</t>
        </r>
      </text>
    </comment>
    <comment ref="U4" authorId="2" shapeId="0" xr:uid="{00000000-0006-0000-0000-000009000000}">
      <text>
        <r>
          <rPr>
            <b/>
            <sz val="9"/>
            <color indexed="81"/>
            <rFont val="Tahoma"/>
            <family val="2"/>
          </rPr>
          <t>Quach, Pauline:</t>
        </r>
        <r>
          <rPr>
            <sz val="9"/>
            <color indexed="81"/>
            <rFont val="Tahoma"/>
            <family val="2"/>
          </rPr>
          <t xml:space="preserve">
Based on those analyzed</t>
        </r>
      </text>
    </comment>
    <comment ref="V4" authorId="2" shapeId="0" xr:uid="{00000000-0006-0000-0000-00000A000000}">
      <text>
        <r>
          <rPr>
            <b/>
            <sz val="9"/>
            <color indexed="81"/>
            <rFont val="Tahoma"/>
            <family val="2"/>
          </rPr>
          <t>Quach, Pauline:</t>
        </r>
        <r>
          <rPr>
            <sz val="9"/>
            <color indexed="81"/>
            <rFont val="Tahoma"/>
            <family val="2"/>
          </rPr>
          <t xml:space="preserve">
Based on those analyzed</t>
        </r>
      </text>
    </comment>
    <comment ref="U6" authorId="0" shapeId="0" xr:uid="{00000000-0006-0000-0000-00000B000000}">
      <text>
        <r>
          <rPr>
            <b/>
            <sz val="9"/>
            <color indexed="0"/>
            <rFont val="Helvetica Neue"/>
            <family val="2"/>
          </rPr>
          <t>Andrea Tricco:</t>
        </r>
        <r>
          <rPr>
            <sz val="9"/>
            <color indexed="0"/>
            <rFont val="Helvetica Neue"/>
            <family val="2"/>
          </rPr>
          <t xml:space="preserve">
Imputed
</t>
        </r>
      </text>
    </comment>
    <comment ref="V6" authorId="0" shapeId="0" xr:uid="{00000000-0006-0000-0000-00000C000000}">
      <text>
        <r>
          <rPr>
            <b/>
            <sz val="9"/>
            <color indexed="0"/>
            <rFont val="Helvetica Neue"/>
            <family val="2"/>
          </rPr>
          <t>Andrea Tricco:</t>
        </r>
        <r>
          <rPr>
            <sz val="9"/>
            <color indexed="0"/>
            <rFont val="Helvetica Neue"/>
            <family val="2"/>
          </rPr>
          <t xml:space="preserve">
Imputed
</t>
        </r>
      </text>
    </comment>
    <comment ref="AY6" authorId="0" shapeId="0" xr:uid="{00000000-0006-0000-0000-00000D000000}">
      <text>
        <r>
          <rPr>
            <b/>
            <sz val="9"/>
            <color indexed="0"/>
            <rFont val="Helvetica Neue"/>
            <family val="2"/>
          </rPr>
          <t>Andrea Tricco:</t>
        </r>
        <r>
          <rPr>
            <sz val="9"/>
            <color indexed="0"/>
            <rFont val="Helvetica Neue"/>
            <family val="2"/>
          </rPr>
          <t xml:space="preserve">
Imputed
</t>
        </r>
      </text>
    </comment>
    <comment ref="AZ6" authorId="0" shapeId="0" xr:uid="{00000000-0006-0000-0000-00000E000000}">
      <text>
        <r>
          <rPr>
            <b/>
            <sz val="9"/>
            <color indexed="0"/>
            <rFont val="Helvetica Neue"/>
            <family val="2"/>
          </rPr>
          <t>Andrea Tricco:</t>
        </r>
        <r>
          <rPr>
            <sz val="9"/>
            <color indexed="0"/>
            <rFont val="Helvetica Neue"/>
            <family val="2"/>
          </rPr>
          <t xml:space="preserve">
Imputed
</t>
        </r>
      </text>
    </comment>
    <comment ref="Z7" authorId="1" shapeId="0" xr:uid="{00000000-0006-0000-0000-00000F000000}">
      <text>
        <r>
          <rPr>
            <b/>
            <sz val="9"/>
            <color indexed="81"/>
            <rFont val="Calibri"/>
            <family val="2"/>
          </rPr>
          <t>Kristin Danko:</t>
        </r>
        <r>
          <rPr>
            <sz val="9"/>
            <color indexed="81"/>
            <rFont val="Calibri"/>
            <family val="2"/>
          </rPr>
          <t xml:space="preserve">
report 'SS' but don't define. Conversion from SS doesn't make sense, believe this is SD</t>
        </r>
      </text>
    </comment>
    <comment ref="AE7" authorId="1" shapeId="0" xr:uid="{00000000-0006-0000-0000-000010000000}">
      <text>
        <r>
          <rPr>
            <b/>
            <sz val="9"/>
            <color indexed="81"/>
            <rFont val="Calibri"/>
            <family val="2"/>
          </rPr>
          <t>Kristin Danko:</t>
        </r>
        <r>
          <rPr>
            <sz val="9"/>
            <color indexed="81"/>
            <rFont val="Calibri"/>
            <family val="2"/>
          </rPr>
          <t xml:space="preserve">
report 'SS' but don't define. Conversion from SS doesn't make sense, believe this is SD</t>
        </r>
      </text>
    </comment>
    <comment ref="BD7" authorId="1" shapeId="0" xr:uid="{00000000-0006-0000-0000-000011000000}">
      <text>
        <r>
          <rPr>
            <b/>
            <sz val="9"/>
            <color indexed="81"/>
            <rFont val="Calibri"/>
            <family val="2"/>
          </rPr>
          <t>Kristin Danko:</t>
        </r>
        <r>
          <rPr>
            <sz val="9"/>
            <color indexed="81"/>
            <rFont val="Calibri"/>
            <family val="2"/>
          </rPr>
          <t xml:space="preserve">
report 'SS' but don't define. Conversion from SS doesn't make sense, believe this is SD</t>
        </r>
      </text>
    </comment>
    <comment ref="BQ7" authorId="1" shapeId="0" xr:uid="{00000000-0006-0000-0000-000012000000}">
      <text>
        <r>
          <rPr>
            <b/>
            <sz val="9"/>
            <color indexed="81"/>
            <rFont val="Calibri"/>
            <family val="2"/>
          </rPr>
          <t>Kristin Danko:</t>
        </r>
        <r>
          <rPr>
            <sz val="9"/>
            <color indexed="81"/>
            <rFont val="Calibri"/>
            <family val="2"/>
          </rPr>
          <t xml:space="preserve">
report 'SS' but don't define. Conversion from SS doesn't make sense, believe this is SD</t>
        </r>
      </text>
    </comment>
    <comment ref="BC15" authorId="2" shapeId="0" xr:uid="{00000000-0006-0000-0000-000013000000}">
      <text>
        <r>
          <rPr>
            <b/>
            <sz val="9"/>
            <color indexed="81"/>
            <rFont val="Tahoma"/>
            <family val="2"/>
          </rPr>
          <t>Quach, Pauline:</t>
        </r>
        <r>
          <rPr>
            <sz val="9"/>
            <color indexed="81"/>
            <rFont val="Tahoma"/>
            <family val="2"/>
          </rPr>
          <t xml:space="preserve">
calculated</t>
        </r>
      </text>
    </comment>
    <comment ref="BD15" authorId="1" shapeId="0" xr:uid="{00000000-0006-0000-0000-000014000000}">
      <text>
        <r>
          <rPr>
            <b/>
            <sz val="9"/>
            <color indexed="81"/>
            <rFont val="Calibri"/>
            <family val="2"/>
          </rPr>
          <t>Kristin Danko:</t>
        </r>
        <r>
          <rPr>
            <sz val="9"/>
            <color indexed="81"/>
            <rFont val="Calibri"/>
            <family val="2"/>
          </rPr>
          <t xml:space="preserve">
from Plotdigitizer and Figure 3a - consistent with baseline</t>
        </r>
      </text>
    </comment>
    <comment ref="BP15" authorId="2" shapeId="0" xr:uid="{00000000-0006-0000-0000-000015000000}">
      <text>
        <r>
          <rPr>
            <b/>
            <sz val="9"/>
            <color indexed="81"/>
            <rFont val="Tahoma"/>
            <family val="2"/>
          </rPr>
          <t>Quach, Pauline:</t>
        </r>
        <r>
          <rPr>
            <sz val="9"/>
            <color indexed="81"/>
            <rFont val="Tahoma"/>
            <family val="2"/>
          </rPr>
          <t xml:space="preserve">
calculated</t>
        </r>
      </text>
    </comment>
    <comment ref="BQ15" authorId="1" shapeId="0" xr:uid="{00000000-0006-0000-0000-000016000000}">
      <text>
        <r>
          <rPr>
            <b/>
            <sz val="9"/>
            <color indexed="81"/>
            <rFont val="Calibri"/>
            <family val="2"/>
          </rPr>
          <t>Kristin Danko:</t>
        </r>
        <r>
          <rPr>
            <sz val="9"/>
            <color indexed="81"/>
            <rFont val="Calibri"/>
            <family val="2"/>
          </rPr>
          <t xml:space="preserve">
from Plotdigitizer and Figure 3a - consistent with baseline</t>
        </r>
      </text>
    </comment>
    <comment ref="A18" authorId="2" shapeId="0" xr:uid="{00000000-0006-0000-0000-000017000000}">
      <text>
        <r>
          <rPr>
            <b/>
            <sz val="9"/>
            <color indexed="81"/>
            <rFont val="Tahoma"/>
            <family val="2"/>
          </rPr>
          <t>Quach, Pauline:</t>
        </r>
        <r>
          <rPr>
            <sz val="9"/>
            <color indexed="81"/>
            <rFont val="Tahoma"/>
            <family val="2"/>
          </rPr>
          <t xml:space="preserve">
sub-group &gt;6.5%</t>
        </r>
      </text>
    </comment>
    <comment ref="Y23" authorId="2" shapeId="0" xr:uid="{00000000-0006-0000-0000-000018000000}">
      <text>
        <r>
          <rPr>
            <b/>
            <sz val="9"/>
            <color indexed="81"/>
            <rFont val="Tahoma"/>
            <family val="2"/>
          </rPr>
          <t>Quach, Pauline:</t>
        </r>
        <r>
          <rPr>
            <sz val="9"/>
            <color indexed="81"/>
            <rFont val="Tahoma"/>
            <family val="2"/>
          </rPr>
          <t xml:space="preserve">
They also report this value as a median in table 1. (might be a mistake that they labelled this as a mean)</t>
        </r>
      </text>
    </comment>
    <comment ref="AD23" authorId="2" shapeId="0" xr:uid="{00000000-0006-0000-0000-000019000000}">
      <text>
        <r>
          <rPr>
            <b/>
            <sz val="9"/>
            <color indexed="81"/>
            <rFont val="Tahoma"/>
            <family val="2"/>
          </rPr>
          <t>Quach, Pauline:</t>
        </r>
        <r>
          <rPr>
            <sz val="9"/>
            <color indexed="81"/>
            <rFont val="Tahoma"/>
            <family val="2"/>
          </rPr>
          <t xml:space="preserve">
They also report his value as a median in table 1. (might be a mistake that they labelled this as a mean)</t>
        </r>
      </text>
    </comment>
    <comment ref="BC28" authorId="2" shapeId="0" xr:uid="{00000000-0006-0000-0000-00001A000000}">
      <text>
        <r>
          <rPr>
            <b/>
            <sz val="9"/>
            <color indexed="81"/>
            <rFont val="Tahoma"/>
            <family val="2"/>
          </rPr>
          <t>Quach, Pauline:</t>
        </r>
        <r>
          <rPr>
            <sz val="9"/>
            <color indexed="81"/>
            <rFont val="Tahoma"/>
            <family val="2"/>
          </rPr>
          <t xml:space="preserve">
ADJUSTED for corresponding baseline scoes or GWB at baseline using ANCOVA
95% CI (7.6-7.9)</t>
        </r>
      </text>
    </comment>
    <comment ref="BD28" authorId="1" shapeId="0" xr:uid="{00000000-0006-0000-0000-00001B000000}">
      <text>
        <r>
          <rPr>
            <b/>
            <sz val="9"/>
            <color indexed="81"/>
            <rFont val="Calibri"/>
            <family val="2"/>
          </rPr>
          <t>Kristin Danko:</t>
        </r>
        <r>
          <rPr>
            <sz val="9"/>
            <color indexed="81"/>
            <rFont val="Calibri"/>
            <family val="2"/>
          </rPr>
          <t xml:space="preserve">
used 95% CI Cochrane method for ss&gt;100 (sqrt(n)*CI diff/3.92) </t>
        </r>
      </text>
    </comment>
    <comment ref="BP28" authorId="2" shapeId="0" xr:uid="{00000000-0006-0000-0000-00001C000000}">
      <text>
        <r>
          <rPr>
            <b/>
            <sz val="9"/>
            <color indexed="81"/>
            <rFont val="Tahoma"/>
            <family val="2"/>
          </rPr>
          <t>Quach, Pauline:</t>
        </r>
        <r>
          <rPr>
            <sz val="9"/>
            <color indexed="81"/>
            <rFont val="Tahoma"/>
            <family val="2"/>
          </rPr>
          <t xml:space="preserve">
adjusted for corresponding baseline scoes or GWB at baseline using ANCOVA
95% CI (7.6-7.9)</t>
        </r>
      </text>
    </comment>
    <comment ref="BQ28" authorId="1" shapeId="0" xr:uid="{00000000-0006-0000-0000-00001D000000}">
      <text>
        <r>
          <rPr>
            <b/>
            <sz val="9"/>
            <color indexed="81"/>
            <rFont val="Calibri"/>
            <family val="2"/>
          </rPr>
          <t>Kristin Danko:</t>
        </r>
        <r>
          <rPr>
            <sz val="9"/>
            <color indexed="81"/>
            <rFont val="Calibri"/>
            <family val="2"/>
          </rPr>
          <t xml:space="preserve">
used 95% CI Cochrane method for ss&gt;100 (sqrt(n)*CI diff/3.92) </t>
        </r>
      </text>
    </comment>
    <comment ref="BJ29" authorId="2" shapeId="0" xr:uid="{00000000-0006-0000-0000-00001E000000}">
      <text>
        <r>
          <rPr>
            <b/>
            <sz val="9"/>
            <color indexed="81"/>
            <rFont val="Tahoma"/>
            <family val="2"/>
          </rPr>
          <t>Quach, Pauline:</t>
        </r>
        <r>
          <rPr>
            <sz val="9"/>
            <color indexed="81"/>
            <rFont val="Tahoma"/>
            <family val="2"/>
          </rPr>
          <t xml:space="preserve">
NOTE: this does not addup between baseline and follow up values, since for baseline, they also provide values for those who were analyzed, not randomized, and this WITHIN difference is based on baseline from those analyzed.</t>
        </r>
      </text>
    </comment>
    <comment ref="BW29" authorId="2" shapeId="0" xr:uid="{00000000-0006-0000-0000-00001F000000}">
      <text>
        <r>
          <rPr>
            <b/>
            <sz val="9"/>
            <color indexed="81"/>
            <rFont val="Tahoma"/>
            <family val="2"/>
          </rPr>
          <t>Quach, Pauline:</t>
        </r>
        <r>
          <rPr>
            <sz val="9"/>
            <color indexed="81"/>
            <rFont val="Tahoma"/>
            <family val="2"/>
          </rPr>
          <t xml:space="preserve">
NOTE: this does not addup between baseline and follow up values, since for baseline, they also provide values for those who were analyzed, not randomized, and this WITHIN difference is based on baseline from those analyzed.</t>
        </r>
      </text>
    </comment>
    <comment ref="CJ29" authorId="2" shapeId="0" xr:uid="{00000000-0006-0000-0000-000020000000}">
      <text>
        <r>
          <rPr>
            <b/>
            <sz val="9"/>
            <color indexed="81"/>
            <rFont val="Tahoma"/>
            <family val="2"/>
          </rPr>
          <t>Quach, Pauline:</t>
        </r>
        <r>
          <rPr>
            <sz val="9"/>
            <color indexed="81"/>
            <rFont val="Tahoma"/>
            <family val="2"/>
          </rPr>
          <t xml:space="preserve">
NOTE: this does not addup between baseline and follow up values, since for baseline, they also provide values for those who were analyzed, not randomized, and this WITHIN difference is based on baseline from those analyzed.</t>
        </r>
      </text>
    </comment>
    <comment ref="BD32" authorId="1" shapeId="0" xr:uid="{00000000-0006-0000-0000-000021000000}">
      <text>
        <r>
          <rPr>
            <b/>
            <sz val="9"/>
            <color indexed="81"/>
            <rFont val="Calibri"/>
            <family val="2"/>
          </rPr>
          <t>Kristin Danko:</t>
        </r>
        <r>
          <rPr>
            <sz val="9"/>
            <color indexed="81"/>
            <rFont val="Calibri"/>
            <family val="2"/>
          </rPr>
          <t xml:space="preserve">
extracted from Figure 2 using plot digitizer, confirmed with baseline values reported</t>
        </r>
      </text>
    </comment>
    <comment ref="BQ32" authorId="1" shapeId="0" xr:uid="{00000000-0006-0000-0000-000022000000}">
      <text>
        <r>
          <rPr>
            <b/>
            <sz val="9"/>
            <color indexed="81"/>
            <rFont val="Calibri"/>
            <family val="2"/>
          </rPr>
          <t>Kristin Danko:</t>
        </r>
        <r>
          <rPr>
            <sz val="9"/>
            <color indexed="81"/>
            <rFont val="Calibri"/>
            <family val="2"/>
          </rPr>
          <t xml:space="preserve">
extracted from Figure 2 using plot digitizer, confirmed with baseline values reported</t>
        </r>
      </text>
    </comment>
    <comment ref="Y33" authorId="2" shapeId="0" xr:uid="{00000000-0006-0000-0000-000023000000}">
      <text>
        <r>
          <rPr>
            <b/>
            <sz val="9"/>
            <color indexed="81"/>
            <rFont val="Tahoma"/>
            <family val="2"/>
          </rPr>
          <t>Quach, Pauline:</t>
        </r>
        <r>
          <rPr>
            <sz val="9"/>
            <color indexed="81"/>
            <rFont val="Tahoma"/>
            <family val="2"/>
          </rPr>
          <t xml:space="preserve">
95%CI (8.2-8.6)
NB: report geometric mean and CI</t>
        </r>
      </text>
    </comment>
    <comment ref="Z33" authorId="1" shapeId="0" xr:uid="{00000000-0006-0000-0000-000024000000}">
      <text>
        <r>
          <rPr>
            <b/>
            <sz val="9"/>
            <color indexed="81"/>
            <rFont val="Calibri"/>
            <family val="2"/>
          </rPr>
          <t>Kristin Danko:</t>
        </r>
        <r>
          <rPr>
            <sz val="9"/>
            <color indexed="81"/>
            <rFont val="Calibri"/>
            <family val="2"/>
          </rPr>
          <t xml:space="preserve">
used 95% CI. N&gt;100 thus used Cochrane sqrt(n)*(UL-LL)/3.92</t>
        </r>
      </text>
    </comment>
    <comment ref="AD33" authorId="2" shapeId="0" xr:uid="{00000000-0006-0000-0000-000025000000}">
      <text>
        <r>
          <rPr>
            <b/>
            <sz val="9"/>
            <color indexed="81"/>
            <rFont val="Tahoma"/>
            <family val="2"/>
          </rPr>
          <t>Quach, Pauline:</t>
        </r>
        <r>
          <rPr>
            <sz val="9"/>
            <color indexed="81"/>
            <rFont val="Tahoma"/>
            <family val="2"/>
          </rPr>
          <t xml:space="preserve">
95%CI (8.3-8.7)
NB: report geometric mean and CI</t>
        </r>
      </text>
    </comment>
    <comment ref="AE33" authorId="1" shapeId="0" xr:uid="{00000000-0006-0000-0000-000026000000}">
      <text>
        <r>
          <rPr>
            <b/>
            <sz val="9"/>
            <color indexed="81"/>
            <rFont val="Calibri"/>
            <family val="2"/>
          </rPr>
          <t>Kristin Danko:</t>
        </r>
        <r>
          <rPr>
            <sz val="9"/>
            <color indexed="81"/>
            <rFont val="Calibri"/>
            <family val="2"/>
          </rPr>
          <t xml:space="preserve">
used 95% CI. N&gt;100 thus used Cochrane sqrt(n)*(UL-LL)/3.92</t>
        </r>
      </text>
    </comment>
    <comment ref="BC33" authorId="1" shapeId="0" xr:uid="{00000000-0006-0000-0000-000027000000}">
      <text>
        <r>
          <rPr>
            <b/>
            <sz val="9"/>
            <color indexed="81"/>
            <rFont val="Calibri"/>
            <family val="2"/>
          </rPr>
          <t>Kristin Danko:</t>
        </r>
        <r>
          <rPr>
            <sz val="9"/>
            <color indexed="81"/>
            <rFont val="Calibri"/>
            <family val="2"/>
          </rPr>
          <t xml:space="preserve">
95% CI 8.1-8.5%</t>
        </r>
      </text>
    </comment>
    <comment ref="BD33" authorId="1" shapeId="0" xr:uid="{00000000-0006-0000-0000-000028000000}">
      <text>
        <r>
          <rPr>
            <b/>
            <sz val="9"/>
            <color indexed="81"/>
            <rFont val="Calibri"/>
            <family val="2"/>
          </rPr>
          <t>Kristin Danko:</t>
        </r>
        <r>
          <rPr>
            <sz val="9"/>
            <color indexed="81"/>
            <rFont val="Calibri"/>
            <family val="2"/>
          </rPr>
          <t xml:space="preserve">
used 95% CI. N&gt;100 thus used Cochrane sqrt(n)*(UL-LL)/3.92</t>
        </r>
      </text>
    </comment>
    <comment ref="BP33" authorId="1" shapeId="0" xr:uid="{00000000-0006-0000-0000-000029000000}">
      <text>
        <r>
          <rPr>
            <b/>
            <sz val="9"/>
            <color indexed="81"/>
            <rFont val="Calibri"/>
            <family val="2"/>
          </rPr>
          <t>Kristin Danko:</t>
        </r>
        <r>
          <rPr>
            <sz val="9"/>
            <color indexed="81"/>
            <rFont val="Calibri"/>
            <family val="2"/>
          </rPr>
          <t xml:space="preserve">
95% CI 6.7-7.1</t>
        </r>
      </text>
    </comment>
    <comment ref="BQ33" authorId="1" shapeId="0" xr:uid="{00000000-0006-0000-0000-00002A000000}">
      <text>
        <r>
          <rPr>
            <b/>
            <sz val="9"/>
            <color indexed="81"/>
            <rFont val="Calibri"/>
            <family val="2"/>
          </rPr>
          <t>Kristin Danko:</t>
        </r>
        <r>
          <rPr>
            <sz val="9"/>
            <color indexed="81"/>
            <rFont val="Calibri"/>
            <family val="2"/>
          </rPr>
          <t xml:space="preserve">
used 95% CI. N&gt;100 thus used Cochrane sqrt(n)*(UL-LL)/3.92</t>
        </r>
      </text>
    </comment>
    <comment ref="U35" authorId="2" shapeId="0" xr:uid="{00000000-0006-0000-0000-00002B000000}">
      <text>
        <r>
          <rPr>
            <b/>
            <sz val="9"/>
            <color indexed="81"/>
            <rFont val="Tahoma"/>
            <family val="2"/>
          </rPr>
          <t>Quach, Pauline:</t>
        </r>
        <r>
          <rPr>
            <sz val="9"/>
            <color indexed="81"/>
            <rFont val="Tahoma"/>
            <family val="2"/>
          </rPr>
          <t xml:space="preserve">
based on those analyzed (ie. those who have received allocated intervention). Follow up data was included for those who were lost to follow up at 3 and 6 months.</t>
        </r>
      </text>
    </comment>
    <comment ref="V35" authorId="2" shapeId="0" xr:uid="{00000000-0006-0000-0000-00002C000000}">
      <text>
        <r>
          <rPr>
            <b/>
            <sz val="9"/>
            <color indexed="81"/>
            <rFont val="Tahoma"/>
            <family val="2"/>
          </rPr>
          <t>Quach, Pauline:</t>
        </r>
        <r>
          <rPr>
            <sz val="9"/>
            <color indexed="81"/>
            <rFont val="Tahoma"/>
            <family val="2"/>
          </rPr>
          <t xml:space="preserve">
based on those analyzed (ie. those who have received allocated intervention). Follow up data was included for those who were lost to follow up at 3 and 6 months.</t>
        </r>
      </text>
    </comment>
    <comment ref="AA36" authorId="1" shapeId="0" xr:uid="{00000000-0006-0000-0000-00002D000000}">
      <text>
        <r>
          <rPr>
            <b/>
            <sz val="9"/>
            <color indexed="81"/>
            <rFont val="Calibri"/>
            <family val="2"/>
          </rPr>
          <t>Kristin Danko:</t>
        </r>
        <r>
          <rPr>
            <sz val="9"/>
            <color indexed="81"/>
            <rFont val="Calibri"/>
            <family val="2"/>
          </rPr>
          <t xml:space="preserve">
extracted as SD, confirmed; moved to SE because likely reporting error</t>
        </r>
      </text>
    </comment>
    <comment ref="AF36" authorId="1" shapeId="0" xr:uid="{00000000-0006-0000-0000-00002E000000}">
      <text>
        <r>
          <rPr>
            <b/>
            <sz val="9"/>
            <color indexed="81"/>
            <rFont val="Calibri"/>
            <family val="2"/>
          </rPr>
          <t>Kristin Danko:</t>
        </r>
        <r>
          <rPr>
            <sz val="9"/>
            <color indexed="81"/>
            <rFont val="Calibri"/>
            <family val="2"/>
          </rPr>
          <t xml:space="preserve">
extracted as SD, confirmed; moved to SE because likely reporting error</t>
        </r>
      </text>
    </comment>
    <comment ref="BD36" authorId="1" shapeId="0" xr:uid="{00000000-0006-0000-0000-00002F000000}">
      <text>
        <r>
          <rPr>
            <b/>
            <sz val="9"/>
            <color indexed="81"/>
            <rFont val="Calibri"/>
            <family val="2"/>
          </rPr>
          <t>Kristin Danko:</t>
        </r>
        <r>
          <rPr>
            <sz val="9"/>
            <color indexed="81"/>
            <rFont val="Calibri"/>
            <family val="2"/>
          </rPr>
          <t xml:space="preserve">
INTERVENTION ARM - PLACEHOLDER used 95% CI Cochrane method for ss&lt;100 (sqrt(n)*CI diff/cirtical value*2)</t>
        </r>
      </text>
    </comment>
    <comment ref="BP36" authorId="3" shapeId="0" xr:uid="{00000000-0006-0000-0000-000030000000}">
      <text>
        <r>
          <rPr>
            <b/>
            <sz val="9"/>
            <color indexed="81"/>
            <rFont val="Verdana"/>
            <family val="2"/>
          </rPr>
          <t>Samir:</t>
        </r>
        <r>
          <rPr>
            <sz val="9"/>
            <color indexed="81"/>
            <rFont val="Verdana"/>
            <family val="2"/>
          </rPr>
          <t xml:space="preserve">
In text: approximately 0.6% lower in intervention than control (8.84-0.6)</t>
        </r>
      </text>
    </comment>
    <comment ref="BQ36" authorId="1" shapeId="0" xr:uid="{00000000-0006-0000-0000-000031000000}">
      <text>
        <r>
          <rPr>
            <b/>
            <sz val="9"/>
            <color indexed="81"/>
            <rFont val="Calibri"/>
            <family val="2"/>
          </rPr>
          <t>Kristin Danko:</t>
        </r>
        <r>
          <rPr>
            <sz val="9"/>
            <color indexed="81"/>
            <rFont val="Calibri"/>
            <family val="2"/>
          </rPr>
          <t xml:space="preserve">
used 95% CI Cochrane method for ss&lt;100 (sqrt(n)*CI diff/cirtical value*2)</t>
        </r>
      </text>
    </comment>
    <comment ref="Y37" authorId="1" shapeId="0" xr:uid="{00000000-0006-0000-0000-000032000000}">
      <text>
        <r>
          <rPr>
            <b/>
            <sz val="9"/>
            <color indexed="81"/>
            <rFont val="Verdana"/>
            <family val="2"/>
          </rPr>
          <t>Kristin Danko:</t>
        </r>
        <r>
          <rPr>
            <sz val="9"/>
            <color indexed="81"/>
            <rFont val="Verdana"/>
            <family val="2"/>
          </rPr>
          <t xml:space="preserve">
Unadjusted values</t>
        </r>
      </text>
    </comment>
    <comment ref="AD37" authorId="2" shapeId="0" xr:uid="{00000000-0006-0000-0000-000033000000}">
      <text>
        <r>
          <rPr>
            <b/>
            <sz val="9"/>
            <color indexed="81"/>
            <rFont val="Tahoma"/>
            <family val="2"/>
          </rPr>
          <t>Quach, Pauline:</t>
        </r>
        <r>
          <rPr>
            <sz val="9"/>
            <color indexed="81"/>
            <rFont val="Tahoma"/>
            <family val="2"/>
          </rPr>
          <t xml:space="preserve">
Unadjusted values</t>
        </r>
      </text>
    </comment>
    <comment ref="BC37" authorId="2" shapeId="0" xr:uid="{00000000-0006-0000-0000-000034000000}">
      <text>
        <r>
          <rPr>
            <b/>
            <sz val="9"/>
            <color indexed="81"/>
            <rFont val="Tahoma"/>
            <family val="2"/>
          </rPr>
          <t>Quach, Pauline:</t>
        </r>
        <r>
          <rPr>
            <sz val="9"/>
            <color indexed="81"/>
            <rFont val="Tahoma"/>
            <family val="2"/>
          </rPr>
          <t xml:space="preserve">
unadjusted</t>
        </r>
      </text>
    </comment>
    <comment ref="BP37" authorId="2" shapeId="0" xr:uid="{00000000-0006-0000-0000-000035000000}">
      <text>
        <r>
          <rPr>
            <b/>
            <sz val="9"/>
            <color indexed="81"/>
            <rFont val="Tahoma"/>
            <family val="2"/>
          </rPr>
          <t>Quach, Pauline:</t>
        </r>
        <r>
          <rPr>
            <sz val="9"/>
            <color indexed="81"/>
            <rFont val="Tahoma"/>
            <family val="2"/>
          </rPr>
          <t xml:space="preserve">
unadjusted</t>
        </r>
      </text>
    </comment>
    <comment ref="U38" authorId="2" shapeId="0" xr:uid="{00000000-0006-0000-0000-000036000000}">
      <text>
        <r>
          <rPr>
            <b/>
            <sz val="9"/>
            <color indexed="81"/>
            <rFont val="Tahoma"/>
            <family val="2"/>
          </rPr>
          <t>Quach, Pauline:</t>
        </r>
        <r>
          <rPr>
            <sz val="9"/>
            <color indexed="81"/>
            <rFont val="Tahoma"/>
            <family val="2"/>
          </rPr>
          <t xml:space="preserve">
based on those analyzed</t>
        </r>
      </text>
    </comment>
    <comment ref="V38" authorId="2" shapeId="0" xr:uid="{00000000-0006-0000-0000-000037000000}">
      <text>
        <r>
          <rPr>
            <b/>
            <sz val="9"/>
            <color indexed="81"/>
            <rFont val="Tahoma"/>
            <family val="2"/>
          </rPr>
          <t>Quach, Pauline:</t>
        </r>
        <r>
          <rPr>
            <sz val="9"/>
            <color indexed="81"/>
            <rFont val="Tahoma"/>
            <family val="2"/>
          </rPr>
          <t xml:space="preserve">
based on those analyzed</t>
        </r>
      </text>
    </comment>
    <comment ref="Y38" authorId="2" shapeId="0" xr:uid="{00000000-0006-0000-0000-000038000000}">
      <text>
        <r>
          <rPr>
            <b/>
            <sz val="9"/>
            <color indexed="81"/>
            <rFont val="Tahoma"/>
            <family val="2"/>
          </rPr>
          <t>Quach, Pauline:</t>
        </r>
        <r>
          <rPr>
            <sz val="9"/>
            <color indexed="81"/>
            <rFont val="Tahoma"/>
            <family val="2"/>
          </rPr>
          <t xml:space="preserve">
Note: in text, they list this as 9.06, But in th table it's listed as 9.60. They provide the within group difference, and 9.06 makes more sense.</t>
        </r>
      </text>
    </comment>
    <comment ref="Y41" authorId="2" shapeId="0" xr:uid="{00000000-0006-0000-0000-000039000000}">
      <text>
        <r>
          <rPr>
            <b/>
            <sz val="9"/>
            <color indexed="81"/>
            <rFont val="Tahoma"/>
            <family val="2"/>
          </rPr>
          <t>Quach, Pauline:</t>
        </r>
        <r>
          <rPr>
            <sz val="9"/>
            <color indexed="81"/>
            <rFont val="Tahoma"/>
            <family val="2"/>
          </rPr>
          <t xml:space="preserve">
UNADJUSTED</t>
        </r>
      </text>
    </comment>
    <comment ref="AD41" authorId="2" shapeId="0" xr:uid="{00000000-0006-0000-0000-00003A000000}">
      <text>
        <r>
          <rPr>
            <b/>
            <sz val="9"/>
            <color indexed="81"/>
            <rFont val="Tahoma"/>
            <family val="2"/>
          </rPr>
          <t>Quach, Pauline:</t>
        </r>
        <r>
          <rPr>
            <sz val="9"/>
            <color indexed="81"/>
            <rFont val="Tahoma"/>
            <family val="2"/>
          </rPr>
          <t xml:space="preserve">
UNADJUSTED</t>
        </r>
      </text>
    </comment>
    <comment ref="BC41" authorId="2" shapeId="0" xr:uid="{00000000-0006-0000-0000-00003B000000}">
      <text>
        <r>
          <rPr>
            <b/>
            <sz val="9"/>
            <color indexed="81"/>
            <rFont val="Tahoma"/>
            <family val="2"/>
          </rPr>
          <t>Quach, Pauline:</t>
        </r>
        <r>
          <rPr>
            <sz val="9"/>
            <color indexed="81"/>
            <rFont val="Tahoma"/>
            <family val="2"/>
          </rPr>
          <t xml:space="preserve">
unadjusted</t>
        </r>
      </text>
    </comment>
    <comment ref="BJ41" authorId="2" shapeId="0" xr:uid="{00000000-0006-0000-0000-00003C000000}">
      <text>
        <r>
          <rPr>
            <b/>
            <sz val="9"/>
            <color indexed="81"/>
            <rFont val="Tahoma"/>
            <family val="2"/>
          </rPr>
          <t>Quach, Pauline:</t>
        </r>
        <r>
          <rPr>
            <sz val="9"/>
            <color indexed="81"/>
            <rFont val="Tahoma"/>
            <family val="2"/>
          </rPr>
          <t xml:space="preserve">
adjusted difference</t>
        </r>
      </text>
    </comment>
    <comment ref="BP41" authorId="2" shapeId="0" xr:uid="{00000000-0006-0000-0000-00003D000000}">
      <text>
        <r>
          <rPr>
            <b/>
            <sz val="9"/>
            <color indexed="81"/>
            <rFont val="Tahoma"/>
            <family val="2"/>
          </rPr>
          <t>Quach, Pauline:</t>
        </r>
        <r>
          <rPr>
            <sz val="9"/>
            <color indexed="81"/>
            <rFont val="Tahoma"/>
            <family val="2"/>
          </rPr>
          <t xml:space="preserve">
unadjusted</t>
        </r>
      </text>
    </comment>
    <comment ref="BW41" authorId="2" shapeId="0" xr:uid="{00000000-0006-0000-0000-00003E000000}">
      <text>
        <r>
          <rPr>
            <b/>
            <sz val="9"/>
            <color indexed="81"/>
            <rFont val="Tahoma"/>
            <family val="2"/>
          </rPr>
          <t>Quach, Pauline:</t>
        </r>
        <r>
          <rPr>
            <sz val="9"/>
            <color indexed="81"/>
            <rFont val="Tahoma"/>
            <family val="2"/>
          </rPr>
          <t xml:space="preserve">
adjusted difference</t>
        </r>
      </text>
    </comment>
    <comment ref="U53" authorId="2" shapeId="0" xr:uid="{00000000-0006-0000-0000-00003F000000}">
      <text>
        <r>
          <rPr>
            <b/>
            <sz val="9"/>
            <color indexed="81"/>
            <rFont val="Tahoma"/>
            <family val="2"/>
          </rPr>
          <t>Quach, Pauline:</t>
        </r>
        <r>
          <rPr>
            <sz val="9"/>
            <color indexed="81"/>
            <rFont val="Tahoma"/>
            <family val="2"/>
          </rPr>
          <t xml:space="preserve">
Based on those analyzed</t>
        </r>
      </text>
    </comment>
    <comment ref="V53" authorId="2" shapeId="0" xr:uid="{00000000-0006-0000-0000-000040000000}">
      <text>
        <r>
          <rPr>
            <b/>
            <sz val="9"/>
            <color indexed="81"/>
            <rFont val="Tahoma"/>
            <family val="2"/>
          </rPr>
          <t>Quach, Pauline:</t>
        </r>
        <r>
          <rPr>
            <sz val="9"/>
            <color indexed="81"/>
            <rFont val="Tahoma"/>
            <family val="2"/>
          </rPr>
          <t xml:space="preserve">
Based on those analyzed</t>
        </r>
      </text>
    </comment>
    <comment ref="U55" authorId="2" shapeId="0" xr:uid="{00000000-0006-0000-0000-000041000000}">
      <text>
        <r>
          <rPr>
            <b/>
            <sz val="9"/>
            <color indexed="81"/>
            <rFont val="Tahoma"/>
            <family val="2"/>
          </rPr>
          <t>Quach, Pauline:</t>
        </r>
        <r>
          <rPr>
            <sz val="9"/>
            <color indexed="81"/>
            <rFont val="Tahoma"/>
            <family val="2"/>
          </rPr>
          <t xml:space="preserve">
based on those analyzed</t>
        </r>
      </text>
    </comment>
    <comment ref="V55" authorId="2" shapeId="0" xr:uid="{00000000-0006-0000-0000-000042000000}">
      <text>
        <r>
          <rPr>
            <b/>
            <sz val="9"/>
            <color indexed="81"/>
            <rFont val="Tahoma"/>
            <family val="2"/>
          </rPr>
          <t>Quach, Pauline:</t>
        </r>
        <r>
          <rPr>
            <sz val="9"/>
            <color indexed="81"/>
            <rFont val="Tahoma"/>
            <family val="2"/>
          </rPr>
          <t xml:space="preserve">
based on those analyzed</t>
        </r>
      </text>
    </comment>
    <comment ref="AA57" authorId="1" shapeId="0" xr:uid="{00000000-0006-0000-0000-000043000000}">
      <text>
        <r>
          <rPr>
            <b/>
            <sz val="9"/>
            <color indexed="81"/>
            <rFont val="Calibri"/>
            <family val="2"/>
          </rPr>
          <t>Kristin Danko:</t>
        </r>
        <r>
          <rPr>
            <sz val="9"/>
            <color indexed="81"/>
            <rFont val="Calibri"/>
            <family val="2"/>
          </rPr>
          <t xml:space="preserve">
extracted as SD, confirmed; moved to SE because likely reporting error</t>
        </r>
      </text>
    </comment>
    <comment ref="U58" authorId="2" shapeId="0" xr:uid="{00000000-0006-0000-0000-000044000000}">
      <text>
        <r>
          <rPr>
            <b/>
            <sz val="9"/>
            <color indexed="81"/>
            <rFont val="Tahoma"/>
            <family val="2"/>
          </rPr>
          <t>Quach, Pauline:</t>
        </r>
        <r>
          <rPr>
            <sz val="9"/>
            <color indexed="81"/>
            <rFont val="Tahoma"/>
            <family val="2"/>
          </rPr>
          <t xml:space="preserve">
based on those analyzed</t>
        </r>
      </text>
    </comment>
    <comment ref="V58" authorId="2" shapeId="0" xr:uid="{00000000-0006-0000-0000-000045000000}">
      <text>
        <r>
          <rPr>
            <b/>
            <sz val="9"/>
            <color indexed="81"/>
            <rFont val="Tahoma"/>
            <family val="2"/>
          </rPr>
          <t>Quach, Pauline:</t>
        </r>
        <r>
          <rPr>
            <sz val="9"/>
            <color indexed="81"/>
            <rFont val="Tahoma"/>
            <family val="2"/>
          </rPr>
          <t xml:space="preserve">
based on those analyzed</t>
        </r>
      </text>
    </comment>
    <comment ref="Y71" authorId="1" shapeId="0" xr:uid="{00000000-0006-0000-0000-000046000000}">
      <text>
        <r>
          <rPr>
            <b/>
            <sz val="9"/>
            <color indexed="81"/>
            <rFont val="Verdana"/>
            <family val="2"/>
          </rPr>
          <t>Kristin Danko:</t>
        </r>
        <r>
          <rPr>
            <sz val="9"/>
            <color indexed="81"/>
            <rFont val="Verdana"/>
            <family val="2"/>
          </rPr>
          <t xml:space="preserve">
median
</t>
        </r>
      </text>
    </comment>
    <comment ref="Z71" authorId="1" shapeId="0" xr:uid="{00000000-0006-0000-0000-000047000000}">
      <text>
        <r>
          <rPr>
            <b/>
            <sz val="9"/>
            <color indexed="81"/>
            <rFont val="Verdana"/>
            <family val="2"/>
          </rPr>
          <t>Kristin Danko:</t>
        </r>
        <r>
          <rPr>
            <sz val="9"/>
            <color indexed="81"/>
            <rFont val="Verdana"/>
            <family val="2"/>
          </rPr>
          <t xml:space="preserve">
calculated from IQR (IQR diff/1.35) from Cochrane</t>
        </r>
      </text>
    </comment>
    <comment ref="AD71" authorId="1" shapeId="0" xr:uid="{00000000-0006-0000-0000-000048000000}">
      <text>
        <r>
          <rPr>
            <b/>
            <sz val="9"/>
            <color indexed="81"/>
            <rFont val="Verdana"/>
            <family val="2"/>
          </rPr>
          <t>Kristin Danko:</t>
        </r>
        <r>
          <rPr>
            <sz val="9"/>
            <color indexed="81"/>
            <rFont val="Verdana"/>
            <family val="2"/>
          </rPr>
          <t xml:space="preserve">
median
</t>
        </r>
      </text>
    </comment>
    <comment ref="AE71" authorId="1" shapeId="0" xr:uid="{00000000-0006-0000-0000-000049000000}">
      <text>
        <r>
          <rPr>
            <b/>
            <sz val="9"/>
            <color indexed="81"/>
            <rFont val="Verdana"/>
            <family val="2"/>
          </rPr>
          <t>Kristin Danko:</t>
        </r>
        <r>
          <rPr>
            <sz val="9"/>
            <color indexed="81"/>
            <rFont val="Verdana"/>
            <family val="2"/>
          </rPr>
          <t xml:space="preserve">
calculated from IQR (IQR diff/1.35) from Cochrane</t>
        </r>
      </text>
    </comment>
    <comment ref="BC71" authorId="2" shapeId="0" xr:uid="{00000000-0006-0000-0000-00004A000000}">
      <text>
        <r>
          <rPr>
            <b/>
            <sz val="9"/>
            <color indexed="81"/>
            <rFont val="Tahoma"/>
            <family val="2"/>
          </rPr>
          <t xml:space="preserve">Kristin:
</t>
        </r>
        <r>
          <rPr>
            <sz val="9"/>
            <color indexed="81"/>
            <rFont val="Tahoma"/>
            <family val="2"/>
          </rPr>
          <t>median</t>
        </r>
      </text>
    </comment>
    <comment ref="BD71" authorId="1" shapeId="0" xr:uid="{00000000-0006-0000-0000-00004B000000}">
      <text>
        <r>
          <rPr>
            <b/>
            <sz val="9"/>
            <color indexed="81"/>
            <rFont val="Verdana"/>
            <family val="2"/>
          </rPr>
          <t>Kristin Danko:</t>
        </r>
        <r>
          <rPr>
            <sz val="9"/>
            <color indexed="81"/>
            <rFont val="Verdana"/>
            <family val="2"/>
          </rPr>
          <t xml:space="preserve">
calcualted from IQR/1.35 as per Cochrane</t>
        </r>
      </text>
    </comment>
    <comment ref="BP71" authorId="2" shapeId="0" xr:uid="{00000000-0006-0000-0000-00004C000000}">
      <text>
        <r>
          <rPr>
            <b/>
            <sz val="9"/>
            <color indexed="81"/>
            <rFont val="Tahoma"/>
            <family val="2"/>
          </rPr>
          <t xml:space="preserve">Kristin:
</t>
        </r>
        <r>
          <rPr>
            <sz val="9"/>
            <color indexed="81"/>
            <rFont val="Tahoma"/>
            <family val="2"/>
          </rPr>
          <t xml:space="preserve">Median
</t>
        </r>
      </text>
    </comment>
    <comment ref="BQ71" authorId="1" shapeId="0" xr:uid="{00000000-0006-0000-0000-00004D000000}">
      <text>
        <r>
          <rPr>
            <b/>
            <sz val="9"/>
            <color indexed="81"/>
            <rFont val="Verdana"/>
            <family val="2"/>
          </rPr>
          <t>Kristin Danko:</t>
        </r>
        <r>
          <rPr>
            <sz val="9"/>
            <color indexed="81"/>
            <rFont val="Verdana"/>
            <family val="2"/>
          </rPr>
          <t xml:space="preserve">
calcualted from IQR/1.35 as per Cochrane</t>
        </r>
      </text>
    </comment>
    <comment ref="A72" authorId="2" shapeId="0" xr:uid="{00000000-0006-0000-0000-00004E000000}">
      <text>
        <r>
          <rPr>
            <b/>
            <sz val="9"/>
            <color indexed="81"/>
            <rFont val="Tahoma"/>
            <family val="2"/>
          </rPr>
          <t>Quach, Pauline:</t>
        </r>
        <r>
          <rPr>
            <sz val="9"/>
            <color indexed="81"/>
            <rFont val="Tahoma"/>
            <family val="2"/>
          </rPr>
          <t xml:space="preserve">
SUBSET OF DM PATIENTS ONLY
data from contacting author</t>
        </r>
      </text>
    </comment>
    <comment ref="Y73" authorId="1" shapeId="0" xr:uid="{00000000-0006-0000-0000-00004F000000}">
      <text>
        <r>
          <rPr>
            <b/>
            <sz val="9"/>
            <color indexed="81"/>
            <rFont val="Calibri"/>
            <family val="2"/>
          </rPr>
          <t>Kristin Danko:</t>
        </r>
        <r>
          <rPr>
            <sz val="9"/>
            <color indexed="81"/>
            <rFont val="Calibri"/>
            <family val="2"/>
          </rPr>
          <t xml:space="preserve">
Median</t>
        </r>
      </text>
    </comment>
    <comment ref="Z73" authorId="1" shapeId="0" xr:uid="{00000000-0006-0000-0000-000050000000}">
      <text>
        <r>
          <rPr>
            <b/>
            <sz val="9"/>
            <color indexed="81"/>
            <rFont val="Verdana"/>
            <family val="2"/>
          </rPr>
          <t>Kristin Danko:</t>
        </r>
        <r>
          <rPr>
            <sz val="9"/>
            <color indexed="81"/>
            <rFont val="Verdana"/>
            <family val="2"/>
          </rPr>
          <t xml:space="preserve">
calculated from IQR (IQR diff/1.35) from Cochrane</t>
        </r>
      </text>
    </comment>
    <comment ref="AD73" authorId="1" shapeId="0" xr:uid="{00000000-0006-0000-0000-000051000000}">
      <text>
        <r>
          <rPr>
            <b/>
            <sz val="9"/>
            <color indexed="81"/>
            <rFont val="Calibri"/>
            <family val="2"/>
          </rPr>
          <t>Kristin Danko:</t>
        </r>
        <r>
          <rPr>
            <sz val="9"/>
            <color indexed="81"/>
            <rFont val="Calibri"/>
            <family val="2"/>
          </rPr>
          <t xml:space="preserve">
Median</t>
        </r>
      </text>
    </comment>
    <comment ref="AE73" authorId="1" shapeId="0" xr:uid="{00000000-0006-0000-0000-000052000000}">
      <text>
        <r>
          <rPr>
            <b/>
            <sz val="9"/>
            <color indexed="81"/>
            <rFont val="Verdana"/>
            <family val="2"/>
          </rPr>
          <t>Kristin Danko:</t>
        </r>
        <r>
          <rPr>
            <sz val="9"/>
            <color indexed="81"/>
            <rFont val="Verdana"/>
            <family val="2"/>
          </rPr>
          <t xml:space="preserve">
calculated from IQR (IQR diff/1.35) from Cochrane</t>
        </r>
      </text>
    </comment>
    <comment ref="AY73" authorId="2" shapeId="0" xr:uid="{00000000-0006-0000-0000-000053000000}">
      <text>
        <r>
          <rPr>
            <b/>
            <sz val="9"/>
            <color indexed="81"/>
            <rFont val="Tahoma"/>
            <family val="2"/>
          </rPr>
          <t>Quach, Pauline:</t>
        </r>
        <r>
          <rPr>
            <sz val="9"/>
            <color indexed="81"/>
            <rFont val="Tahoma"/>
            <family val="2"/>
          </rPr>
          <t xml:space="preserve">
Authors state ITT done, but they note these (n)s as those analyzed</t>
        </r>
      </text>
    </comment>
    <comment ref="AZ73" authorId="2" shapeId="0" xr:uid="{00000000-0006-0000-0000-000054000000}">
      <text>
        <r>
          <rPr>
            <b/>
            <sz val="9"/>
            <color indexed="81"/>
            <rFont val="Tahoma"/>
            <family val="2"/>
          </rPr>
          <t>Quach, Pauline:</t>
        </r>
        <r>
          <rPr>
            <sz val="9"/>
            <color indexed="81"/>
            <rFont val="Tahoma"/>
            <family val="2"/>
          </rPr>
          <t xml:space="preserve">
Authors state ITT done, but they note these (n)s as those analyzed</t>
        </r>
      </text>
    </comment>
    <comment ref="BC73" authorId="1" shapeId="0" xr:uid="{00000000-0006-0000-0000-000055000000}">
      <text>
        <r>
          <rPr>
            <b/>
            <sz val="9"/>
            <color indexed="81"/>
            <rFont val="Calibri"/>
            <family val="2"/>
          </rPr>
          <t>Kristin Danko:</t>
        </r>
        <r>
          <rPr>
            <sz val="9"/>
            <color indexed="81"/>
            <rFont val="Calibri"/>
            <family val="2"/>
          </rPr>
          <t xml:space="preserve">
median</t>
        </r>
      </text>
    </comment>
    <comment ref="BD73" authorId="1" shapeId="0" xr:uid="{00000000-0006-0000-0000-000056000000}">
      <text>
        <r>
          <rPr>
            <b/>
            <sz val="9"/>
            <color indexed="81"/>
            <rFont val="Verdana"/>
            <family val="2"/>
          </rPr>
          <t>Kristin Danko:</t>
        </r>
        <r>
          <rPr>
            <sz val="9"/>
            <color indexed="81"/>
            <rFont val="Verdana"/>
            <family val="2"/>
          </rPr>
          <t xml:space="preserve">
calculated from IQR (IQR diff/1.35) from Cochrane</t>
        </r>
      </text>
    </comment>
    <comment ref="BP73" authorId="1" shapeId="0" xr:uid="{00000000-0006-0000-0000-000057000000}">
      <text>
        <r>
          <rPr>
            <b/>
            <sz val="9"/>
            <color indexed="81"/>
            <rFont val="Calibri"/>
            <family val="2"/>
          </rPr>
          <t>Kristin Danko:</t>
        </r>
        <r>
          <rPr>
            <sz val="9"/>
            <color indexed="81"/>
            <rFont val="Calibri"/>
            <family val="2"/>
          </rPr>
          <t xml:space="preserve">
Median</t>
        </r>
      </text>
    </comment>
    <comment ref="BQ73" authorId="1" shapeId="0" xr:uid="{00000000-0006-0000-0000-000058000000}">
      <text>
        <r>
          <rPr>
            <b/>
            <sz val="9"/>
            <color indexed="81"/>
            <rFont val="Verdana"/>
            <family val="2"/>
          </rPr>
          <t>Kristin Danko:</t>
        </r>
        <r>
          <rPr>
            <sz val="9"/>
            <color indexed="81"/>
            <rFont val="Verdana"/>
            <family val="2"/>
          </rPr>
          <t xml:space="preserve">
calculated from IQR (IQR diff/1.35) from Cochrane</t>
        </r>
      </text>
    </comment>
    <comment ref="AC75" authorId="2" shapeId="0" xr:uid="{00000000-0006-0000-0000-000059000000}">
      <text>
        <r>
          <rPr>
            <b/>
            <sz val="9"/>
            <color indexed="81"/>
            <rFont val="Tahoma"/>
            <family val="2"/>
          </rPr>
          <t>Quach, Pauline:</t>
        </r>
        <r>
          <rPr>
            <sz val="9"/>
            <color indexed="81"/>
            <rFont val="Tahoma"/>
            <family val="2"/>
          </rPr>
          <t xml:space="preserve">
'MIN-MAX RANGE'</t>
        </r>
      </text>
    </comment>
    <comment ref="BC85" authorId="2" shapeId="0" xr:uid="{00000000-0006-0000-0000-00005A000000}">
      <text>
        <r>
          <rPr>
            <b/>
            <sz val="9"/>
            <color indexed="81"/>
            <rFont val="Tahoma"/>
            <family val="2"/>
          </rPr>
          <t>Quach, Pauline:</t>
        </r>
        <r>
          <rPr>
            <sz val="9"/>
            <color indexed="81"/>
            <rFont val="Tahoma"/>
            <family val="2"/>
          </rPr>
          <t xml:space="preserve">
" *The comparison between the two groups on glycated haemoglobin for which we had baseline information on a different scale from that collected at finalreview, was performed by analysis of convariance. The reported means have been adjusted at the mean level of the baseline scale."</t>
        </r>
      </text>
    </comment>
    <comment ref="BP85" authorId="2" shapeId="0" xr:uid="{00000000-0006-0000-0000-00005B000000}">
      <text>
        <r>
          <rPr>
            <b/>
            <sz val="9"/>
            <color indexed="81"/>
            <rFont val="Tahoma"/>
            <family val="2"/>
          </rPr>
          <t>Quach, Pauline:</t>
        </r>
        <r>
          <rPr>
            <sz val="9"/>
            <color indexed="81"/>
            <rFont val="Tahoma"/>
            <family val="2"/>
          </rPr>
          <t xml:space="preserve">
ADJUSTED AT THE MEAN LEVEL AT THE BASELINE SCALE</t>
        </r>
      </text>
    </comment>
    <comment ref="BC89" authorId="2" shapeId="0" xr:uid="{00000000-0006-0000-0000-00005C000000}">
      <text>
        <r>
          <rPr>
            <b/>
            <sz val="9"/>
            <color indexed="81"/>
            <rFont val="Tahoma"/>
            <family val="2"/>
          </rPr>
          <t>Quach, Pauline:</t>
        </r>
        <r>
          <rPr>
            <sz val="9"/>
            <color indexed="81"/>
            <rFont val="Tahoma"/>
            <family val="2"/>
          </rPr>
          <t xml:space="preserve">
unadjusted</t>
        </r>
      </text>
    </comment>
    <comment ref="BP89" authorId="2" shapeId="0" xr:uid="{00000000-0006-0000-0000-00005D000000}">
      <text>
        <r>
          <rPr>
            <b/>
            <sz val="9"/>
            <color indexed="81"/>
            <rFont val="Tahoma"/>
            <family val="2"/>
          </rPr>
          <t>Quach, Pauline:</t>
        </r>
        <r>
          <rPr>
            <sz val="9"/>
            <color indexed="81"/>
            <rFont val="Tahoma"/>
            <family val="2"/>
          </rPr>
          <t xml:space="preserve">
unadjusted</t>
        </r>
      </text>
    </comment>
    <comment ref="U93" authorId="2" shapeId="0" xr:uid="{00000000-0006-0000-0000-00005E000000}">
      <text>
        <r>
          <rPr>
            <b/>
            <sz val="9"/>
            <color indexed="81"/>
            <rFont val="Tahoma"/>
            <family val="2"/>
          </rPr>
          <t>Quach, Pauline:</t>
        </r>
        <r>
          <rPr>
            <sz val="9"/>
            <color indexed="81"/>
            <rFont val="Tahoma"/>
            <family val="2"/>
          </rPr>
          <t xml:space="preserve">
based on those analyzed</t>
        </r>
      </text>
    </comment>
    <comment ref="V93" authorId="2" shapeId="0" xr:uid="{00000000-0006-0000-0000-00005F000000}">
      <text>
        <r>
          <rPr>
            <b/>
            <sz val="9"/>
            <color indexed="81"/>
            <rFont val="Tahoma"/>
            <family val="2"/>
          </rPr>
          <t>Quach, Pauline:</t>
        </r>
        <r>
          <rPr>
            <sz val="9"/>
            <color indexed="81"/>
            <rFont val="Tahoma"/>
            <family val="2"/>
          </rPr>
          <t xml:space="preserve">
based on those analyzed</t>
        </r>
      </text>
    </comment>
    <comment ref="BC95" authorId="2" shapeId="0" xr:uid="{00000000-0006-0000-0000-000060000000}">
      <text>
        <r>
          <rPr>
            <b/>
            <sz val="9"/>
            <color indexed="81"/>
            <rFont val="Tahoma"/>
            <family val="2"/>
          </rPr>
          <t>Quach, Pauline:</t>
        </r>
        <r>
          <rPr>
            <sz val="9"/>
            <color indexed="81"/>
            <rFont val="Tahoma"/>
            <family val="2"/>
          </rPr>
          <t xml:space="preserve">
unadjuated</t>
        </r>
      </text>
    </comment>
    <comment ref="BP95" authorId="2" shapeId="0" xr:uid="{00000000-0006-0000-0000-000061000000}">
      <text>
        <r>
          <rPr>
            <b/>
            <sz val="9"/>
            <color indexed="81"/>
            <rFont val="Tahoma"/>
            <family val="2"/>
          </rPr>
          <t>Quach, Pauline:</t>
        </r>
        <r>
          <rPr>
            <sz val="9"/>
            <color indexed="81"/>
            <rFont val="Tahoma"/>
            <family val="2"/>
          </rPr>
          <t xml:space="preserve">
unadjusted</t>
        </r>
      </text>
    </comment>
    <comment ref="BD99" authorId="1" shapeId="0" xr:uid="{00000000-0006-0000-0000-000062000000}">
      <text>
        <r>
          <rPr>
            <b/>
            <sz val="9"/>
            <color indexed="81"/>
            <rFont val="Calibri"/>
            <family val="2"/>
          </rPr>
          <t>Kristin Danko:</t>
        </r>
        <r>
          <rPr>
            <sz val="9"/>
            <color indexed="81"/>
            <rFont val="Calibri"/>
            <family val="2"/>
          </rPr>
          <t xml:space="preserve">
95% CI 8.8 to 9.6
used 95% CI Cochrane method for ss&gt;100 (sqrt(n)*CI diff/3.92) </t>
        </r>
      </text>
    </comment>
    <comment ref="BQ99" authorId="1" shapeId="0" xr:uid="{00000000-0006-0000-0000-000063000000}">
      <text>
        <r>
          <rPr>
            <b/>
            <sz val="9"/>
            <color indexed="81"/>
            <rFont val="Calibri"/>
            <family val="2"/>
          </rPr>
          <t>Kristin Danko:</t>
        </r>
        <r>
          <rPr>
            <sz val="9"/>
            <color indexed="81"/>
            <rFont val="Calibri"/>
            <family val="2"/>
          </rPr>
          <t xml:space="preserve">
95% CI 8.9 to 9.7
used 95% CI Cochrane method for ss&gt;100 (sqrt(n)*CI diff/3.92) </t>
        </r>
      </text>
    </comment>
    <comment ref="AY100" authorId="4" shapeId="0" xr:uid="{00000000-0006-0000-0000-000064000000}">
      <text>
        <r>
          <rPr>
            <b/>
            <sz val="8"/>
            <color indexed="81"/>
            <rFont val="Tahoma"/>
            <family val="2"/>
          </rPr>
          <t>kdanko:</t>
        </r>
        <r>
          <rPr>
            <sz val="8"/>
            <color indexed="81"/>
            <rFont val="Tahoma"/>
            <family val="2"/>
          </rPr>
          <t xml:space="preserve">
based on baseline numbers - don't see # analyzed at end</t>
        </r>
      </text>
    </comment>
    <comment ref="Y106" authorId="2" shapeId="0" xr:uid="{00000000-0006-0000-0000-000065000000}">
      <text>
        <r>
          <rPr>
            <b/>
            <sz val="9"/>
            <color indexed="81"/>
            <rFont val="Tahoma"/>
            <family val="2"/>
          </rPr>
          <t>Quach, Pauline:</t>
        </r>
        <r>
          <rPr>
            <sz val="9"/>
            <color indexed="81"/>
            <rFont val="Tahoma"/>
            <family val="2"/>
          </rPr>
          <t xml:space="preserve">
66 mol/mol
Used online converter http://www.diabetes.co.uk/hba1c-to-blood-sugar-level-converter.html</t>
        </r>
      </text>
    </comment>
    <comment ref="Z106" authorId="2" shapeId="0" xr:uid="{00000000-0006-0000-0000-000066000000}">
      <text>
        <r>
          <rPr>
            <b/>
            <sz val="9"/>
            <color indexed="81"/>
            <rFont val="Tahoma"/>
            <family val="2"/>
          </rPr>
          <t>Quach, Pauline:</t>
        </r>
        <r>
          <rPr>
            <sz val="9"/>
            <color indexed="81"/>
            <rFont val="Tahoma"/>
            <family val="2"/>
          </rPr>
          <t xml:space="preserve">
13 mmol/mol</t>
        </r>
      </text>
    </comment>
    <comment ref="AD106" authorId="2" shapeId="0" xr:uid="{00000000-0006-0000-0000-000067000000}">
      <text>
        <r>
          <rPr>
            <b/>
            <sz val="9"/>
            <color indexed="81"/>
            <rFont val="Tahoma"/>
            <family val="2"/>
          </rPr>
          <t>Quach, Pauline:</t>
        </r>
        <r>
          <rPr>
            <sz val="9"/>
            <color indexed="81"/>
            <rFont val="Tahoma"/>
            <family val="2"/>
          </rPr>
          <t xml:space="preserve">
64mmol/mol</t>
        </r>
      </text>
    </comment>
    <comment ref="AE106" authorId="2" shapeId="0" xr:uid="{00000000-0006-0000-0000-000068000000}">
      <text>
        <r>
          <rPr>
            <b/>
            <sz val="9"/>
            <color indexed="81"/>
            <rFont val="Tahoma"/>
            <family val="2"/>
          </rPr>
          <t>Quach, Pauline:</t>
        </r>
        <r>
          <rPr>
            <sz val="9"/>
            <color indexed="81"/>
            <rFont val="Tahoma"/>
            <family val="2"/>
          </rPr>
          <t xml:space="preserve">
11mmol./mol</t>
        </r>
      </text>
    </comment>
    <comment ref="BC106" authorId="1" shapeId="0" xr:uid="{00000000-0006-0000-0000-000069000000}">
      <text>
        <r>
          <rPr>
            <b/>
            <sz val="9"/>
            <color indexed="81"/>
            <rFont val="Calibri"/>
            <family val="2"/>
          </rPr>
          <t>Kristin Danko:</t>
        </r>
        <r>
          <rPr>
            <sz val="9"/>
            <color indexed="81"/>
            <rFont val="Calibri"/>
            <family val="2"/>
          </rPr>
          <t xml:space="preserve">
converted from mmol as per baseline</t>
        </r>
      </text>
    </comment>
    <comment ref="BJ106" authorId="2" shapeId="0" xr:uid="{00000000-0006-0000-0000-00006A000000}">
      <text>
        <r>
          <rPr>
            <b/>
            <sz val="9"/>
            <color indexed="81"/>
            <rFont val="Tahoma"/>
            <family val="2"/>
          </rPr>
          <t>Quach, Pauline:</t>
        </r>
        <r>
          <rPr>
            <sz val="9"/>
            <color indexed="81"/>
            <rFont val="Tahoma"/>
            <family val="2"/>
          </rPr>
          <t xml:space="preserve">
median</t>
        </r>
      </text>
    </comment>
    <comment ref="BM106" authorId="2" shapeId="0" xr:uid="{00000000-0006-0000-0000-00006B000000}">
      <text>
        <r>
          <rPr>
            <b/>
            <sz val="9"/>
            <color indexed="81"/>
            <rFont val="Tahoma"/>
            <family val="2"/>
          </rPr>
          <t>Quach, Pauline:</t>
        </r>
        <r>
          <rPr>
            <sz val="9"/>
            <color indexed="81"/>
            <rFont val="Tahoma"/>
            <family val="2"/>
          </rPr>
          <t xml:space="preserve">
median</t>
        </r>
      </text>
    </comment>
    <comment ref="BN106" authorId="2" shapeId="0" xr:uid="{00000000-0006-0000-0000-00006C000000}">
      <text>
        <r>
          <rPr>
            <b/>
            <sz val="9"/>
            <color indexed="81"/>
            <rFont val="Tahoma"/>
            <family val="2"/>
          </rPr>
          <t>Quach, Pauline:</t>
        </r>
        <r>
          <rPr>
            <sz val="9"/>
            <color indexed="81"/>
            <rFont val="Tahoma"/>
            <family val="2"/>
          </rPr>
          <t xml:space="preserve">
median</t>
        </r>
      </text>
    </comment>
    <comment ref="BW106" authorId="2" shapeId="0" xr:uid="{00000000-0006-0000-0000-00006D000000}">
      <text>
        <r>
          <rPr>
            <b/>
            <sz val="9"/>
            <color indexed="81"/>
            <rFont val="Tahoma"/>
            <family val="2"/>
          </rPr>
          <t>Quach, Pauline:</t>
        </r>
        <r>
          <rPr>
            <sz val="9"/>
            <color indexed="81"/>
            <rFont val="Tahoma"/>
            <family val="2"/>
          </rPr>
          <t xml:space="preserve">
median</t>
        </r>
      </text>
    </comment>
    <comment ref="BZ106" authorId="2" shapeId="0" xr:uid="{00000000-0006-0000-0000-00006E000000}">
      <text>
        <r>
          <rPr>
            <b/>
            <sz val="9"/>
            <color indexed="81"/>
            <rFont val="Tahoma"/>
            <family val="2"/>
          </rPr>
          <t>Quach, Pauline:</t>
        </r>
        <r>
          <rPr>
            <sz val="9"/>
            <color indexed="81"/>
            <rFont val="Tahoma"/>
            <family val="2"/>
          </rPr>
          <t xml:space="preserve">
median</t>
        </r>
      </text>
    </comment>
    <comment ref="U107" authorId="2" shapeId="0" xr:uid="{00000000-0006-0000-0000-00006F000000}">
      <text>
        <r>
          <rPr>
            <b/>
            <sz val="9"/>
            <color indexed="81"/>
            <rFont val="Tahoma"/>
            <family val="2"/>
          </rPr>
          <t>Quach, Pauline:</t>
        </r>
        <r>
          <rPr>
            <sz val="9"/>
            <color indexed="81"/>
            <rFont val="Tahoma"/>
            <family val="2"/>
          </rPr>
          <t xml:space="preserve">
Baseline based on those analyzed</t>
        </r>
      </text>
    </comment>
    <comment ref="V107" authorId="2" shapeId="0" xr:uid="{00000000-0006-0000-0000-000070000000}">
      <text>
        <r>
          <rPr>
            <b/>
            <sz val="9"/>
            <color indexed="81"/>
            <rFont val="Tahoma"/>
            <family val="2"/>
          </rPr>
          <t>Quach, Pauline:</t>
        </r>
        <r>
          <rPr>
            <sz val="9"/>
            <color indexed="81"/>
            <rFont val="Tahoma"/>
            <family val="2"/>
          </rPr>
          <t xml:space="preserve">
Baseline based on those analyzed</t>
        </r>
      </text>
    </comment>
    <comment ref="BC107" authorId="2" shapeId="0" xr:uid="{00000000-0006-0000-0000-000071000000}">
      <text>
        <r>
          <rPr>
            <b/>
            <sz val="9"/>
            <color indexed="81"/>
            <rFont val="Tahoma"/>
            <family val="2"/>
          </rPr>
          <t>Quach, Pauline:</t>
        </r>
        <r>
          <rPr>
            <sz val="9"/>
            <color indexed="81"/>
            <rFont val="Tahoma"/>
            <family val="2"/>
          </rPr>
          <t xml:space="preserve">
calculated</t>
        </r>
      </text>
    </comment>
    <comment ref="BP107" authorId="2" shapeId="0" xr:uid="{00000000-0006-0000-0000-000072000000}">
      <text>
        <r>
          <rPr>
            <b/>
            <sz val="9"/>
            <color indexed="81"/>
            <rFont val="Tahoma"/>
            <family val="2"/>
          </rPr>
          <t>Quach, Pauline:</t>
        </r>
        <r>
          <rPr>
            <sz val="9"/>
            <color indexed="81"/>
            <rFont val="Tahoma"/>
            <family val="2"/>
          </rPr>
          <t xml:space="preserve">
calculated</t>
        </r>
      </text>
    </comment>
    <comment ref="BC108" authorId="2" shapeId="0" xr:uid="{00000000-0006-0000-0000-000073000000}">
      <text>
        <r>
          <rPr>
            <b/>
            <sz val="9"/>
            <color indexed="81"/>
            <rFont val="Tahoma"/>
            <family val="2"/>
          </rPr>
          <t>Quach, Pauline:</t>
        </r>
        <r>
          <rPr>
            <sz val="9"/>
            <color indexed="81"/>
            <rFont val="Tahoma"/>
            <family val="2"/>
          </rPr>
          <t xml:space="preserve">
calculated</t>
        </r>
      </text>
    </comment>
    <comment ref="BP108" authorId="2" shapeId="0" xr:uid="{00000000-0006-0000-0000-000074000000}">
      <text>
        <r>
          <rPr>
            <b/>
            <sz val="9"/>
            <color indexed="81"/>
            <rFont val="Tahoma"/>
            <family val="2"/>
          </rPr>
          <t>Quach, Pauline:</t>
        </r>
        <r>
          <rPr>
            <sz val="9"/>
            <color indexed="81"/>
            <rFont val="Tahoma"/>
            <family val="2"/>
          </rPr>
          <t xml:space="preserve">
calculated</t>
        </r>
      </text>
    </comment>
    <comment ref="BE109" authorId="1" shapeId="0" xr:uid="{00000000-0006-0000-0000-000075000000}">
      <text>
        <r>
          <rPr>
            <b/>
            <sz val="9"/>
            <color indexed="81"/>
            <rFont val="Calibri"/>
            <family val="2"/>
          </rPr>
          <t>Kristin Danko:</t>
        </r>
        <r>
          <rPr>
            <sz val="9"/>
            <color indexed="81"/>
            <rFont val="Calibri"/>
            <family val="2"/>
          </rPr>
          <t xml:space="preserve">
From plot digitizer (consistent with baseline)
KS: I got 0.1985 from plot digitizer</t>
        </r>
      </text>
    </comment>
    <comment ref="BR109" authorId="1" shapeId="0" xr:uid="{00000000-0006-0000-0000-000076000000}">
      <text>
        <r>
          <rPr>
            <b/>
            <sz val="9"/>
            <color indexed="81"/>
            <rFont val="Calibri"/>
            <family val="2"/>
          </rPr>
          <t>Kristin Danko:</t>
        </r>
        <r>
          <rPr>
            <sz val="9"/>
            <color indexed="81"/>
            <rFont val="Calibri"/>
            <family val="2"/>
          </rPr>
          <t xml:space="preserve">
From plot digitizer (consistent with baseline)</t>
        </r>
      </text>
    </comment>
    <comment ref="U110" authorId="2" shapeId="0" xr:uid="{00000000-0006-0000-0000-000077000000}">
      <text>
        <r>
          <rPr>
            <b/>
            <sz val="9"/>
            <color indexed="81"/>
            <rFont val="Tahoma"/>
            <family val="2"/>
          </rPr>
          <t>Quach, Pauline:</t>
        </r>
        <r>
          <rPr>
            <sz val="9"/>
            <color indexed="81"/>
            <rFont val="Tahoma"/>
            <family val="2"/>
          </rPr>
          <t xml:space="preserve">
Based on those analyzed</t>
        </r>
      </text>
    </comment>
    <comment ref="V110" authorId="2" shapeId="0" xr:uid="{00000000-0006-0000-0000-000078000000}">
      <text>
        <r>
          <rPr>
            <b/>
            <sz val="9"/>
            <color indexed="81"/>
            <rFont val="Tahoma"/>
            <family val="2"/>
          </rPr>
          <t>Quach, Pauline:</t>
        </r>
        <r>
          <rPr>
            <sz val="9"/>
            <color indexed="81"/>
            <rFont val="Tahoma"/>
            <family val="2"/>
          </rPr>
          <t xml:space="preserve">
Based on those analyzed</t>
        </r>
      </text>
    </comment>
    <comment ref="BC110" authorId="2" shapeId="0" xr:uid="{00000000-0006-0000-0000-000079000000}">
      <text>
        <r>
          <rPr>
            <b/>
            <sz val="9"/>
            <color indexed="81"/>
            <rFont val="Tahoma"/>
            <family val="2"/>
          </rPr>
          <t>Quach, Pauline:</t>
        </r>
        <r>
          <rPr>
            <sz val="9"/>
            <color indexed="81"/>
            <rFont val="Tahoma"/>
            <family val="2"/>
          </rPr>
          <t xml:space="preserve">
calculated</t>
        </r>
      </text>
    </comment>
    <comment ref="BP110" authorId="2" shapeId="0" xr:uid="{00000000-0006-0000-0000-00007A000000}">
      <text>
        <r>
          <rPr>
            <b/>
            <sz val="9"/>
            <color indexed="81"/>
            <rFont val="Tahoma"/>
            <family val="2"/>
          </rPr>
          <t>Quach, Pauline:</t>
        </r>
        <r>
          <rPr>
            <sz val="9"/>
            <color indexed="81"/>
            <rFont val="Tahoma"/>
            <family val="2"/>
          </rPr>
          <t xml:space="preserve">
calculated</t>
        </r>
      </text>
    </comment>
    <comment ref="A111" authorId="5" shapeId="0" xr:uid="{00000000-0006-0000-0000-00007B000000}">
      <text>
        <r>
          <rPr>
            <b/>
            <sz val="8"/>
            <color indexed="81"/>
            <rFont val="Tahoma"/>
            <family val="2"/>
          </rPr>
          <t>Natasha Krahn:</t>
        </r>
        <r>
          <rPr>
            <sz val="8"/>
            <color indexed="81"/>
            <rFont val="Tahoma"/>
            <family val="2"/>
          </rPr>
          <t xml:space="preserve">
Study 1</t>
        </r>
      </text>
    </comment>
    <comment ref="U112" authorId="6" shapeId="0" xr:uid="{00000000-0006-0000-0000-00007C000000}">
      <text>
        <r>
          <rPr>
            <b/>
            <sz val="9"/>
            <color indexed="81"/>
            <rFont val="Tahoma"/>
            <family val="2"/>
          </rPr>
          <t>pauline.quach:</t>
        </r>
        <r>
          <rPr>
            <sz val="9"/>
            <color indexed="81"/>
            <rFont val="Tahoma"/>
            <family val="2"/>
          </rPr>
          <t xml:space="preserve">
based on those analyzed</t>
        </r>
      </text>
    </comment>
    <comment ref="V112" authorId="6" shapeId="0" xr:uid="{00000000-0006-0000-0000-00007D000000}">
      <text>
        <r>
          <rPr>
            <b/>
            <sz val="9"/>
            <color indexed="81"/>
            <rFont val="Tahoma"/>
            <family val="2"/>
          </rPr>
          <t>pauline.quach:</t>
        </r>
        <r>
          <rPr>
            <sz val="9"/>
            <color indexed="81"/>
            <rFont val="Tahoma"/>
            <family val="2"/>
          </rPr>
          <t xml:space="preserve">
based on those analyzed</t>
        </r>
      </text>
    </comment>
    <comment ref="BC112" authorId="6" shapeId="0" xr:uid="{00000000-0006-0000-0000-00007E000000}">
      <text>
        <r>
          <rPr>
            <b/>
            <sz val="9"/>
            <color indexed="81"/>
            <rFont val="Tahoma"/>
            <family val="2"/>
          </rPr>
          <t>pauline.quach:</t>
        </r>
        <r>
          <rPr>
            <sz val="9"/>
            <color indexed="81"/>
            <rFont val="Tahoma"/>
            <family val="2"/>
          </rPr>
          <t xml:space="preserve">
calculated</t>
        </r>
      </text>
    </comment>
    <comment ref="BP112" authorId="6" shapeId="0" xr:uid="{00000000-0006-0000-0000-00007F000000}">
      <text>
        <r>
          <rPr>
            <b/>
            <sz val="9"/>
            <color indexed="81"/>
            <rFont val="Tahoma"/>
            <family val="2"/>
          </rPr>
          <t>pauline.quach:</t>
        </r>
        <r>
          <rPr>
            <sz val="9"/>
            <color indexed="81"/>
            <rFont val="Tahoma"/>
            <family val="2"/>
          </rPr>
          <t xml:space="preserve">
calculated</t>
        </r>
      </text>
    </comment>
    <comment ref="Y113" authorId="1" shapeId="0" xr:uid="{00000000-0006-0000-0000-000080000000}">
      <text>
        <r>
          <rPr>
            <b/>
            <sz val="9"/>
            <color indexed="81"/>
            <rFont val="Verdana"/>
            <family val="2"/>
          </rPr>
          <t>Kristin Danko:</t>
        </r>
        <r>
          <rPr>
            <sz val="9"/>
            <color indexed="81"/>
            <rFont val="Verdana"/>
            <family val="2"/>
          </rPr>
          <t xml:space="preserve">
median</t>
        </r>
      </text>
    </comment>
    <comment ref="Z113" authorId="1" shapeId="0" xr:uid="{00000000-0006-0000-0000-000081000000}">
      <text>
        <r>
          <rPr>
            <b/>
            <sz val="9"/>
            <color indexed="81"/>
            <rFont val="Verdana"/>
            <family val="2"/>
          </rPr>
          <t>Kristin Danko:</t>
        </r>
        <r>
          <rPr>
            <sz val="9"/>
            <color indexed="81"/>
            <rFont val="Verdana"/>
            <family val="2"/>
          </rPr>
          <t xml:space="preserve">
calculated from IQR (IQR diff/1.35) from Cochrane</t>
        </r>
      </text>
    </comment>
    <comment ref="AD113" authorId="1" shapeId="0" xr:uid="{00000000-0006-0000-0000-000082000000}">
      <text>
        <r>
          <rPr>
            <b/>
            <sz val="9"/>
            <color indexed="81"/>
            <rFont val="Verdana"/>
            <family val="2"/>
          </rPr>
          <t>Kristin Danko:</t>
        </r>
        <r>
          <rPr>
            <sz val="9"/>
            <color indexed="81"/>
            <rFont val="Verdana"/>
            <family val="2"/>
          </rPr>
          <t xml:space="preserve">
median
</t>
        </r>
      </text>
    </comment>
    <comment ref="AE113" authorId="1" shapeId="0" xr:uid="{00000000-0006-0000-0000-000083000000}">
      <text>
        <r>
          <rPr>
            <b/>
            <sz val="9"/>
            <color indexed="81"/>
            <rFont val="Verdana"/>
            <family val="2"/>
          </rPr>
          <t>Kristin Danko:</t>
        </r>
        <r>
          <rPr>
            <sz val="9"/>
            <color indexed="81"/>
            <rFont val="Verdana"/>
            <family val="2"/>
          </rPr>
          <t xml:space="preserve">
calculated from IQR (IQR diff/1.35) from Cochrane</t>
        </r>
      </text>
    </comment>
    <comment ref="BC113" authorId="2" shapeId="0" xr:uid="{00000000-0006-0000-0000-000084000000}">
      <text>
        <r>
          <rPr>
            <b/>
            <sz val="9"/>
            <color indexed="81"/>
            <rFont val="Tahoma"/>
            <family val="2"/>
          </rPr>
          <t>Quach, Pauline:</t>
        </r>
        <r>
          <rPr>
            <sz val="9"/>
            <color indexed="81"/>
            <rFont val="Tahoma"/>
            <family val="2"/>
          </rPr>
          <t xml:space="preserve">
calculated</t>
        </r>
      </text>
    </comment>
    <comment ref="BP113" authorId="2" shapeId="0" xr:uid="{00000000-0006-0000-0000-000085000000}">
      <text>
        <r>
          <rPr>
            <b/>
            <sz val="9"/>
            <color indexed="81"/>
            <rFont val="Tahoma"/>
            <family val="2"/>
          </rPr>
          <t>Quach, Pauline:</t>
        </r>
        <r>
          <rPr>
            <sz val="9"/>
            <color indexed="81"/>
            <rFont val="Tahoma"/>
            <family val="2"/>
          </rPr>
          <t xml:space="preserve">
calculated</t>
        </r>
      </text>
    </comment>
    <comment ref="BC114" authorId="2" shapeId="0" xr:uid="{00000000-0006-0000-0000-000086000000}">
      <text>
        <r>
          <rPr>
            <b/>
            <sz val="9"/>
            <color indexed="81"/>
            <rFont val="Tahoma"/>
            <family val="2"/>
          </rPr>
          <t>Quach, Pauline:</t>
        </r>
        <r>
          <rPr>
            <sz val="9"/>
            <color indexed="81"/>
            <rFont val="Tahoma"/>
            <family val="2"/>
          </rPr>
          <t xml:space="preserve">
adjusting for baseline HbA1c</t>
        </r>
      </text>
    </comment>
    <comment ref="BP114" authorId="2" shapeId="0" xr:uid="{00000000-0006-0000-0000-000087000000}">
      <text>
        <r>
          <rPr>
            <b/>
            <sz val="9"/>
            <color indexed="81"/>
            <rFont val="Tahoma"/>
            <family val="2"/>
          </rPr>
          <t>Quach, Pauline:</t>
        </r>
        <r>
          <rPr>
            <sz val="9"/>
            <color indexed="81"/>
            <rFont val="Tahoma"/>
            <family val="2"/>
          </rPr>
          <t xml:space="preserve">
Adjusted for baseline HbA1c</t>
        </r>
      </text>
    </comment>
    <comment ref="BC115" authorId="2" shapeId="0" xr:uid="{00000000-0006-0000-0000-000088000000}">
      <text>
        <r>
          <rPr>
            <b/>
            <sz val="9"/>
            <color indexed="81"/>
            <rFont val="Tahoma"/>
            <family val="2"/>
          </rPr>
          <t xml:space="preserve">Quach, Pauline:
</t>
        </r>
        <r>
          <rPr>
            <sz val="9"/>
            <color indexed="81"/>
            <rFont val="Tahoma"/>
            <family val="2"/>
          </rPr>
          <t>Adjusted for age, gender, education level, and baseline values of HbA1c</t>
        </r>
      </text>
    </comment>
    <comment ref="BP115" authorId="2" shapeId="0" xr:uid="{00000000-0006-0000-0000-000089000000}">
      <text>
        <r>
          <rPr>
            <b/>
            <sz val="9"/>
            <color indexed="81"/>
            <rFont val="Tahoma"/>
            <family val="2"/>
          </rPr>
          <t>Quach, Pauline:</t>
        </r>
        <r>
          <rPr>
            <sz val="9"/>
            <color indexed="81"/>
            <rFont val="Tahoma"/>
            <family val="2"/>
          </rPr>
          <t xml:space="preserve">
Adjusted for age, gender, education level, and baseline values of HbA1c</t>
        </r>
      </text>
    </comment>
    <comment ref="U116" authorId="1" shapeId="0" xr:uid="{00000000-0006-0000-0000-00008A000000}">
      <text>
        <r>
          <rPr>
            <b/>
            <sz val="9"/>
            <color indexed="81"/>
            <rFont val="Verdana"/>
            <family val="2"/>
          </rPr>
          <t>Kristin Danko:</t>
        </r>
        <r>
          <rPr>
            <sz val="9"/>
            <color indexed="81"/>
            <rFont val="Verdana"/>
            <family val="2"/>
          </rPr>
          <t xml:space="preserve">
readjusted as per Figure in text</t>
        </r>
      </text>
    </comment>
    <comment ref="BC117" authorId="2" shapeId="0" xr:uid="{00000000-0006-0000-0000-00008B000000}">
      <text>
        <r>
          <rPr>
            <b/>
            <sz val="9"/>
            <color indexed="81"/>
            <rFont val="Tahoma"/>
            <family val="2"/>
          </rPr>
          <t>Quach, Pauline:</t>
        </r>
        <r>
          <rPr>
            <sz val="9"/>
            <color indexed="81"/>
            <rFont val="Tahoma"/>
            <family val="2"/>
          </rPr>
          <t xml:space="preserve">
calculated</t>
        </r>
      </text>
    </comment>
    <comment ref="BP117" authorId="2" shapeId="0" xr:uid="{00000000-0006-0000-0000-00008C000000}">
      <text>
        <r>
          <rPr>
            <b/>
            <sz val="9"/>
            <color indexed="81"/>
            <rFont val="Tahoma"/>
            <family val="2"/>
          </rPr>
          <t>Quach, Pauline:</t>
        </r>
        <r>
          <rPr>
            <sz val="9"/>
            <color indexed="81"/>
            <rFont val="Tahoma"/>
            <family val="2"/>
          </rPr>
          <t xml:space="preserve">
calculated</t>
        </r>
      </text>
    </comment>
    <comment ref="CC117" authorId="2" shapeId="0" xr:uid="{00000000-0006-0000-0000-00008D000000}">
      <text>
        <r>
          <rPr>
            <b/>
            <sz val="9"/>
            <color indexed="81"/>
            <rFont val="Tahoma"/>
            <family val="2"/>
          </rPr>
          <t>Quach, Pauline:</t>
        </r>
        <r>
          <rPr>
            <sz val="9"/>
            <color indexed="81"/>
            <rFont val="Tahoma"/>
            <family val="2"/>
          </rPr>
          <t xml:space="preserve">
calculated</t>
        </r>
      </text>
    </comment>
    <comment ref="BC119" authorId="2" shapeId="0" xr:uid="{00000000-0006-0000-0000-00008E000000}">
      <text>
        <r>
          <rPr>
            <b/>
            <sz val="9"/>
            <color indexed="81"/>
            <rFont val="Tahoma"/>
            <family val="2"/>
          </rPr>
          <t>Quach, Pauline:</t>
        </r>
        <r>
          <rPr>
            <sz val="9"/>
            <color indexed="81"/>
            <rFont val="Tahoma"/>
            <family val="2"/>
          </rPr>
          <t xml:space="preserve">
calculated</t>
        </r>
      </text>
    </comment>
    <comment ref="BP119" authorId="2" shapeId="0" xr:uid="{00000000-0006-0000-0000-00008F000000}">
      <text>
        <r>
          <rPr>
            <b/>
            <sz val="9"/>
            <color indexed="81"/>
            <rFont val="Tahoma"/>
            <family val="2"/>
          </rPr>
          <t>Quach, Pauline:</t>
        </r>
        <r>
          <rPr>
            <sz val="9"/>
            <color indexed="81"/>
            <rFont val="Tahoma"/>
            <family val="2"/>
          </rPr>
          <t xml:space="preserve">
calculated</t>
        </r>
      </text>
    </comment>
    <comment ref="U120" authorId="0" shapeId="0" xr:uid="{00000000-0006-0000-0000-000090000000}">
      <text>
        <r>
          <rPr>
            <sz val="9"/>
            <color indexed="0"/>
            <rFont val="Tahoma Bold"/>
          </rPr>
          <t>Avtar Lal:</t>
        </r>
        <r>
          <rPr>
            <sz val="9"/>
            <color indexed="0"/>
            <rFont val="Helvetica Neue"/>
            <family val="2"/>
          </rPr>
          <t xml:space="preserve">
Baseline N unclear so used post-intervention N</t>
        </r>
      </text>
    </comment>
    <comment ref="V120" authorId="0" shapeId="0" xr:uid="{00000000-0006-0000-0000-000091000000}">
      <text>
        <r>
          <rPr>
            <sz val="9"/>
            <color indexed="0"/>
            <rFont val="Tahoma Bold"/>
          </rPr>
          <t>Avtar Lal:</t>
        </r>
        <r>
          <rPr>
            <sz val="9"/>
            <color indexed="0"/>
            <rFont val="Helvetica Neue"/>
            <family val="2"/>
          </rPr>
          <t xml:space="preserve">
Baseline N unclear so used post-intervention N</t>
        </r>
      </text>
    </comment>
    <comment ref="BC121" authorId="2" shapeId="0" xr:uid="{00000000-0006-0000-0000-000092000000}">
      <text>
        <r>
          <rPr>
            <b/>
            <sz val="9"/>
            <color indexed="81"/>
            <rFont val="Tahoma"/>
            <family val="2"/>
          </rPr>
          <t>Quach, Pauline:</t>
        </r>
        <r>
          <rPr>
            <sz val="9"/>
            <color indexed="81"/>
            <rFont val="Tahoma"/>
            <family val="2"/>
          </rPr>
          <t xml:space="preserve">
unadjusted</t>
        </r>
      </text>
    </comment>
    <comment ref="BP121" authorId="2" shapeId="0" xr:uid="{00000000-0006-0000-0000-000093000000}">
      <text>
        <r>
          <rPr>
            <b/>
            <sz val="9"/>
            <color indexed="81"/>
            <rFont val="Tahoma"/>
            <family val="2"/>
          </rPr>
          <t>Quach, Pauline:</t>
        </r>
        <r>
          <rPr>
            <sz val="9"/>
            <color indexed="81"/>
            <rFont val="Tahoma"/>
            <family val="2"/>
          </rPr>
          <t xml:space="preserve">
unadjusted</t>
        </r>
      </text>
    </comment>
    <comment ref="BC122" authorId="2" shapeId="0" xr:uid="{00000000-0006-0000-0000-000094000000}">
      <text>
        <r>
          <rPr>
            <b/>
            <sz val="9"/>
            <color indexed="81"/>
            <rFont val="Tahoma"/>
            <family val="2"/>
          </rPr>
          <t>Quach, Pauline:</t>
        </r>
        <r>
          <rPr>
            <sz val="9"/>
            <color indexed="81"/>
            <rFont val="Tahoma"/>
            <family val="2"/>
          </rPr>
          <t xml:space="preserve">
calculated</t>
        </r>
      </text>
    </comment>
    <comment ref="BP122" authorId="2" shapeId="0" xr:uid="{00000000-0006-0000-0000-000095000000}">
      <text>
        <r>
          <rPr>
            <b/>
            <sz val="9"/>
            <color indexed="81"/>
            <rFont val="Tahoma"/>
            <family val="2"/>
          </rPr>
          <t>Quach, Pauline:</t>
        </r>
        <r>
          <rPr>
            <sz val="9"/>
            <color indexed="81"/>
            <rFont val="Tahoma"/>
            <family val="2"/>
          </rPr>
          <t xml:space="preserve">
calculated</t>
        </r>
      </text>
    </comment>
    <comment ref="U123" authorId="2" shapeId="0" xr:uid="{00000000-0006-0000-0000-000096000000}">
      <text>
        <r>
          <rPr>
            <b/>
            <sz val="9"/>
            <color indexed="81"/>
            <rFont val="Tahoma"/>
            <family val="2"/>
          </rPr>
          <t>Quach, Pauline:</t>
        </r>
        <r>
          <rPr>
            <sz val="9"/>
            <color indexed="81"/>
            <rFont val="Tahoma"/>
            <family val="2"/>
          </rPr>
          <t xml:space="preserve">
Based on those analyzed</t>
        </r>
      </text>
    </comment>
    <comment ref="V123" authorId="2" shapeId="0" xr:uid="{00000000-0006-0000-0000-000097000000}">
      <text>
        <r>
          <rPr>
            <b/>
            <sz val="9"/>
            <color indexed="81"/>
            <rFont val="Tahoma"/>
            <family val="2"/>
          </rPr>
          <t>Quach, Pauline:</t>
        </r>
        <r>
          <rPr>
            <sz val="9"/>
            <color indexed="81"/>
            <rFont val="Tahoma"/>
            <family val="2"/>
          </rPr>
          <t xml:space="preserve">
Based on those analyzed</t>
        </r>
      </text>
    </comment>
    <comment ref="BC124" authorId="2" shapeId="0" xr:uid="{00000000-0006-0000-0000-000098000000}">
      <text>
        <r>
          <rPr>
            <b/>
            <sz val="9"/>
            <color indexed="81"/>
            <rFont val="Tahoma"/>
            <family val="2"/>
          </rPr>
          <t>Quach, Pauline:</t>
        </r>
        <r>
          <rPr>
            <sz val="9"/>
            <color indexed="81"/>
            <rFont val="Tahoma"/>
            <family val="2"/>
          </rPr>
          <t xml:space="preserve">
calculated</t>
        </r>
      </text>
    </comment>
    <comment ref="BP124" authorId="2" shapeId="0" xr:uid="{00000000-0006-0000-0000-000099000000}">
      <text>
        <r>
          <rPr>
            <b/>
            <sz val="9"/>
            <color indexed="81"/>
            <rFont val="Tahoma"/>
            <family val="2"/>
          </rPr>
          <t>Quach, Pauline:</t>
        </r>
        <r>
          <rPr>
            <sz val="9"/>
            <color indexed="81"/>
            <rFont val="Tahoma"/>
            <family val="2"/>
          </rPr>
          <t xml:space="preserve">
calculated</t>
        </r>
      </text>
    </comment>
    <comment ref="BV125" authorId="6" shapeId="0" xr:uid="{00000000-0006-0000-0000-00009A000000}">
      <text>
        <r>
          <rPr>
            <b/>
            <sz val="9"/>
            <color indexed="81"/>
            <rFont val="Tahoma"/>
            <family val="2"/>
          </rPr>
          <t>pauline.quach:</t>
        </r>
        <r>
          <rPr>
            <sz val="9"/>
            <color indexed="81"/>
            <rFont val="Tahoma"/>
            <family val="2"/>
          </rPr>
          <t xml:space="preserve">
95% CI- 7.44-7.84</t>
        </r>
      </text>
    </comment>
    <comment ref="U127" authorId="2" shapeId="0" xr:uid="{00000000-0006-0000-0000-00009B000000}">
      <text>
        <r>
          <rPr>
            <b/>
            <sz val="9"/>
            <color indexed="81"/>
            <rFont val="Tahoma"/>
            <family val="2"/>
          </rPr>
          <t>Quach, Pauline:</t>
        </r>
        <r>
          <rPr>
            <sz val="9"/>
            <color indexed="81"/>
            <rFont val="Tahoma"/>
            <family val="2"/>
          </rPr>
          <t xml:space="preserve">
based on those analyzed</t>
        </r>
      </text>
    </comment>
    <comment ref="V127" authorId="2" shapeId="0" xr:uid="{00000000-0006-0000-0000-00009C000000}">
      <text>
        <r>
          <rPr>
            <b/>
            <sz val="9"/>
            <color indexed="81"/>
            <rFont val="Tahoma"/>
            <family val="2"/>
          </rPr>
          <t>Quach, Pauline:</t>
        </r>
        <r>
          <rPr>
            <sz val="9"/>
            <color indexed="81"/>
            <rFont val="Tahoma"/>
            <family val="2"/>
          </rPr>
          <t xml:space="preserve">
based on those analyzed</t>
        </r>
      </text>
    </comment>
    <comment ref="BC127" authorId="2" shapeId="0" xr:uid="{00000000-0006-0000-0000-00009D000000}">
      <text>
        <r>
          <rPr>
            <b/>
            <sz val="9"/>
            <color indexed="81"/>
            <rFont val="Tahoma"/>
            <family val="2"/>
          </rPr>
          <t>Quach, Pauline:</t>
        </r>
        <r>
          <rPr>
            <sz val="9"/>
            <color indexed="81"/>
            <rFont val="Tahoma"/>
            <family val="2"/>
          </rPr>
          <t xml:space="preserve">
calculated</t>
        </r>
      </text>
    </comment>
    <comment ref="BP127" authorId="2" shapeId="0" xr:uid="{00000000-0006-0000-0000-00009E000000}">
      <text>
        <r>
          <rPr>
            <b/>
            <sz val="9"/>
            <color indexed="81"/>
            <rFont val="Tahoma"/>
            <family val="2"/>
          </rPr>
          <t>Quach, Pauline:</t>
        </r>
        <r>
          <rPr>
            <sz val="9"/>
            <color indexed="81"/>
            <rFont val="Tahoma"/>
            <family val="2"/>
          </rPr>
          <t xml:space="preserve">
calculated</t>
        </r>
      </text>
    </comment>
    <comment ref="BC128" authorId="2" shapeId="0" xr:uid="{00000000-0006-0000-0000-00009F000000}">
      <text>
        <r>
          <rPr>
            <b/>
            <sz val="9"/>
            <color indexed="81"/>
            <rFont val="Tahoma"/>
            <family val="2"/>
          </rPr>
          <t>Quach, Pauline:</t>
        </r>
        <r>
          <rPr>
            <sz val="9"/>
            <color indexed="81"/>
            <rFont val="Tahoma"/>
            <family val="2"/>
          </rPr>
          <t xml:space="preserve">
calculated</t>
        </r>
      </text>
    </comment>
    <comment ref="BP128" authorId="2" shapeId="0" xr:uid="{00000000-0006-0000-0000-0000A0000000}">
      <text>
        <r>
          <rPr>
            <b/>
            <sz val="9"/>
            <color indexed="81"/>
            <rFont val="Tahoma"/>
            <family val="2"/>
          </rPr>
          <t>Quach, Pauline:</t>
        </r>
        <r>
          <rPr>
            <sz val="9"/>
            <color indexed="81"/>
            <rFont val="Tahoma"/>
            <family val="2"/>
          </rPr>
          <t xml:space="preserve">
calculated</t>
        </r>
      </text>
    </comment>
    <comment ref="DC128" authorId="7" shapeId="0" xr:uid="{00000000-0006-0000-0000-0000A1000000}">
      <text>
        <r>
          <rPr>
            <b/>
            <sz val="9"/>
            <color indexed="81"/>
            <rFont val="Verdana"/>
            <family val="2"/>
          </rPr>
          <t>Andrea Tricco:</t>
        </r>
        <r>
          <rPr>
            <sz val="9"/>
            <color indexed="81"/>
            <rFont val="Verdana"/>
            <family val="2"/>
          </rPr>
          <t xml:space="preserve">
mean</t>
        </r>
      </text>
    </comment>
    <comment ref="BC129" authorId="2" shapeId="0" xr:uid="{00000000-0006-0000-0000-0000A2000000}">
      <text>
        <r>
          <rPr>
            <b/>
            <sz val="9"/>
            <color indexed="81"/>
            <rFont val="Tahoma"/>
            <family val="2"/>
          </rPr>
          <t>Quach, Pauline:</t>
        </r>
        <r>
          <rPr>
            <sz val="9"/>
            <color indexed="81"/>
            <rFont val="Tahoma"/>
            <family val="2"/>
          </rPr>
          <t xml:space="preserve">
calculated</t>
        </r>
      </text>
    </comment>
    <comment ref="BP129" authorId="2" shapeId="0" xr:uid="{00000000-0006-0000-0000-0000A3000000}">
      <text>
        <r>
          <rPr>
            <b/>
            <sz val="9"/>
            <color indexed="81"/>
            <rFont val="Tahoma"/>
            <family val="2"/>
          </rPr>
          <t>Quach, Pauline:</t>
        </r>
        <r>
          <rPr>
            <sz val="9"/>
            <color indexed="81"/>
            <rFont val="Tahoma"/>
            <family val="2"/>
          </rPr>
          <t xml:space="preserve">
calculated</t>
        </r>
      </text>
    </comment>
    <comment ref="BC131" authorId="2" shapeId="0" xr:uid="{00000000-0006-0000-0000-0000A4000000}">
      <text>
        <r>
          <rPr>
            <b/>
            <sz val="9"/>
            <color indexed="81"/>
            <rFont val="Tahoma"/>
            <family val="2"/>
          </rPr>
          <t>Quach, Pauline:</t>
        </r>
        <r>
          <rPr>
            <sz val="9"/>
            <color indexed="81"/>
            <rFont val="Tahoma"/>
            <family val="2"/>
          </rPr>
          <t xml:space="preserve">
calculated</t>
        </r>
      </text>
    </comment>
    <comment ref="BP131" authorId="2" shapeId="0" xr:uid="{00000000-0006-0000-0000-0000A5000000}">
      <text>
        <r>
          <rPr>
            <b/>
            <sz val="9"/>
            <color indexed="81"/>
            <rFont val="Tahoma"/>
            <family val="2"/>
          </rPr>
          <t>Quach, Pauline:</t>
        </r>
        <r>
          <rPr>
            <sz val="9"/>
            <color indexed="81"/>
            <rFont val="Tahoma"/>
            <family val="2"/>
          </rPr>
          <t xml:space="preserve">
calculated</t>
        </r>
      </text>
    </comment>
    <comment ref="U133" authorId="4" shapeId="0" xr:uid="{00000000-0006-0000-0000-0000A6000000}">
      <text>
        <r>
          <rPr>
            <b/>
            <sz val="8"/>
            <color indexed="81"/>
            <rFont val="Tahoma"/>
            <family val="2"/>
          </rPr>
          <t>kdanko:</t>
        </r>
        <r>
          <rPr>
            <sz val="8"/>
            <color indexed="81"/>
            <rFont val="Tahoma"/>
            <family val="2"/>
          </rPr>
          <t xml:space="preserve">
table 2 says total n=174 and that loss was 11% and 12% for con and tx. Doesn't add up perfectly, but this is </t>
        </r>
        <r>
          <rPr>
            <b/>
            <sz val="8"/>
            <color indexed="81"/>
            <rFont val="Tahoma"/>
            <family val="2"/>
          </rPr>
          <t>83 for Con</t>
        </r>
      </text>
    </comment>
    <comment ref="BC134" authorId="2" shapeId="0" xr:uid="{00000000-0006-0000-0000-0000A7000000}">
      <text>
        <r>
          <rPr>
            <b/>
            <sz val="9"/>
            <color indexed="81"/>
            <rFont val="Tahoma"/>
            <family val="2"/>
          </rPr>
          <t>Quach, Pauline:</t>
        </r>
        <r>
          <rPr>
            <sz val="9"/>
            <color indexed="81"/>
            <rFont val="Tahoma"/>
            <family val="2"/>
          </rPr>
          <t xml:space="preserve">
unadjusted</t>
        </r>
      </text>
    </comment>
    <comment ref="BP134" authorId="2" shapeId="0" xr:uid="{00000000-0006-0000-0000-0000A8000000}">
      <text>
        <r>
          <rPr>
            <b/>
            <sz val="9"/>
            <color indexed="81"/>
            <rFont val="Tahoma"/>
            <family val="2"/>
          </rPr>
          <t>Quach, Pauline:</t>
        </r>
        <r>
          <rPr>
            <sz val="9"/>
            <color indexed="81"/>
            <rFont val="Tahoma"/>
            <family val="2"/>
          </rPr>
          <t xml:space="preserve">
unadjusted</t>
        </r>
      </text>
    </comment>
    <comment ref="BC135" authorId="2" shapeId="0" xr:uid="{00000000-0006-0000-0000-0000A9000000}">
      <text>
        <r>
          <rPr>
            <b/>
            <sz val="9"/>
            <color indexed="81"/>
            <rFont val="Tahoma"/>
            <family val="2"/>
          </rPr>
          <t>Quach, Pauline:</t>
        </r>
        <r>
          <rPr>
            <sz val="9"/>
            <color indexed="81"/>
            <rFont val="Tahoma"/>
            <family val="2"/>
          </rPr>
          <t xml:space="preserve">
calculated</t>
        </r>
      </text>
    </comment>
    <comment ref="BP135" authorId="2" shapeId="0" xr:uid="{00000000-0006-0000-0000-0000AA000000}">
      <text>
        <r>
          <rPr>
            <b/>
            <sz val="9"/>
            <color indexed="81"/>
            <rFont val="Tahoma"/>
            <family val="2"/>
          </rPr>
          <t>Quach, Pauline:</t>
        </r>
        <r>
          <rPr>
            <sz val="9"/>
            <color indexed="81"/>
            <rFont val="Tahoma"/>
            <family val="2"/>
          </rPr>
          <t xml:space="preserve">
calculated</t>
        </r>
      </text>
    </comment>
    <comment ref="BC136" authorId="2" shapeId="0" xr:uid="{00000000-0006-0000-0000-0000AB000000}">
      <text>
        <r>
          <rPr>
            <b/>
            <sz val="9"/>
            <color indexed="81"/>
            <rFont val="Tahoma"/>
            <family val="2"/>
          </rPr>
          <t>Quach, Pauline:</t>
        </r>
        <r>
          <rPr>
            <sz val="9"/>
            <color indexed="81"/>
            <rFont val="Tahoma"/>
            <family val="2"/>
          </rPr>
          <t xml:space="preserve">
calculated</t>
        </r>
      </text>
    </comment>
    <comment ref="BP136" authorId="2" shapeId="0" xr:uid="{00000000-0006-0000-0000-0000AC000000}">
      <text>
        <r>
          <rPr>
            <b/>
            <sz val="9"/>
            <color indexed="81"/>
            <rFont val="Tahoma"/>
            <family val="2"/>
          </rPr>
          <t>Quach, Pauline:</t>
        </r>
        <r>
          <rPr>
            <sz val="9"/>
            <color indexed="81"/>
            <rFont val="Tahoma"/>
            <family val="2"/>
          </rPr>
          <t xml:space="preserve">
calculated</t>
        </r>
      </text>
    </comment>
    <comment ref="BC137" authorId="2" shapeId="0" xr:uid="{00000000-0006-0000-0000-0000AD000000}">
      <text>
        <r>
          <rPr>
            <b/>
            <sz val="9"/>
            <color indexed="81"/>
            <rFont val="Tahoma"/>
            <family val="2"/>
          </rPr>
          <t>Quach, Pauline:</t>
        </r>
        <r>
          <rPr>
            <sz val="9"/>
            <color indexed="81"/>
            <rFont val="Tahoma"/>
            <family val="2"/>
          </rPr>
          <t xml:space="preserve">
calculated</t>
        </r>
      </text>
    </comment>
    <comment ref="BP137" authorId="2" shapeId="0" xr:uid="{00000000-0006-0000-0000-0000AE000000}">
      <text>
        <r>
          <rPr>
            <b/>
            <sz val="9"/>
            <color indexed="81"/>
            <rFont val="Tahoma"/>
            <family val="2"/>
          </rPr>
          <t>Quach, Pauline:</t>
        </r>
        <r>
          <rPr>
            <sz val="9"/>
            <color indexed="81"/>
            <rFont val="Tahoma"/>
            <family val="2"/>
          </rPr>
          <t xml:space="preserve">
calculated</t>
        </r>
      </text>
    </comment>
    <comment ref="BC139" authorId="2" shapeId="0" xr:uid="{00000000-0006-0000-0000-0000AF000000}">
      <text>
        <r>
          <rPr>
            <b/>
            <sz val="9"/>
            <color indexed="81"/>
            <rFont val="Tahoma"/>
            <family val="2"/>
          </rPr>
          <t>Quach, Pauline:</t>
        </r>
        <r>
          <rPr>
            <sz val="9"/>
            <color indexed="81"/>
            <rFont val="Tahoma"/>
            <family val="2"/>
          </rPr>
          <t xml:space="preserve">
calculated</t>
        </r>
      </text>
    </comment>
    <comment ref="BP139" authorId="2" shapeId="0" xr:uid="{00000000-0006-0000-0000-0000B0000000}">
      <text>
        <r>
          <rPr>
            <b/>
            <sz val="9"/>
            <color indexed="81"/>
            <rFont val="Tahoma"/>
            <family val="2"/>
          </rPr>
          <t>Quach, Pauline:</t>
        </r>
        <r>
          <rPr>
            <sz val="9"/>
            <color indexed="81"/>
            <rFont val="Tahoma"/>
            <family val="2"/>
          </rPr>
          <t xml:space="preserve">
calculated</t>
        </r>
      </text>
    </comment>
    <comment ref="BC141" authorId="2" shapeId="0" xr:uid="{00000000-0006-0000-0000-0000B1000000}">
      <text>
        <r>
          <rPr>
            <b/>
            <sz val="9"/>
            <color indexed="81"/>
            <rFont val="Tahoma"/>
            <family val="2"/>
          </rPr>
          <t>Quach, Pauline:</t>
        </r>
        <r>
          <rPr>
            <sz val="9"/>
            <color indexed="81"/>
            <rFont val="Tahoma"/>
            <family val="2"/>
          </rPr>
          <t xml:space="preserve">
adjusted</t>
        </r>
      </text>
    </comment>
    <comment ref="BP141" authorId="2" shapeId="0" xr:uid="{00000000-0006-0000-0000-0000B2000000}">
      <text>
        <r>
          <rPr>
            <b/>
            <sz val="9"/>
            <color indexed="81"/>
            <rFont val="Tahoma"/>
            <family val="2"/>
          </rPr>
          <t>Quach, Pauline:</t>
        </r>
        <r>
          <rPr>
            <sz val="9"/>
            <color indexed="81"/>
            <rFont val="Tahoma"/>
            <family val="2"/>
          </rPr>
          <t xml:space="preserve">
adjusted</t>
        </r>
      </text>
    </comment>
    <comment ref="AY142" authorId="2" shapeId="0" xr:uid="{00000000-0006-0000-0000-0000B3000000}">
      <text>
        <r>
          <rPr>
            <b/>
            <sz val="9"/>
            <color indexed="81"/>
            <rFont val="Tahoma"/>
            <family val="2"/>
          </rPr>
          <t>Quach, Pauline:</t>
        </r>
        <r>
          <rPr>
            <sz val="9"/>
            <color indexed="81"/>
            <rFont val="Tahoma"/>
            <family val="2"/>
          </rPr>
          <t xml:space="preserve">
ITT, do not report # analyzed for outcome, so reporting baseline #s.</t>
        </r>
      </text>
    </comment>
    <comment ref="AZ142" authorId="2" shapeId="0" xr:uid="{00000000-0006-0000-0000-0000B4000000}">
      <text>
        <r>
          <rPr>
            <b/>
            <sz val="9"/>
            <color indexed="81"/>
            <rFont val="Tahoma"/>
            <family val="2"/>
          </rPr>
          <t>Quach, Pauline:</t>
        </r>
        <r>
          <rPr>
            <sz val="9"/>
            <color indexed="81"/>
            <rFont val="Tahoma"/>
            <family val="2"/>
          </rPr>
          <t xml:space="preserve">
ITT, do not report # analyzed for outcome, so reporting baseline #s.</t>
        </r>
      </text>
    </comment>
    <comment ref="BV142" authorId="2" shapeId="0" xr:uid="{00000000-0006-0000-0000-0000B5000000}">
      <text>
        <r>
          <rPr>
            <b/>
            <sz val="9"/>
            <color indexed="81"/>
            <rFont val="Tahoma"/>
            <family val="2"/>
          </rPr>
          <t>Quach, Pauline:</t>
        </r>
        <r>
          <rPr>
            <sz val="9"/>
            <color indexed="81"/>
            <rFont val="Tahoma"/>
            <family val="2"/>
          </rPr>
          <t xml:space="preserve">
95%CI - 7.36-7.92</t>
        </r>
      </text>
    </comment>
    <comment ref="B143" authorId="7" shapeId="0" xr:uid="{00000000-0006-0000-0000-0000B6000000}">
      <text>
        <r>
          <rPr>
            <b/>
            <sz val="9"/>
            <color indexed="81"/>
            <rFont val="Verdana"/>
            <family val="2"/>
          </rPr>
          <t>Andrea Tricco:</t>
        </r>
        <r>
          <rPr>
            <sz val="9"/>
            <color indexed="81"/>
            <rFont val="Verdana"/>
            <family val="2"/>
          </rPr>
          <t xml:space="preserve">
Was RefID 7493</t>
        </r>
      </text>
    </comment>
    <comment ref="AY143" authorId="4" shapeId="0" xr:uid="{00000000-0006-0000-0000-0000B7000000}">
      <text>
        <r>
          <rPr>
            <b/>
            <sz val="8"/>
            <color indexed="81"/>
            <rFont val="Tahoma"/>
            <family val="2"/>
          </rPr>
          <t>kdanko:</t>
        </r>
        <r>
          <rPr>
            <sz val="8"/>
            <color indexed="81"/>
            <rFont val="Tahoma"/>
            <family val="2"/>
          </rPr>
          <t xml:space="preserve">
should be 127</t>
        </r>
      </text>
    </comment>
    <comment ref="AZ143" authorId="4" shapeId="0" xr:uid="{00000000-0006-0000-0000-0000B8000000}">
      <text>
        <r>
          <rPr>
            <b/>
            <sz val="8"/>
            <color indexed="81"/>
            <rFont val="Tahoma"/>
            <family val="2"/>
          </rPr>
          <t>kdanko:</t>
        </r>
        <r>
          <rPr>
            <sz val="8"/>
            <color indexed="81"/>
            <rFont val="Tahoma"/>
            <family val="2"/>
          </rPr>
          <t xml:space="preserve">
should be 132</t>
        </r>
      </text>
    </comment>
    <comment ref="U144" authorId="2" shapeId="0" xr:uid="{00000000-0006-0000-0000-0000B9000000}">
      <text>
        <r>
          <rPr>
            <b/>
            <sz val="9"/>
            <color indexed="81"/>
            <rFont val="Tahoma"/>
            <family val="2"/>
          </rPr>
          <t>Quach, Pauline:</t>
        </r>
        <r>
          <rPr>
            <sz val="9"/>
            <color indexed="81"/>
            <rFont val="Tahoma"/>
            <family val="2"/>
          </rPr>
          <t xml:space="preserve">
Based on the 4mo resultfor this study, for ITT, they numbers didn't match between those randomized and those analyzed (n=463 vs n=444). Knowing, this I do not feel comfortable putting the origingal n randomized for each intervention arm here.
</t>
        </r>
      </text>
    </comment>
    <comment ref="V144" authorId="2" shapeId="0" xr:uid="{00000000-0006-0000-0000-0000BA000000}">
      <text>
        <r>
          <rPr>
            <b/>
            <sz val="9"/>
            <color indexed="81"/>
            <rFont val="Tahoma"/>
            <family val="2"/>
          </rPr>
          <t>Quach, Pauline:</t>
        </r>
        <r>
          <rPr>
            <sz val="9"/>
            <color indexed="81"/>
            <rFont val="Tahoma"/>
            <family val="2"/>
          </rPr>
          <t xml:space="preserve">
Based on the 4mo resultfor this study, for ITT, they numbers didn't match between those randomized and those analyzed (n=463 vs n=444). Knowing, this I do not feel comfortable putting the origingal n randomized for each intervention arm here.</t>
        </r>
      </text>
    </comment>
    <comment ref="W144" authorId="2" shapeId="0" xr:uid="{00000000-0006-0000-0000-0000BB000000}">
      <text>
        <r>
          <rPr>
            <b/>
            <sz val="9"/>
            <color indexed="81"/>
            <rFont val="Tahoma"/>
            <family val="2"/>
          </rPr>
          <t>Quach, Pauline:</t>
        </r>
        <r>
          <rPr>
            <sz val="9"/>
            <color indexed="81"/>
            <rFont val="Tahoma"/>
            <family val="2"/>
          </rPr>
          <t xml:space="preserve">
Based on the 4mo resultfor this study, for ITT, they numbers didn't match between those randomized and those analyzed (n=463 vs n=444). Knowing, this I do not feel comfortable putting the origingal n randomized for each intervention arm here.</t>
        </r>
      </text>
    </comment>
    <comment ref="AJ144" authorId="2" shapeId="0" xr:uid="{00000000-0006-0000-0000-0000BC000000}">
      <text>
        <r>
          <rPr>
            <b/>
            <sz val="9"/>
            <color indexed="81"/>
            <rFont val="Tahoma"/>
            <family val="2"/>
          </rPr>
          <t>Quach, Pauline:</t>
        </r>
        <r>
          <rPr>
            <sz val="9"/>
            <color indexed="81"/>
            <rFont val="Tahoma"/>
            <family val="2"/>
          </rPr>
          <t xml:space="preserve">
cannot impute since we don't know the true (n)</t>
        </r>
      </text>
    </comment>
    <comment ref="AY144" authorId="2" shapeId="0" xr:uid="{00000000-0006-0000-0000-0000BD000000}">
      <text>
        <r>
          <rPr>
            <b/>
            <sz val="9"/>
            <color indexed="81"/>
            <rFont val="Tahoma"/>
            <family val="2"/>
          </rPr>
          <t>Quach, Pauline:</t>
        </r>
        <r>
          <rPr>
            <sz val="9"/>
            <color indexed="81"/>
            <rFont val="Tahoma"/>
            <family val="2"/>
          </rPr>
          <t xml:space="preserve">
Based on the 4mo resultfor this study, for ITT, they numbers didn't match between those randomized and those analyzed (n=463 vs n=444). Knowing, this I do not feel comfortable putting the origingal n randomized for each intervention arm here.
</t>
        </r>
      </text>
    </comment>
    <comment ref="AZ144" authorId="2" shapeId="0" xr:uid="{00000000-0006-0000-0000-0000BE000000}">
      <text>
        <r>
          <rPr>
            <b/>
            <sz val="9"/>
            <color indexed="81"/>
            <rFont val="Tahoma"/>
            <family val="2"/>
          </rPr>
          <t>Quach, Pauline:</t>
        </r>
        <r>
          <rPr>
            <sz val="9"/>
            <color indexed="81"/>
            <rFont val="Tahoma"/>
            <family val="2"/>
          </rPr>
          <t xml:space="preserve">
Based on the 4mo resultfor this study, for ITT, they numbers didn't match between those randomized and those analyzed (n=463 vs n=444). Knowing, this I do not feel comfortable putting the origingal n randomized for each intervention arm here.</t>
        </r>
      </text>
    </comment>
    <comment ref="BA144" authorId="2" shapeId="0" xr:uid="{00000000-0006-0000-0000-0000BF000000}">
      <text>
        <r>
          <rPr>
            <b/>
            <sz val="9"/>
            <color indexed="81"/>
            <rFont val="Tahoma"/>
            <family val="2"/>
          </rPr>
          <t>Quach, Pauline:</t>
        </r>
        <r>
          <rPr>
            <sz val="9"/>
            <color indexed="81"/>
            <rFont val="Tahoma"/>
            <family val="2"/>
          </rPr>
          <t xml:space="preserve">
Based on the 4mo resultfor this study, for ITT, they numbers didn't match between those randomized and those analyzed (n=463 vs n=444). Knowing, this I do not feel comfortable putting the origingal n randomized for each intervention arm here.</t>
        </r>
      </text>
    </comment>
    <comment ref="CD144" authorId="2" shapeId="0" xr:uid="{00000000-0006-0000-0000-0000C0000000}">
      <text>
        <r>
          <rPr>
            <b/>
            <sz val="9"/>
            <color indexed="81"/>
            <rFont val="Tahoma"/>
            <family val="2"/>
          </rPr>
          <t>Quach, Pauline:</t>
        </r>
        <r>
          <rPr>
            <sz val="9"/>
            <color indexed="81"/>
            <rFont val="Tahoma"/>
            <family val="2"/>
          </rPr>
          <t xml:space="preserve">
cannot impute since we don't know the true (n)</t>
        </r>
      </text>
    </comment>
    <comment ref="Y145" authorId="1" shapeId="0" xr:uid="{00000000-0006-0000-0000-0000C1000000}">
      <text>
        <r>
          <rPr>
            <b/>
            <sz val="9"/>
            <color indexed="81"/>
            <rFont val="Calibri"/>
            <family val="2"/>
          </rPr>
          <t>Kristin Danko:</t>
        </r>
        <r>
          <rPr>
            <sz val="9"/>
            <color indexed="81"/>
            <rFont val="Calibri"/>
            <family val="2"/>
          </rPr>
          <t xml:space="preserve">
median</t>
        </r>
      </text>
    </comment>
    <comment ref="Z145" authorId="1" shapeId="0" xr:uid="{00000000-0006-0000-0000-0000C2000000}">
      <text>
        <r>
          <rPr>
            <b/>
            <sz val="9"/>
            <color indexed="81"/>
            <rFont val="Verdana"/>
            <family val="2"/>
          </rPr>
          <t>Kristin Danko:</t>
        </r>
        <r>
          <rPr>
            <sz val="9"/>
            <color indexed="81"/>
            <rFont val="Verdana"/>
            <family val="2"/>
          </rPr>
          <t xml:space="preserve">
calculated from IQR (IQR diff/1.35) from Cochrane</t>
        </r>
      </text>
    </comment>
    <comment ref="AC145" authorId="6" shapeId="0" xr:uid="{00000000-0006-0000-0000-0000C3000000}">
      <text>
        <r>
          <rPr>
            <b/>
            <sz val="9"/>
            <color indexed="81"/>
            <rFont val="Tahoma"/>
            <family val="2"/>
          </rPr>
          <t>pauline.quach:</t>
        </r>
        <r>
          <rPr>
            <sz val="9"/>
            <color indexed="81"/>
            <rFont val="Tahoma"/>
            <family val="2"/>
          </rPr>
          <t xml:space="preserve">
This doesn't seem right, they report one value for IQR?</t>
        </r>
      </text>
    </comment>
    <comment ref="AD145" authorId="1" shapeId="0" xr:uid="{00000000-0006-0000-0000-0000C4000000}">
      <text>
        <r>
          <rPr>
            <b/>
            <sz val="9"/>
            <color indexed="81"/>
            <rFont val="Calibri"/>
            <family val="2"/>
          </rPr>
          <t>Kristin Danko:</t>
        </r>
        <r>
          <rPr>
            <sz val="9"/>
            <color indexed="81"/>
            <rFont val="Calibri"/>
            <family val="2"/>
          </rPr>
          <t xml:space="preserve">
median</t>
        </r>
      </text>
    </comment>
    <comment ref="AE145" authorId="1" shapeId="0" xr:uid="{00000000-0006-0000-0000-0000C5000000}">
      <text>
        <r>
          <rPr>
            <b/>
            <sz val="9"/>
            <color indexed="81"/>
            <rFont val="Verdana"/>
            <family val="2"/>
          </rPr>
          <t>Kristin Danko:</t>
        </r>
        <r>
          <rPr>
            <sz val="9"/>
            <color indexed="81"/>
            <rFont val="Verdana"/>
            <family val="2"/>
          </rPr>
          <t xml:space="preserve">
calculated from IQR (IQR diff/1.35) from Cochrane</t>
        </r>
      </text>
    </comment>
    <comment ref="AH145" authorId="6" shapeId="0" xr:uid="{00000000-0006-0000-0000-0000C6000000}">
      <text>
        <r>
          <rPr>
            <b/>
            <sz val="9"/>
            <color indexed="81"/>
            <rFont val="Tahoma"/>
            <family val="2"/>
          </rPr>
          <t>pauline.quach:</t>
        </r>
        <r>
          <rPr>
            <sz val="9"/>
            <color indexed="81"/>
            <rFont val="Tahoma"/>
            <family val="2"/>
          </rPr>
          <t xml:space="preserve">
This doesn't seem right, they report one value for IQR?</t>
        </r>
      </text>
    </comment>
    <comment ref="BC145" authorId="1" shapeId="0" xr:uid="{00000000-0006-0000-0000-0000C7000000}">
      <text>
        <r>
          <rPr>
            <b/>
            <sz val="9"/>
            <color indexed="81"/>
            <rFont val="Calibri"/>
            <family val="2"/>
          </rPr>
          <t>Kristin Danko:</t>
        </r>
        <r>
          <rPr>
            <sz val="9"/>
            <color indexed="81"/>
            <rFont val="Calibri"/>
            <family val="2"/>
          </rPr>
          <t xml:space="preserve">
calculatd from baseline median minus model based change values (Table 2)
</t>
        </r>
      </text>
    </comment>
    <comment ref="BH145" authorId="6" shapeId="0" xr:uid="{00000000-0006-0000-0000-0000C8000000}">
      <text>
        <r>
          <rPr>
            <b/>
            <sz val="9"/>
            <color indexed="81"/>
            <rFont val="Tahoma"/>
            <family val="2"/>
          </rPr>
          <t>pauline.quach:</t>
        </r>
        <r>
          <rPr>
            <sz val="9"/>
            <color indexed="81"/>
            <rFont val="Tahoma"/>
            <family val="2"/>
          </rPr>
          <t xml:space="preserve">
calculated</t>
        </r>
      </text>
    </comment>
    <comment ref="BJ145" authorId="6" shapeId="0" xr:uid="{00000000-0006-0000-0000-0000C9000000}">
      <text>
        <r>
          <rPr>
            <b/>
            <sz val="9"/>
            <color indexed="81"/>
            <rFont val="Tahoma"/>
            <family val="2"/>
          </rPr>
          <t>pauline.quach:</t>
        </r>
        <r>
          <rPr>
            <sz val="9"/>
            <color indexed="81"/>
            <rFont val="Tahoma"/>
            <family val="2"/>
          </rPr>
          <t xml:space="preserve">
median</t>
        </r>
      </text>
    </comment>
    <comment ref="BP145" authorId="1" shapeId="0" xr:uid="{00000000-0006-0000-0000-0000CA000000}">
      <text>
        <r>
          <rPr>
            <b/>
            <sz val="9"/>
            <color indexed="81"/>
            <rFont val="Calibri"/>
            <family val="2"/>
          </rPr>
          <t>Kristin Danko:</t>
        </r>
        <r>
          <rPr>
            <sz val="9"/>
            <color indexed="81"/>
            <rFont val="Calibri"/>
            <family val="2"/>
          </rPr>
          <t xml:space="preserve">
calculatd from baseline median minus model based change values (Table 2)
</t>
        </r>
      </text>
    </comment>
    <comment ref="BU145" authorId="6" shapeId="0" xr:uid="{00000000-0006-0000-0000-0000CB000000}">
      <text>
        <r>
          <rPr>
            <b/>
            <sz val="9"/>
            <color indexed="81"/>
            <rFont val="Tahoma"/>
            <family val="2"/>
          </rPr>
          <t>pauline.quach:</t>
        </r>
        <r>
          <rPr>
            <sz val="9"/>
            <color indexed="81"/>
            <rFont val="Tahoma"/>
            <family val="2"/>
          </rPr>
          <t xml:space="preserve">
calculated</t>
        </r>
      </text>
    </comment>
    <comment ref="BW145" authorId="6" shapeId="0" xr:uid="{00000000-0006-0000-0000-0000CC000000}">
      <text>
        <r>
          <rPr>
            <b/>
            <sz val="9"/>
            <color indexed="81"/>
            <rFont val="Tahoma"/>
            <family val="2"/>
          </rPr>
          <t>pauline.quach:</t>
        </r>
        <r>
          <rPr>
            <sz val="9"/>
            <color indexed="81"/>
            <rFont val="Tahoma"/>
            <family val="2"/>
          </rPr>
          <t xml:space="preserve">
MEDIAN</t>
        </r>
      </text>
    </comment>
    <comment ref="BC146" authorId="2" shapeId="0" xr:uid="{00000000-0006-0000-0000-0000CD000000}">
      <text>
        <r>
          <rPr>
            <b/>
            <sz val="9"/>
            <color indexed="81"/>
            <rFont val="Tahoma"/>
            <family val="2"/>
          </rPr>
          <t>Quach, Pauline:</t>
        </r>
        <r>
          <rPr>
            <sz val="9"/>
            <color indexed="81"/>
            <rFont val="Tahoma"/>
            <family val="2"/>
          </rPr>
          <t xml:space="preserve">
calculated</t>
        </r>
      </text>
    </comment>
    <comment ref="BP146" authorId="2" shapeId="0" xr:uid="{00000000-0006-0000-0000-0000CE000000}">
      <text>
        <r>
          <rPr>
            <b/>
            <sz val="9"/>
            <color indexed="81"/>
            <rFont val="Tahoma"/>
            <family val="2"/>
          </rPr>
          <t>Quach, Pauline:</t>
        </r>
        <r>
          <rPr>
            <sz val="9"/>
            <color indexed="81"/>
            <rFont val="Tahoma"/>
            <family val="2"/>
          </rPr>
          <t xml:space="preserve">
calculated</t>
        </r>
      </text>
    </comment>
    <comment ref="BC149" authorId="2" shapeId="0" xr:uid="{00000000-0006-0000-0000-0000CF000000}">
      <text>
        <r>
          <rPr>
            <b/>
            <sz val="9"/>
            <color indexed="81"/>
            <rFont val="Tahoma"/>
            <family val="2"/>
          </rPr>
          <t>Quach, Pauline:</t>
        </r>
        <r>
          <rPr>
            <sz val="9"/>
            <color indexed="81"/>
            <rFont val="Tahoma"/>
            <family val="2"/>
          </rPr>
          <t xml:space="preserve">
calculated</t>
        </r>
      </text>
    </comment>
    <comment ref="BP149" authorId="2" shapeId="0" xr:uid="{00000000-0006-0000-0000-0000D0000000}">
      <text>
        <r>
          <rPr>
            <b/>
            <sz val="9"/>
            <color indexed="81"/>
            <rFont val="Tahoma"/>
            <family val="2"/>
          </rPr>
          <t>Quach, Pauline:</t>
        </r>
        <r>
          <rPr>
            <sz val="9"/>
            <color indexed="81"/>
            <rFont val="Tahoma"/>
            <family val="2"/>
          </rPr>
          <t xml:space="preserve">
calculated</t>
        </r>
      </text>
    </comment>
    <comment ref="A150" authorId="2" shapeId="0" xr:uid="{00000000-0006-0000-0000-0000D1000000}">
      <text>
        <r>
          <rPr>
            <b/>
            <sz val="9"/>
            <color indexed="81"/>
            <rFont val="Tahoma"/>
            <family val="2"/>
          </rPr>
          <t>Quach, Pauline:</t>
        </r>
        <r>
          <rPr>
            <sz val="9"/>
            <color indexed="81"/>
            <rFont val="Tahoma"/>
            <family val="2"/>
          </rPr>
          <t xml:space="preserve">
Here they do a crossover, if we want to look at the effect of the intervention w/o cross-over, we wiill take the outcomes before switching over--which they report.</t>
        </r>
      </text>
    </comment>
    <comment ref="BC151" authorId="2" shapeId="0" xr:uid="{00000000-0006-0000-0000-0000D2000000}">
      <text>
        <r>
          <rPr>
            <b/>
            <sz val="9"/>
            <color indexed="81"/>
            <rFont val="Tahoma"/>
            <family val="2"/>
          </rPr>
          <t>Quach, Pauline:</t>
        </r>
        <r>
          <rPr>
            <sz val="9"/>
            <color indexed="81"/>
            <rFont val="Tahoma"/>
            <family val="2"/>
          </rPr>
          <t xml:space="preserve">
calculated</t>
        </r>
      </text>
    </comment>
    <comment ref="BP151" authorId="2" shapeId="0" xr:uid="{00000000-0006-0000-0000-0000D3000000}">
      <text>
        <r>
          <rPr>
            <b/>
            <sz val="9"/>
            <color indexed="81"/>
            <rFont val="Tahoma"/>
            <family val="2"/>
          </rPr>
          <t>Quach, Pauline:</t>
        </r>
        <r>
          <rPr>
            <sz val="9"/>
            <color indexed="81"/>
            <rFont val="Tahoma"/>
            <family val="2"/>
          </rPr>
          <t xml:space="preserve">
calculated</t>
        </r>
      </text>
    </comment>
    <comment ref="Y153" authorId="1" shapeId="0" xr:uid="{00000000-0006-0000-0000-0000D4000000}">
      <text>
        <r>
          <rPr>
            <b/>
            <sz val="9"/>
            <color indexed="81"/>
            <rFont val="Calibri"/>
            <family val="2"/>
          </rPr>
          <t>Kristin Danko:</t>
        </r>
        <r>
          <rPr>
            <sz val="9"/>
            <color indexed="81"/>
            <rFont val="Calibri"/>
            <family val="2"/>
          </rPr>
          <t xml:space="preserve">
Median</t>
        </r>
      </text>
    </comment>
    <comment ref="Z153" authorId="1" shapeId="0" xr:uid="{00000000-0006-0000-0000-0000D5000000}">
      <text>
        <r>
          <rPr>
            <b/>
            <sz val="9"/>
            <color indexed="81"/>
            <rFont val="Verdana"/>
            <family val="2"/>
          </rPr>
          <t>Kristin Danko:</t>
        </r>
        <r>
          <rPr>
            <sz val="9"/>
            <color indexed="81"/>
            <rFont val="Verdana"/>
            <family val="2"/>
          </rPr>
          <t xml:space="preserve">
calculated from IQR (IQR diff/1.35) from Cochrane</t>
        </r>
      </text>
    </comment>
    <comment ref="AD153" authorId="1" shapeId="0" xr:uid="{00000000-0006-0000-0000-0000D6000000}">
      <text>
        <r>
          <rPr>
            <b/>
            <sz val="9"/>
            <color indexed="81"/>
            <rFont val="Calibri"/>
            <family val="2"/>
          </rPr>
          <t>Kristin Danko:</t>
        </r>
        <r>
          <rPr>
            <sz val="9"/>
            <color indexed="81"/>
            <rFont val="Calibri"/>
            <family val="2"/>
          </rPr>
          <t xml:space="preserve">
Median </t>
        </r>
      </text>
    </comment>
    <comment ref="AE153" authorId="1" shapeId="0" xr:uid="{00000000-0006-0000-0000-0000D7000000}">
      <text>
        <r>
          <rPr>
            <b/>
            <sz val="9"/>
            <color indexed="81"/>
            <rFont val="Verdana"/>
            <family val="2"/>
          </rPr>
          <t>Kristin Danko:</t>
        </r>
        <r>
          <rPr>
            <sz val="9"/>
            <color indexed="81"/>
            <rFont val="Verdana"/>
            <family val="2"/>
          </rPr>
          <t xml:space="preserve">
calculated from IQR (IQR diff/1.35) from Cochrane</t>
        </r>
      </text>
    </comment>
    <comment ref="BC153" authorId="2" shapeId="0" xr:uid="{00000000-0006-0000-0000-0000D8000000}">
      <text>
        <r>
          <rPr>
            <b/>
            <sz val="9"/>
            <color indexed="81"/>
            <rFont val="Tahoma"/>
            <family val="2"/>
          </rPr>
          <t>KD</t>
        </r>
        <r>
          <rPr>
            <sz val="9"/>
            <color indexed="81"/>
            <rFont val="Tahoma"/>
            <family val="2"/>
          </rPr>
          <t xml:space="preserve">
Only reported median baseline values, and then provide mean difference for change. Assumed median=mean and calculated post mean from change </t>
        </r>
      </text>
    </comment>
    <comment ref="BJ153" authorId="1" shapeId="0" xr:uid="{00000000-0006-0000-0000-0000D9000000}">
      <text>
        <r>
          <rPr>
            <b/>
            <sz val="9"/>
            <color indexed="81"/>
            <rFont val="Verdana"/>
            <family val="2"/>
          </rPr>
          <t>Kristin Danko:</t>
        </r>
        <r>
          <rPr>
            <sz val="9"/>
            <color indexed="81"/>
            <rFont val="Verdana"/>
            <family val="2"/>
          </rPr>
          <t xml:space="preserve">
IQR of difference (-0.4 to 0.7)</t>
        </r>
      </text>
    </comment>
    <comment ref="BP153" authorId="2" shapeId="0" xr:uid="{00000000-0006-0000-0000-0000DA000000}">
      <text>
        <r>
          <rPr>
            <b/>
            <sz val="9"/>
            <color indexed="81"/>
            <rFont val="Tahoma"/>
            <family val="2"/>
          </rPr>
          <t>KD</t>
        </r>
        <r>
          <rPr>
            <sz val="9"/>
            <color indexed="81"/>
            <rFont val="Tahoma"/>
            <family val="2"/>
          </rPr>
          <t xml:space="preserve">
Only reported median baseline values, and then provide mean difference for change. Assumed median=mean and calculated post mean from change </t>
        </r>
      </text>
    </comment>
    <comment ref="BW153" authorId="1" shapeId="0" xr:uid="{00000000-0006-0000-0000-0000DB000000}">
      <text>
        <r>
          <rPr>
            <b/>
            <sz val="9"/>
            <color indexed="81"/>
            <rFont val="Verdana"/>
            <family val="2"/>
          </rPr>
          <t>Kristin Danko:</t>
        </r>
        <r>
          <rPr>
            <sz val="9"/>
            <color indexed="81"/>
            <rFont val="Verdana"/>
            <family val="2"/>
          </rPr>
          <t xml:space="preserve">
IQR of difference (-1.6 to 0.1)</t>
        </r>
      </text>
    </comment>
    <comment ref="BC154" authorId="2" shapeId="0" xr:uid="{00000000-0006-0000-0000-0000DC000000}">
      <text>
        <r>
          <rPr>
            <b/>
            <sz val="9"/>
            <color indexed="81"/>
            <rFont val="Tahoma"/>
            <family val="2"/>
          </rPr>
          <t>Quach, Pauline:</t>
        </r>
        <r>
          <rPr>
            <sz val="9"/>
            <color indexed="81"/>
            <rFont val="Tahoma"/>
            <family val="2"/>
          </rPr>
          <t xml:space="preserve">
calculated</t>
        </r>
      </text>
    </comment>
    <comment ref="BP154" authorId="2" shapeId="0" xr:uid="{00000000-0006-0000-0000-0000DD000000}">
      <text>
        <r>
          <rPr>
            <b/>
            <sz val="9"/>
            <color indexed="81"/>
            <rFont val="Tahoma"/>
            <family val="2"/>
          </rPr>
          <t>Quach, Pauline:</t>
        </r>
        <r>
          <rPr>
            <sz val="9"/>
            <color indexed="81"/>
            <rFont val="Tahoma"/>
            <family val="2"/>
          </rPr>
          <t xml:space="preserve">
calculated</t>
        </r>
      </text>
    </comment>
    <comment ref="BC155" authorId="2" shapeId="0" xr:uid="{00000000-0006-0000-0000-0000DE000000}">
      <text>
        <r>
          <rPr>
            <b/>
            <sz val="9"/>
            <color indexed="81"/>
            <rFont val="Tahoma"/>
            <family val="2"/>
          </rPr>
          <t>Quach, Pauline:</t>
        </r>
        <r>
          <rPr>
            <sz val="9"/>
            <color indexed="81"/>
            <rFont val="Tahoma"/>
            <family val="2"/>
          </rPr>
          <t xml:space="preserve">
calculated</t>
        </r>
      </text>
    </comment>
    <comment ref="BP155" authorId="2" shapeId="0" xr:uid="{00000000-0006-0000-0000-0000DF000000}">
      <text>
        <r>
          <rPr>
            <b/>
            <sz val="9"/>
            <color indexed="81"/>
            <rFont val="Tahoma"/>
            <family val="2"/>
          </rPr>
          <t>Quach, Pauline:</t>
        </r>
        <r>
          <rPr>
            <sz val="9"/>
            <color indexed="81"/>
            <rFont val="Tahoma"/>
            <family val="2"/>
          </rPr>
          <t xml:space="preserve">
calculated</t>
        </r>
      </text>
    </comment>
    <comment ref="U156" authorId="0" shapeId="0" xr:uid="{00000000-0006-0000-0000-0000E0000000}">
      <text>
        <r>
          <rPr>
            <b/>
            <sz val="9"/>
            <color indexed="0"/>
            <rFont val="Helvetica Neue"/>
            <family val="2"/>
          </rPr>
          <t>Andrea Tricco:</t>
        </r>
        <r>
          <rPr>
            <sz val="9"/>
            <color indexed="0"/>
            <rFont val="Helvetica Neue"/>
            <family val="2"/>
          </rPr>
          <t xml:space="preserve">
Baseline n NR
LT: Okayed by TR to use as conservative</t>
        </r>
      </text>
    </comment>
    <comment ref="V156" authorId="0" shapeId="0" xr:uid="{00000000-0006-0000-0000-0000E1000000}">
      <text>
        <r>
          <rPr>
            <b/>
            <sz val="9"/>
            <color indexed="0"/>
            <rFont val="Helvetica Neue"/>
            <family val="2"/>
          </rPr>
          <t>Andrea Tricco:</t>
        </r>
        <r>
          <rPr>
            <sz val="9"/>
            <color indexed="0"/>
            <rFont val="Helvetica Neue"/>
            <family val="2"/>
          </rPr>
          <t xml:space="preserve">
Baseline n NR
</t>
        </r>
      </text>
    </comment>
    <comment ref="W156" authorId="0" shapeId="0" xr:uid="{00000000-0006-0000-0000-0000E2000000}">
      <text>
        <r>
          <rPr>
            <b/>
            <sz val="9"/>
            <color indexed="0"/>
            <rFont val="Helvetica Neue"/>
            <family val="2"/>
          </rPr>
          <t>Andrea Tricco:</t>
        </r>
        <r>
          <rPr>
            <sz val="9"/>
            <color indexed="0"/>
            <rFont val="Helvetica Neue"/>
            <family val="2"/>
          </rPr>
          <t xml:space="preserve">
Baseline n NR
</t>
        </r>
      </text>
    </comment>
    <comment ref="X156" authorId="0" shapeId="0" xr:uid="{00000000-0006-0000-0000-0000E3000000}">
      <text>
        <r>
          <rPr>
            <b/>
            <sz val="9"/>
            <color indexed="0"/>
            <rFont val="Helvetica Neue"/>
            <family val="2"/>
          </rPr>
          <t>Andrea Tricco:</t>
        </r>
        <r>
          <rPr>
            <sz val="9"/>
            <color indexed="0"/>
            <rFont val="Helvetica Neue"/>
            <family val="2"/>
          </rPr>
          <t xml:space="preserve">
Baseline n NR
</t>
        </r>
      </text>
    </comment>
    <comment ref="BP156" authorId="2" shapeId="0" xr:uid="{00000000-0006-0000-0000-0000E4000000}">
      <text>
        <r>
          <rPr>
            <b/>
            <sz val="9"/>
            <color indexed="81"/>
            <rFont val="Tahoma"/>
            <family val="2"/>
          </rPr>
          <t>Quach, Pauline:</t>
        </r>
        <r>
          <rPr>
            <sz val="9"/>
            <color indexed="81"/>
            <rFont val="Tahoma"/>
            <family val="2"/>
          </rPr>
          <t xml:space="preserve">
calculated</t>
        </r>
      </text>
    </comment>
    <comment ref="CC156" authorId="2" shapeId="0" xr:uid="{00000000-0006-0000-0000-0000E5000000}">
      <text>
        <r>
          <rPr>
            <b/>
            <sz val="9"/>
            <color indexed="81"/>
            <rFont val="Tahoma"/>
            <family val="2"/>
          </rPr>
          <t>Quach, Pauline:</t>
        </r>
        <r>
          <rPr>
            <sz val="9"/>
            <color indexed="81"/>
            <rFont val="Tahoma"/>
            <family val="2"/>
          </rPr>
          <t xml:space="preserve">
calculated</t>
        </r>
      </text>
    </comment>
    <comment ref="CP156" authorId="2" shapeId="0" xr:uid="{00000000-0006-0000-0000-0000E6000000}">
      <text>
        <r>
          <rPr>
            <b/>
            <sz val="9"/>
            <color indexed="81"/>
            <rFont val="Tahoma"/>
            <family val="2"/>
          </rPr>
          <t>Quach, Pauline:</t>
        </r>
        <r>
          <rPr>
            <sz val="9"/>
            <color indexed="81"/>
            <rFont val="Tahoma"/>
            <family val="2"/>
          </rPr>
          <t xml:space="preserve">
calculated</t>
        </r>
      </text>
    </comment>
    <comment ref="BC158" authorId="2" shapeId="0" xr:uid="{00000000-0006-0000-0000-0000E7000000}">
      <text>
        <r>
          <rPr>
            <b/>
            <sz val="9"/>
            <color indexed="81"/>
            <rFont val="Tahoma"/>
            <family val="2"/>
          </rPr>
          <t>Quach, Pauline:</t>
        </r>
        <r>
          <rPr>
            <sz val="9"/>
            <color indexed="81"/>
            <rFont val="Tahoma"/>
            <family val="2"/>
          </rPr>
          <t xml:space="preserve">
calculated</t>
        </r>
      </text>
    </comment>
    <comment ref="BP158" authorId="2" shapeId="0" xr:uid="{00000000-0006-0000-0000-0000E8000000}">
      <text>
        <r>
          <rPr>
            <b/>
            <sz val="9"/>
            <color indexed="81"/>
            <rFont val="Tahoma"/>
            <family val="2"/>
          </rPr>
          <t>Quach, Pauline:</t>
        </r>
        <r>
          <rPr>
            <sz val="9"/>
            <color indexed="81"/>
            <rFont val="Tahoma"/>
            <family val="2"/>
          </rPr>
          <t xml:space="preserve">
calculated</t>
        </r>
      </text>
    </comment>
    <comment ref="BC159" authorId="2" shapeId="0" xr:uid="{00000000-0006-0000-0000-0000E9000000}">
      <text>
        <r>
          <rPr>
            <b/>
            <sz val="9"/>
            <color indexed="81"/>
            <rFont val="Tahoma"/>
            <family val="2"/>
          </rPr>
          <t>Quach, Pauline:</t>
        </r>
        <r>
          <rPr>
            <sz val="9"/>
            <color indexed="81"/>
            <rFont val="Tahoma"/>
            <family val="2"/>
          </rPr>
          <t xml:space="preserve">
calculated</t>
        </r>
      </text>
    </comment>
    <comment ref="BP159" authorId="2" shapeId="0" xr:uid="{00000000-0006-0000-0000-0000EA000000}">
      <text>
        <r>
          <rPr>
            <b/>
            <sz val="9"/>
            <color indexed="81"/>
            <rFont val="Tahoma"/>
            <family val="2"/>
          </rPr>
          <t>Quach, Pauline:</t>
        </r>
        <r>
          <rPr>
            <sz val="9"/>
            <color indexed="81"/>
            <rFont val="Tahoma"/>
            <family val="2"/>
          </rPr>
          <t xml:space="preserve">
calculated</t>
        </r>
      </text>
    </comment>
    <comment ref="CC159" authorId="2" shapeId="0" xr:uid="{00000000-0006-0000-0000-0000EB000000}">
      <text>
        <r>
          <rPr>
            <b/>
            <sz val="9"/>
            <color indexed="81"/>
            <rFont val="Tahoma"/>
            <family val="2"/>
          </rPr>
          <t>Quach, Pauline:</t>
        </r>
        <r>
          <rPr>
            <sz val="9"/>
            <color indexed="81"/>
            <rFont val="Tahoma"/>
            <family val="2"/>
          </rPr>
          <t xml:space="preserve">
calculated</t>
        </r>
      </text>
    </comment>
    <comment ref="CP159" authorId="2" shapeId="0" xr:uid="{00000000-0006-0000-0000-0000EC000000}">
      <text>
        <r>
          <rPr>
            <b/>
            <sz val="9"/>
            <color indexed="81"/>
            <rFont val="Tahoma"/>
            <family val="2"/>
          </rPr>
          <t>Quach, Pauline:</t>
        </r>
        <r>
          <rPr>
            <sz val="9"/>
            <color indexed="81"/>
            <rFont val="Tahoma"/>
            <family val="2"/>
          </rPr>
          <t xml:space="preserve">
calculated</t>
        </r>
      </text>
    </comment>
    <comment ref="DC159" authorId="2" shapeId="0" xr:uid="{00000000-0006-0000-0000-0000ED000000}">
      <text>
        <r>
          <rPr>
            <b/>
            <sz val="9"/>
            <color indexed="81"/>
            <rFont val="Tahoma"/>
            <family val="2"/>
          </rPr>
          <t>Quach, Pauline:</t>
        </r>
        <r>
          <rPr>
            <sz val="9"/>
            <color indexed="81"/>
            <rFont val="Tahoma"/>
            <family val="2"/>
          </rPr>
          <t xml:space="preserve">
6 WEEKS- 6 MONTHS</t>
        </r>
      </text>
    </comment>
    <comment ref="BC161" authorId="2" shapeId="0" xr:uid="{00000000-0006-0000-0000-0000EE000000}">
      <text>
        <r>
          <rPr>
            <b/>
            <sz val="9"/>
            <color indexed="81"/>
            <rFont val="Tahoma"/>
            <family val="2"/>
          </rPr>
          <t>Quach, Pauline:</t>
        </r>
        <r>
          <rPr>
            <sz val="9"/>
            <color indexed="81"/>
            <rFont val="Tahoma"/>
            <family val="2"/>
          </rPr>
          <t xml:space="preserve">
calculated</t>
        </r>
      </text>
    </comment>
    <comment ref="BP161" authorId="2" shapeId="0" xr:uid="{00000000-0006-0000-0000-0000EF000000}">
      <text>
        <r>
          <rPr>
            <b/>
            <sz val="9"/>
            <color indexed="81"/>
            <rFont val="Tahoma"/>
            <family val="2"/>
          </rPr>
          <t>Quach, Pauline:</t>
        </r>
        <r>
          <rPr>
            <sz val="9"/>
            <color indexed="81"/>
            <rFont val="Tahoma"/>
            <family val="2"/>
          </rPr>
          <t xml:space="preserve">
calculated</t>
        </r>
      </text>
    </comment>
    <comment ref="CC161" authorId="2" shapeId="0" xr:uid="{00000000-0006-0000-0000-0000F0000000}">
      <text>
        <r>
          <rPr>
            <b/>
            <sz val="9"/>
            <color indexed="81"/>
            <rFont val="Tahoma"/>
            <family val="2"/>
          </rPr>
          <t>Quach, Pauline:</t>
        </r>
        <r>
          <rPr>
            <sz val="9"/>
            <color indexed="81"/>
            <rFont val="Tahoma"/>
            <family val="2"/>
          </rPr>
          <t xml:space="preserve">
calculated</t>
        </r>
      </text>
    </comment>
    <comment ref="CP161" authorId="2" shapeId="0" xr:uid="{00000000-0006-0000-0000-0000F1000000}">
      <text>
        <r>
          <rPr>
            <b/>
            <sz val="9"/>
            <color indexed="81"/>
            <rFont val="Tahoma"/>
            <family val="2"/>
          </rPr>
          <t>Quach, Pauline:</t>
        </r>
        <r>
          <rPr>
            <sz val="9"/>
            <color indexed="81"/>
            <rFont val="Tahoma"/>
            <family val="2"/>
          </rPr>
          <t xml:space="preserve">
calculated</t>
        </r>
      </text>
    </comment>
    <comment ref="U162" authorId="2" shapeId="0" xr:uid="{00000000-0006-0000-0000-0000F2000000}">
      <text>
        <r>
          <rPr>
            <b/>
            <sz val="9"/>
            <color indexed="81"/>
            <rFont val="Tahoma"/>
            <family val="2"/>
          </rPr>
          <t>Quach, Pauline:</t>
        </r>
        <r>
          <rPr>
            <sz val="9"/>
            <color indexed="81"/>
            <rFont val="Tahoma"/>
            <family val="2"/>
          </rPr>
          <t xml:space="preserve">
Based on those analyzed</t>
        </r>
      </text>
    </comment>
    <comment ref="V162" authorId="2" shapeId="0" xr:uid="{00000000-0006-0000-0000-0000F3000000}">
      <text>
        <r>
          <rPr>
            <b/>
            <sz val="9"/>
            <color indexed="81"/>
            <rFont val="Tahoma"/>
            <family val="2"/>
          </rPr>
          <t>Quach, Pauline:</t>
        </r>
        <r>
          <rPr>
            <sz val="9"/>
            <color indexed="81"/>
            <rFont val="Tahoma"/>
            <family val="2"/>
          </rPr>
          <t xml:space="preserve">
Based on those analyzed</t>
        </r>
      </text>
    </comment>
    <comment ref="A163" authorId="1" shapeId="0" xr:uid="{00000000-0006-0000-0000-0000F4000000}">
      <text>
        <r>
          <rPr>
            <b/>
            <sz val="9"/>
            <color indexed="81"/>
            <rFont val="Calibri"/>
            <family val="2"/>
          </rPr>
          <t>Kristin Danko:</t>
        </r>
        <r>
          <rPr>
            <sz val="9"/>
            <color indexed="81"/>
            <rFont val="Calibri"/>
            <family val="2"/>
          </rPr>
          <t xml:space="preserve">
reported 2 arm trial in 3 arms (those who did/did  not complete treatment and control). Combined means and SE's proportionally</t>
        </r>
      </text>
    </comment>
    <comment ref="BP163" authorId="1" shapeId="0" xr:uid="{00000000-0006-0000-0000-0000F5000000}">
      <text>
        <r>
          <rPr>
            <b/>
            <sz val="9"/>
            <color indexed="81"/>
            <rFont val="Calibri"/>
            <family val="2"/>
          </rPr>
          <t>Kristin Danko:</t>
        </r>
        <r>
          <rPr>
            <sz val="9"/>
            <color indexed="81"/>
            <rFont val="Calibri"/>
            <family val="2"/>
          </rPr>
          <t xml:space="preserve">
combined groups because split randomized intervention group to thouse who did and did not do Ix</t>
        </r>
      </text>
    </comment>
    <comment ref="BR163" authorId="1" shapeId="0" xr:uid="{00000000-0006-0000-0000-0000F6000000}">
      <text>
        <r>
          <rPr>
            <b/>
            <sz val="9"/>
            <color indexed="81"/>
            <rFont val="Calibri"/>
            <family val="2"/>
          </rPr>
          <t>Kristin Danko:</t>
        </r>
        <r>
          <rPr>
            <sz val="9"/>
            <color indexed="81"/>
            <rFont val="Calibri"/>
            <family val="2"/>
          </rPr>
          <t xml:space="preserve">
combined groups</t>
        </r>
      </text>
    </comment>
    <comment ref="Z164" authorId="1" shapeId="0" xr:uid="{00000000-0006-0000-0000-0000F7000000}">
      <text>
        <r>
          <rPr>
            <b/>
            <sz val="9"/>
            <color indexed="81"/>
            <rFont val="Verdana"/>
            <family val="2"/>
          </rPr>
          <t>Kristin Danko:</t>
        </r>
        <r>
          <rPr>
            <sz val="9"/>
            <color indexed="81"/>
            <rFont val="Verdana"/>
            <family val="2"/>
          </rPr>
          <t xml:space="preserve">
calculated from IQR (IQR diff/1.35) from Cochrane</t>
        </r>
      </text>
    </comment>
    <comment ref="AE164" authorId="1" shapeId="0" xr:uid="{00000000-0006-0000-0000-0000F8000000}">
      <text>
        <r>
          <rPr>
            <b/>
            <sz val="9"/>
            <color indexed="81"/>
            <rFont val="Verdana"/>
            <family val="2"/>
          </rPr>
          <t>Kristin Danko:</t>
        </r>
        <r>
          <rPr>
            <sz val="9"/>
            <color indexed="81"/>
            <rFont val="Verdana"/>
            <family val="2"/>
          </rPr>
          <t xml:space="preserve">
calculated from IQR (IQR diff/1.35) from Cochrane</t>
        </r>
      </text>
    </comment>
    <comment ref="BC166" authorId="2" shapeId="0" xr:uid="{00000000-0006-0000-0000-0000F9000000}">
      <text>
        <r>
          <rPr>
            <b/>
            <sz val="9"/>
            <color indexed="81"/>
            <rFont val="Tahoma"/>
            <family val="2"/>
          </rPr>
          <t>Quach, Pauline:</t>
        </r>
        <r>
          <rPr>
            <sz val="9"/>
            <color indexed="81"/>
            <rFont val="Tahoma"/>
            <family val="2"/>
          </rPr>
          <t xml:space="preserve">
calculated</t>
        </r>
      </text>
    </comment>
    <comment ref="BC169" authorId="6" shapeId="0" xr:uid="{00000000-0006-0000-0000-0000FA000000}">
      <text>
        <r>
          <rPr>
            <b/>
            <sz val="9"/>
            <color indexed="81"/>
            <rFont val="Tahoma"/>
            <family val="2"/>
          </rPr>
          <t>pauline.quach:</t>
        </r>
        <r>
          <rPr>
            <sz val="9"/>
            <color indexed="81"/>
            <rFont val="Tahoma"/>
            <family val="2"/>
          </rPr>
          <t xml:space="preserve">
calculated</t>
        </r>
      </text>
    </comment>
    <comment ref="BP169" authorId="6" shapeId="0" xr:uid="{00000000-0006-0000-0000-0000FB000000}">
      <text>
        <r>
          <rPr>
            <b/>
            <sz val="9"/>
            <color indexed="81"/>
            <rFont val="Tahoma"/>
            <family val="2"/>
          </rPr>
          <t>pauline.quach:</t>
        </r>
        <r>
          <rPr>
            <sz val="9"/>
            <color indexed="81"/>
            <rFont val="Tahoma"/>
            <family val="2"/>
          </rPr>
          <t xml:space="preserve">
calculated</t>
        </r>
      </text>
    </comment>
    <comment ref="BC172" authorId="2" shapeId="0" xr:uid="{00000000-0006-0000-0000-0000FC000000}">
      <text>
        <r>
          <rPr>
            <b/>
            <sz val="9"/>
            <color indexed="81"/>
            <rFont val="Tahoma"/>
            <family val="2"/>
          </rPr>
          <t>Quach, Pauline:</t>
        </r>
        <r>
          <rPr>
            <sz val="9"/>
            <color indexed="81"/>
            <rFont val="Tahoma"/>
            <family val="2"/>
          </rPr>
          <t xml:space="preserve">
calculated</t>
        </r>
      </text>
    </comment>
    <comment ref="BP172" authorId="2" shapeId="0" xr:uid="{00000000-0006-0000-0000-0000FD000000}">
      <text>
        <r>
          <rPr>
            <b/>
            <sz val="9"/>
            <color indexed="81"/>
            <rFont val="Tahoma"/>
            <family val="2"/>
          </rPr>
          <t>Quach, Pauline:</t>
        </r>
        <r>
          <rPr>
            <sz val="9"/>
            <color indexed="81"/>
            <rFont val="Tahoma"/>
            <family val="2"/>
          </rPr>
          <t xml:space="preserve">
calculated</t>
        </r>
      </text>
    </comment>
    <comment ref="R173" authorId="8" shapeId="0" xr:uid="{00000000-0006-0000-0000-0000FE000000}">
      <text>
        <r>
          <rPr>
            <b/>
            <sz val="9"/>
            <color indexed="81"/>
            <rFont val="Tahoma"/>
            <family val="2"/>
          </rPr>
          <t>Noah Ivers:</t>
        </r>
        <r>
          <rPr>
            <sz val="9"/>
            <color indexed="81"/>
            <rFont val="Tahoma"/>
            <family val="2"/>
          </rPr>
          <t xml:space="preserve">
for intervention group only</t>
        </r>
      </text>
    </comment>
    <comment ref="BC174" authorId="2" shapeId="0" xr:uid="{00000000-0006-0000-0000-0000FF000000}">
      <text>
        <r>
          <rPr>
            <b/>
            <sz val="9"/>
            <color indexed="81"/>
            <rFont val="Tahoma"/>
            <family val="2"/>
          </rPr>
          <t>Quach, Pauline:</t>
        </r>
        <r>
          <rPr>
            <sz val="9"/>
            <color indexed="81"/>
            <rFont val="Tahoma"/>
            <family val="2"/>
          </rPr>
          <t xml:space="preserve">
calculated</t>
        </r>
      </text>
    </comment>
    <comment ref="BP174" authorId="2" shapeId="0" xr:uid="{00000000-0006-0000-0000-000000010000}">
      <text>
        <r>
          <rPr>
            <b/>
            <sz val="9"/>
            <color indexed="81"/>
            <rFont val="Tahoma"/>
            <family val="2"/>
          </rPr>
          <t>Quach, Pauline:</t>
        </r>
        <r>
          <rPr>
            <sz val="9"/>
            <color indexed="81"/>
            <rFont val="Tahoma"/>
            <family val="2"/>
          </rPr>
          <t xml:space="preserve">
calculated</t>
        </r>
      </text>
    </comment>
    <comment ref="CC174" authorId="2" shapeId="0" xr:uid="{00000000-0006-0000-0000-000001010000}">
      <text>
        <r>
          <rPr>
            <b/>
            <sz val="9"/>
            <color indexed="81"/>
            <rFont val="Tahoma"/>
            <family val="2"/>
          </rPr>
          <t>Quach, Pauline:</t>
        </r>
        <r>
          <rPr>
            <sz val="9"/>
            <color indexed="81"/>
            <rFont val="Tahoma"/>
            <family val="2"/>
          </rPr>
          <t xml:space="preserve">
calculated</t>
        </r>
      </text>
    </comment>
    <comment ref="BC175" authorId="2" shapeId="0" xr:uid="{00000000-0006-0000-0000-000002010000}">
      <text>
        <r>
          <rPr>
            <b/>
            <sz val="9"/>
            <color indexed="81"/>
            <rFont val="Tahoma"/>
            <family val="2"/>
          </rPr>
          <t>Quach, Pauline:</t>
        </r>
        <r>
          <rPr>
            <sz val="9"/>
            <color indexed="81"/>
            <rFont val="Tahoma"/>
            <family val="2"/>
          </rPr>
          <t xml:space="preserve">
calculated</t>
        </r>
      </text>
    </comment>
    <comment ref="BP175" authorId="2" shapeId="0" xr:uid="{00000000-0006-0000-0000-000003010000}">
      <text>
        <r>
          <rPr>
            <b/>
            <sz val="9"/>
            <color indexed="81"/>
            <rFont val="Tahoma"/>
            <family val="2"/>
          </rPr>
          <t>Quach, Pauline:</t>
        </r>
        <r>
          <rPr>
            <sz val="9"/>
            <color indexed="81"/>
            <rFont val="Tahoma"/>
            <family val="2"/>
          </rPr>
          <t xml:space="preserve">
calculated</t>
        </r>
      </text>
    </comment>
    <comment ref="AA176" authorId="1" shapeId="0" xr:uid="{00000000-0006-0000-0000-000004010000}">
      <text>
        <r>
          <rPr>
            <b/>
            <sz val="9"/>
            <color indexed="81"/>
            <rFont val="Calibri"/>
            <family val="2"/>
          </rPr>
          <t>Kristin Danko:</t>
        </r>
        <r>
          <rPr>
            <sz val="9"/>
            <color indexed="81"/>
            <rFont val="Calibri"/>
            <family val="2"/>
          </rPr>
          <t xml:space="preserve">
extracted as SD, confirmed; moved to SE because likely reporting error</t>
        </r>
      </text>
    </comment>
    <comment ref="AF176" authorId="1" shapeId="0" xr:uid="{00000000-0006-0000-0000-000005010000}">
      <text>
        <r>
          <rPr>
            <b/>
            <sz val="9"/>
            <color indexed="81"/>
            <rFont val="Calibri"/>
            <family val="2"/>
          </rPr>
          <t>Kristin Danko:</t>
        </r>
        <r>
          <rPr>
            <sz val="9"/>
            <color indexed="81"/>
            <rFont val="Calibri"/>
            <family val="2"/>
          </rPr>
          <t xml:space="preserve">
extracted as SD, confirmed; moved to SE because likely reporting error</t>
        </r>
      </text>
    </comment>
    <comment ref="BC176" authorId="2" shapeId="0" xr:uid="{00000000-0006-0000-0000-000006010000}">
      <text>
        <r>
          <rPr>
            <b/>
            <sz val="9"/>
            <color indexed="81"/>
            <rFont val="Tahoma"/>
            <family val="2"/>
          </rPr>
          <t>Quach, Pauline:</t>
        </r>
        <r>
          <rPr>
            <sz val="9"/>
            <color indexed="81"/>
            <rFont val="Tahoma"/>
            <family val="2"/>
          </rPr>
          <t xml:space="preserve">
calculated</t>
        </r>
      </text>
    </comment>
    <comment ref="BP176" authorId="2" shapeId="0" xr:uid="{00000000-0006-0000-0000-000007010000}">
      <text>
        <r>
          <rPr>
            <b/>
            <sz val="9"/>
            <color indexed="81"/>
            <rFont val="Tahoma"/>
            <family val="2"/>
          </rPr>
          <t>Quach, Pauline:</t>
        </r>
        <r>
          <rPr>
            <sz val="9"/>
            <color indexed="81"/>
            <rFont val="Tahoma"/>
            <family val="2"/>
          </rPr>
          <t xml:space="preserve">
calculated</t>
        </r>
      </text>
    </comment>
    <comment ref="BC179" authorId="2" shapeId="0" xr:uid="{00000000-0006-0000-0000-000008010000}">
      <text>
        <r>
          <rPr>
            <b/>
            <sz val="9"/>
            <color indexed="81"/>
            <rFont val="Tahoma"/>
            <family val="2"/>
          </rPr>
          <t>Quach, Pauline:</t>
        </r>
        <r>
          <rPr>
            <sz val="9"/>
            <color indexed="81"/>
            <rFont val="Tahoma"/>
            <family val="2"/>
          </rPr>
          <t xml:space="preserve">
calculated</t>
        </r>
      </text>
    </comment>
    <comment ref="BP179" authorId="2" shapeId="0" xr:uid="{00000000-0006-0000-0000-000009010000}">
      <text>
        <r>
          <rPr>
            <b/>
            <sz val="9"/>
            <color indexed="81"/>
            <rFont val="Tahoma"/>
            <family val="2"/>
          </rPr>
          <t>Quach, Pauline:</t>
        </r>
        <r>
          <rPr>
            <sz val="9"/>
            <color indexed="81"/>
            <rFont val="Tahoma"/>
            <family val="2"/>
          </rPr>
          <t xml:space="preserve">
calculated</t>
        </r>
      </text>
    </comment>
    <comment ref="BC180" authorId="2" shapeId="0" xr:uid="{00000000-0006-0000-0000-00000A010000}">
      <text>
        <r>
          <rPr>
            <b/>
            <sz val="9"/>
            <color indexed="81"/>
            <rFont val="Tahoma"/>
            <family val="2"/>
          </rPr>
          <t>Quach, Pauline:</t>
        </r>
        <r>
          <rPr>
            <sz val="9"/>
            <color indexed="81"/>
            <rFont val="Tahoma"/>
            <family val="2"/>
          </rPr>
          <t xml:space="preserve">
calculated</t>
        </r>
      </text>
    </comment>
    <comment ref="BP180" authorId="2" shapeId="0" xr:uid="{00000000-0006-0000-0000-00000B010000}">
      <text>
        <r>
          <rPr>
            <b/>
            <sz val="9"/>
            <color indexed="81"/>
            <rFont val="Tahoma"/>
            <family val="2"/>
          </rPr>
          <t>Quach, Pauline:</t>
        </r>
        <r>
          <rPr>
            <sz val="9"/>
            <color indexed="81"/>
            <rFont val="Tahoma"/>
            <family val="2"/>
          </rPr>
          <t xml:space="preserve">
calculated</t>
        </r>
      </text>
    </comment>
    <comment ref="CC180" authorId="2" shapeId="0" xr:uid="{00000000-0006-0000-0000-00000C010000}">
      <text>
        <r>
          <rPr>
            <b/>
            <sz val="9"/>
            <color indexed="81"/>
            <rFont val="Tahoma"/>
            <family val="2"/>
          </rPr>
          <t>Quach, Pauline:</t>
        </r>
        <r>
          <rPr>
            <sz val="9"/>
            <color indexed="81"/>
            <rFont val="Tahoma"/>
            <family val="2"/>
          </rPr>
          <t xml:space="preserve">
calculated</t>
        </r>
      </text>
    </comment>
    <comment ref="AI181" authorId="2" shapeId="0" xr:uid="{00000000-0006-0000-0000-00000D010000}">
      <text>
        <r>
          <rPr>
            <b/>
            <sz val="9"/>
            <color indexed="81"/>
            <rFont val="Tahoma"/>
            <family val="2"/>
          </rPr>
          <t>Quach, Pauline:</t>
        </r>
        <r>
          <rPr>
            <sz val="9"/>
            <color indexed="81"/>
            <rFont val="Tahoma"/>
            <family val="2"/>
          </rPr>
          <t xml:space="preserve">
UNWEIGHTED</t>
        </r>
      </text>
    </comment>
    <comment ref="AN181" authorId="2" shapeId="0" xr:uid="{00000000-0006-0000-0000-00000E010000}">
      <text>
        <r>
          <rPr>
            <b/>
            <sz val="9"/>
            <color indexed="81"/>
            <rFont val="Tahoma"/>
            <family val="2"/>
          </rPr>
          <t>Quach, Pauline:</t>
        </r>
        <r>
          <rPr>
            <sz val="9"/>
            <color indexed="81"/>
            <rFont val="Tahoma"/>
            <family val="2"/>
          </rPr>
          <t xml:space="preserve">
unweighted</t>
        </r>
      </text>
    </comment>
    <comment ref="BC181" authorId="2" shapeId="0" xr:uid="{00000000-0006-0000-0000-00000F010000}">
      <text>
        <r>
          <rPr>
            <b/>
            <sz val="9"/>
            <color indexed="81"/>
            <rFont val="Tahoma"/>
            <family val="2"/>
          </rPr>
          <t>Quach, Pauline:</t>
        </r>
        <r>
          <rPr>
            <sz val="9"/>
            <color indexed="81"/>
            <rFont val="Tahoma"/>
            <family val="2"/>
          </rPr>
          <t xml:space="preserve">
unweighted</t>
        </r>
      </text>
    </comment>
    <comment ref="BP181" authorId="2" shapeId="0" xr:uid="{00000000-0006-0000-0000-000010010000}">
      <text>
        <r>
          <rPr>
            <b/>
            <sz val="9"/>
            <color indexed="81"/>
            <rFont val="Tahoma"/>
            <family val="2"/>
          </rPr>
          <t>Quach, Pauline:</t>
        </r>
        <r>
          <rPr>
            <sz val="9"/>
            <color indexed="81"/>
            <rFont val="Tahoma"/>
            <family val="2"/>
          </rPr>
          <t xml:space="preserve">
unweighted</t>
        </r>
      </text>
    </comment>
    <comment ref="CC181" authorId="2" shapeId="0" xr:uid="{00000000-0006-0000-0000-000011010000}">
      <text>
        <r>
          <rPr>
            <b/>
            <sz val="9"/>
            <color indexed="81"/>
            <rFont val="Tahoma"/>
            <family val="2"/>
          </rPr>
          <t>Quach, Pauline:</t>
        </r>
        <r>
          <rPr>
            <sz val="9"/>
            <color indexed="81"/>
            <rFont val="Tahoma"/>
            <family val="2"/>
          </rPr>
          <t xml:space="preserve">
UNWEIGHTED</t>
        </r>
      </text>
    </comment>
    <comment ref="CP181" authorId="2" shapeId="0" xr:uid="{00000000-0006-0000-0000-000012010000}">
      <text>
        <r>
          <rPr>
            <b/>
            <sz val="9"/>
            <color indexed="81"/>
            <rFont val="Tahoma"/>
            <family val="2"/>
          </rPr>
          <t>Quach, Pauline:</t>
        </r>
        <r>
          <rPr>
            <sz val="9"/>
            <color indexed="81"/>
            <rFont val="Tahoma"/>
            <family val="2"/>
          </rPr>
          <t xml:space="preserve">
UNWEIGHTED</t>
        </r>
      </text>
    </comment>
    <comment ref="BC182" authorId="4" shapeId="0" xr:uid="{00000000-0006-0000-0000-000013010000}">
      <text>
        <r>
          <rPr>
            <b/>
            <sz val="8"/>
            <color indexed="81"/>
            <rFont val="Tahoma"/>
            <family val="2"/>
          </rPr>
          <t>kdanko:</t>
        </r>
        <r>
          <rPr>
            <sz val="8"/>
            <color indexed="81"/>
            <rFont val="Tahoma"/>
            <family val="2"/>
          </rPr>
          <t xml:space="preserve">
I believe this was extracted from the figure</t>
        </r>
      </text>
    </comment>
    <comment ref="BC184" authorId="0" shapeId="0" xr:uid="{00000000-0006-0000-0000-000014010000}">
      <text>
        <r>
          <rPr>
            <b/>
            <sz val="9"/>
            <color indexed="0"/>
            <rFont val="Helvetica Neue"/>
            <family val="2"/>
          </rPr>
          <t>Andrea Tricco:</t>
        </r>
        <r>
          <rPr>
            <sz val="9"/>
            <color indexed="0"/>
            <rFont val="Helvetica Neue"/>
            <family val="2"/>
          </rPr>
          <t xml:space="preserve">
From Figure
</t>
        </r>
      </text>
    </comment>
    <comment ref="BP184" authorId="0" shapeId="0" xr:uid="{00000000-0006-0000-0000-000015010000}">
      <text>
        <r>
          <rPr>
            <b/>
            <sz val="9"/>
            <color indexed="0"/>
            <rFont val="Helvetica Neue"/>
            <family val="2"/>
          </rPr>
          <t>Andrea Tricco:</t>
        </r>
        <r>
          <rPr>
            <sz val="9"/>
            <color indexed="0"/>
            <rFont val="Helvetica Neue"/>
            <family val="2"/>
          </rPr>
          <t xml:space="preserve">
From figure
</t>
        </r>
      </text>
    </comment>
    <comment ref="BC185" authorId="4" shapeId="0" xr:uid="{00000000-0006-0000-0000-000016010000}">
      <text>
        <r>
          <rPr>
            <b/>
            <sz val="8"/>
            <color indexed="81"/>
            <rFont val="Tahoma"/>
            <family val="2"/>
          </rPr>
          <t>kdanko:</t>
        </r>
        <r>
          <rPr>
            <sz val="8"/>
            <color indexed="81"/>
            <rFont val="Tahoma"/>
            <family val="2"/>
          </rPr>
          <t xml:space="preserve">
note this is an adjusted analyses
-adjusted for stratifying varialbes (baseline insulin regimen, nurse), baseline scores, # of diabetes complications, duration of diabetes and education</t>
        </r>
      </text>
    </comment>
    <comment ref="BP185" authorId="2" shapeId="0" xr:uid="{00000000-0006-0000-0000-000017010000}">
      <text>
        <r>
          <rPr>
            <b/>
            <sz val="9"/>
            <color indexed="81"/>
            <rFont val="Tahoma"/>
            <family val="2"/>
          </rPr>
          <t>Quach, Pauline:</t>
        </r>
        <r>
          <rPr>
            <sz val="9"/>
            <color indexed="81"/>
            <rFont val="Tahoma"/>
            <family val="2"/>
          </rPr>
          <t xml:space="preserve">
-adjusted for stratifying varialbes (baseline insulin regimen, nurse), baseline scores, # of diabetes complications, duration of diabetes and education</t>
        </r>
      </text>
    </comment>
    <comment ref="BC186" authorId="2" shapeId="0" xr:uid="{00000000-0006-0000-0000-000018010000}">
      <text>
        <r>
          <rPr>
            <b/>
            <sz val="9"/>
            <color indexed="81"/>
            <rFont val="Tahoma"/>
            <family val="2"/>
          </rPr>
          <t>Quach, Pauline:</t>
        </r>
        <r>
          <rPr>
            <sz val="9"/>
            <color indexed="81"/>
            <rFont val="Tahoma"/>
            <family val="2"/>
          </rPr>
          <t xml:space="preserve">
calculated</t>
        </r>
      </text>
    </comment>
    <comment ref="BP186" authorId="2" shapeId="0" xr:uid="{00000000-0006-0000-0000-000019010000}">
      <text>
        <r>
          <rPr>
            <b/>
            <sz val="9"/>
            <color indexed="81"/>
            <rFont val="Tahoma"/>
            <family val="2"/>
          </rPr>
          <t>Quach, Pauline:</t>
        </r>
        <r>
          <rPr>
            <sz val="9"/>
            <color indexed="81"/>
            <rFont val="Tahoma"/>
            <family val="2"/>
          </rPr>
          <t xml:space="preserve">
calculated</t>
        </r>
      </text>
    </comment>
    <comment ref="BC187" authorId="2" shapeId="0" xr:uid="{00000000-0006-0000-0000-00001A010000}">
      <text>
        <r>
          <rPr>
            <b/>
            <sz val="9"/>
            <color indexed="81"/>
            <rFont val="Tahoma"/>
            <family val="2"/>
          </rPr>
          <t>Quach, Pauline:</t>
        </r>
        <r>
          <rPr>
            <sz val="9"/>
            <color indexed="81"/>
            <rFont val="Tahoma"/>
            <family val="2"/>
          </rPr>
          <t xml:space="preserve">
baseline values are means, within group difference values are medians
KD: calculated using median change</t>
        </r>
      </text>
    </comment>
    <comment ref="BJ187" authorId="2" shapeId="0" xr:uid="{00000000-0006-0000-0000-00001B010000}">
      <text>
        <r>
          <rPr>
            <b/>
            <sz val="9"/>
            <color indexed="81"/>
            <rFont val="Tahoma"/>
            <family val="2"/>
          </rPr>
          <t>Quach, Pauline:</t>
        </r>
        <r>
          <rPr>
            <sz val="9"/>
            <color indexed="81"/>
            <rFont val="Tahoma"/>
            <family val="2"/>
          </rPr>
          <t xml:space="preserve">
MEDIAN
IQR (-2.10, 0.50)</t>
        </r>
      </text>
    </comment>
    <comment ref="BP187" authorId="2" shapeId="0" xr:uid="{00000000-0006-0000-0000-00001C010000}">
      <text>
        <r>
          <rPr>
            <b/>
            <sz val="9"/>
            <color indexed="81"/>
            <rFont val="Tahoma"/>
            <family val="2"/>
          </rPr>
          <t>Quach, Pauline:</t>
        </r>
        <r>
          <rPr>
            <sz val="9"/>
            <color indexed="81"/>
            <rFont val="Tahoma"/>
            <family val="2"/>
          </rPr>
          <t xml:space="preserve">
baseline values are means, within group difference values are medians
KD: calculated using median change</t>
        </r>
      </text>
    </comment>
    <comment ref="BW187" authorId="2" shapeId="0" xr:uid="{00000000-0006-0000-0000-00001D010000}">
      <text>
        <r>
          <rPr>
            <b/>
            <sz val="9"/>
            <color indexed="81"/>
            <rFont val="Tahoma"/>
            <family val="2"/>
          </rPr>
          <t>Quach, Pauline:</t>
        </r>
        <r>
          <rPr>
            <sz val="9"/>
            <color indexed="81"/>
            <rFont val="Tahoma"/>
            <family val="2"/>
          </rPr>
          <t xml:space="preserve">
MEDIAN
IQR (-2.68, -0.03)</t>
        </r>
      </text>
    </comment>
    <comment ref="A188" authorId="2" shapeId="0" xr:uid="{00000000-0006-0000-0000-00001E010000}">
      <text>
        <r>
          <rPr>
            <b/>
            <sz val="9"/>
            <color indexed="81"/>
            <rFont val="Tahoma"/>
            <family val="2"/>
          </rPr>
          <t>Quach, Pauline:</t>
        </r>
        <r>
          <rPr>
            <sz val="9"/>
            <color indexed="81"/>
            <rFont val="Tahoma"/>
            <family val="2"/>
          </rPr>
          <t xml:space="preserve">
For baseline data, all study populations (n=556), included b/c they had elevated Hba1c, LDL, or HTN-C...
For outcome data, only patients who had baseline Hba1c &gt;9% (n=139)</t>
        </r>
      </text>
    </comment>
    <comment ref="AY188" authorId="2" shapeId="0" xr:uid="{00000000-0006-0000-0000-00001F010000}">
      <text>
        <r>
          <rPr>
            <b/>
            <sz val="9"/>
            <color indexed="81"/>
            <rFont val="Tahoma"/>
            <family val="2"/>
          </rPr>
          <t>Quach, Pauline:</t>
        </r>
        <r>
          <rPr>
            <sz val="9"/>
            <color indexed="81"/>
            <rFont val="Tahoma"/>
            <family val="2"/>
          </rPr>
          <t xml:space="preserve">
Total is n=139. unknown for each arm.
Assumed equal split at baseline</t>
        </r>
      </text>
    </comment>
    <comment ref="AZ188" authorId="2" shapeId="0" xr:uid="{00000000-0006-0000-0000-000020010000}">
      <text>
        <r>
          <rPr>
            <b/>
            <sz val="9"/>
            <color indexed="81"/>
            <rFont val="Tahoma"/>
            <family val="2"/>
          </rPr>
          <t>Quach, Pauline:</t>
        </r>
        <r>
          <rPr>
            <sz val="9"/>
            <color indexed="81"/>
            <rFont val="Tahoma"/>
            <family val="2"/>
          </rPr>
          <t xml:space="preserve">
Total is n=139. unknown for each arm</t>
        </r>
      </text>
    </comment>
    <comment ref="BD189" authorId="1" shapeId="0" xr:uid="{00000000-0006-0000-0000-000021010000}">
      <text>
        <r>
          <rPr>
            <b/>
            <sz val="9"/>
            <color indexed="81"/>
            <rFont val="Calibri"/>
            <family val="2"/>
          </rPr>
          <t>Kristin Danko:</t>
        </r>
        <r>
          <rPr>
            <sz val="9"/>
            <color indexed="81"/>
            <rFont val="Calibri"/>
            <family val="2"/>
          </rPr>
          <t xml:space="preserve">
used 95% CI Cochrane method for ss&lt;100 (sqrt(n)*CI diff/cirtical value*2)</t>
        </r>
      </text>
    </comment>
    <comment ref="BQ189" authorId="1" shapeId="0" xr:uid="{00000000-0006-0000-0000-000022010000}">
      <text>
        <r>
          <rPr>
            <b/>
            <sz val="9"/>
            <color indexed="81"/>
            <rFont val="Calibri"/>
            <family val="2"/>
          </rPr>
          <t>Kristin Danko:</t>
        </r>
        <r>
          <rPr>
            <sz val="9"/>
            <color indexed="81"/>
            <rFont val="Calibri"/>
            <family val="2"/>
          </rPr>
          <t xml:space="preserve">
used 95% CI Cochrane method for ss&lt;100 (sqrt(n)*CI diff/cirtical value*2)</t>
        </r>
      </text>
    </comment>
    <comment ref="U191" authorId="2" shapeId="0" xr:uid="{00000000-0006-0000-0000-000023010000}">
      <text>
        <r>
          <rPr>
            <b/>
            <sz val="9"/>
            <color indexed="81"/>
            <rFont val="Tahoma"/>
            <family val="2"/>
          </rPr>
          <t>Quach, Pauline:</t>
        </r>
        <r>
          <rPr>
            <sz val="9"/>
            <color indexed="81"/>
            <rFont val="Tahoma"/>
            <family val="2"/>
          </rPr>
          <t xml:space="preserve">
Based on those analyzed</t>
        </r>
      </text>
    </comment>
    <comment ref="V191" authorId="2" shapeId="0" xr:uid="{00000000-0006-0000-0000-000024010000}">
      <text>
        <r>
          <rPr>
            <b/>
            <sz val="9"/>
            <color indexed="81"/>
            <rFont val="Tahoma"/>
            <family val="2"/>
          </rPr>
          <t>Quach, Pauline:</t>
        </r>
        <r>
          <rPr>
            <sz val="9"/>
            <color indexed="81"/>
            <rFont val="Tahoma"/>
            <family val="2"/>
          </rPr>
          <t xml:space="preserve">
Based on those analyzed</t>
        </r>
      </text>
    </comment>
    <comment ref="Z191" authorId="1" shapeId="0" xr:uid="{00000000-0006-0000-0000-000025010000}">
      <text>
        <r>
          <rPr>
            <b/>
            <sz val="9"/>
            <color indexed="81"/>
            <rFont val="Calibri"/>
            <family val="2"/>
          </rPr>
          <t>Kristin Danko:</t>
        </r>
        <r>
          <rPr>
            <sz val="9"/>
            <color indexed="81"/>
            <rFont val="Calibri"/>
            <family val="2"/>
          </rPr>
          <t xml:space="preserve">
used 95% CI Cochrane method for ss&gt;100 (sqrt(n)*CI diff/3.92) Needs to be adjusted for clustering</t>
        </r>
      </text>
    </comment>
    <comment ref="AE191" authorId="1" shapeId="0" xr:uid="{00000000-0006-0000-0000-000026010000}">
      <text>
        <r>
          <rPr>
            <b/>
            <sz val="9"/>
            <color indexed="81"/>
            <rFont val="Calibri"/>
            <family val="2"/>
          </rPr>
          <t>Kristin Danko:</t>
        </r>
        <r>
          <rPr>
            <sz val="9"/>
            <color indexed="81"/>
            <rFont val="Calibri"/>
            <family val="2"/>
          </rPr>
          <t xml:space="preserve">
used 95% CI Cochrane method for ss&gt;100 (sqrt(n)*CI diff/3.92) Needs to be adjusted for clustering</t>
        </r>
      </text>
    </comment>
    <comment ref="BD191" authorId="1" shapeId="0" xr:uid="{00000000-0006-0000-0000-000027010000}">
      <text>
        <r>
          <rPr>
            <b/>
            <sz val="9"/>
            <color indexed="81"/>
            <rFont val="Calibri"/>
            <family val="2"/>
          </rPr>
          <t>Kristin Danko:</t>
        </r>
        <r>
          <rPr>
            <sz val="9"/>
            <color indexed="81"/>
            <rFont val="Calibri"/>
            <family val="2"/>
          </rPr>
          <t xml:space="preserve">
used 95% CI Cochrane method for ss&gt;100 (sqrt(n)*CI diff/3.92) Needs to be adjusted for clustering</t>
        </r>
      </text>
    </comment>
    <comment ref="BQ191" authorId="1" shapeId="0" xr:uid="{00000000-0006-0000-0000-000028010000}">
      <text>
        <r>
          <rPr>
            <b/>
            <sz val="9"/>
            <color indexed="81"/>
            <rFont val="Calibri"/>
            <family val="2"/>
          </rPr>
          <t>Kristin Danko:</t>
        </r>
        <r>
          <rPr>
            <sz val="9"/>
            <color indexed="81"/>
            <rFont val="Calibri"/>
            <family val="2"/>
          </rPr>
          <t xml:space="preserve">
used 95% CI Cochrane method for ss&gt;100 (sqrt(n)*CI diff/3.92) Needs to be adjusted for clustering</t>
        </r>
      </text>
    </comment>
    <comment ref="DG191" authorId="1" shapeId="0" xr:uid="{00000000-0006-0000-0000-000029010000}">
      <text>
        <r>
          <rPr>
            <b/>
            <sz val="9"/>
            <color indexed="81"/>
            <rFont val="Verdana"/>
            <family val="2"/>
          </rPr>
          <t>Kristin Danko:</t>
        </r>
        <r>
          <rPr>
            <sz val="9"/>
            <color indexed="81"/>
            <rFont val="Verdana"/>
            <family val="2"/>
          </rPr>
          <t xml:space="preserve">
difference of difference</t>
        </r>
      </text>
    </comment>
    <comment ref="DH192" authorId="1" shapeId="0" xr:uid="{00000000-0006-0000-0000-00002A010000}">
      <text>
        <r>
          <rPr>
            <b/>
            <sz val="9"/>
            <color indexed="81"/>
            <rFont val="Verdana"/>
            <family val="2"/>
          </rPr>
          <t>Kristin Danko:</t>
        </r>
        <r>
          <rPr>
            <sz val="9"/>
            <color indexed="81"/>
            <rFont val="Verdana"/>
            <family val="2"/>
          </rPr>
          <t xml:space="preserve">
calculated based on post change only p-value</t>
        </r>
      </text>
    </comment>
    <comment ref="M194" authorId="1" shapeId="0" xr:uid="{00000000-0006-0000-0000-00002B010000}">
      <text>
        <r>
          <rPr>
            <b/>
            <sz val="9"/>
            <color indexed="81"/>
            <rFont val="Calibri"/>
            <family val="2"/>
          </rPr>
          <t>Kristin Danko:</t>
        </r>
        <r>
          <rPr>
            <sz val="9"/>
            <color indexed="81"/>
            <rFont val="Calibri"/>
            <family val="2"/>
          </rPr>
          <t xml:space="preserve">
baseline</t>
        </r>
      </text>
    </comment>
    <comment ref="U195" authorId="2" shapeId="0" xr:uid="{00000000-0006-0000-0000-00002C010000}">
      <text>
        <r>
          <rPr>
            <b/>
            <sz val="9"/>
            <color indexed="81"/>
            <rFont val="Tahoma"/>
            <family val="2"/>
          </rPr>
          <t>Quach, Pauline:</t>
        </r>
        <r>
          <rPr>
            <sz val="9"/>
            <color indexed="81"/>
            <rFont val="Tahoma"/>
            <family val="2"/>
          </rPr>
          <t xml:space="preserve">
based on those analyzed</t>
        </r>
      </text>
    </comment>
    <comment ref="V195" authorId="2" shapeId="0" xr:uid="{00000000-0006-0000-0000-00002D010000}">
      <text>
        <r>
          <rPr>
            <b/>
            <sz val="9"/>
            <color indexed="81"/>
            <rFont val="Tahoma"/>
            <family val="2"/>
          </rPr>
          <t>Quach, Pauline:</t>
        </r>
        <r>
          <rPr>
            <sz val="9"/>
            <color indexed="81"/>
            <rFont val="Tahoma"/>
            <family val="2"/>
          </rPr>
          <t xml:space="preserve">
based on those analyzed</t>
        </r>
      </text>
    </comment>
    <comment ref="W195" authorId="2" shapeId="0" xr:uid="{00000000-0006-0000-0000-00002E010000}">
      <text>
        <r>
          <rPr>
            <b/>
            <sz val="9"/>
            <color indexed="81"/>
            <rFont val="Tahoma"/>
            <family val="2"/>
          </rPr>
          <t>Quach, Pauline:</t>
        </r>
        <r>
          <rPr>
            <sz val="9"/>
            <color indexed="81"/>
            <rFont val="Tahoma"/>
            <family val="2"/>
          </rPr>
          <t xml:space="preserve">
based on those analyzed</t>
        </r>
      </text>
    </comment>
    <comment ref="X195" authorId="2" shapeId="0" xr:uid="{00000000-0006-0000-0000-00002F010000}">
      <text>
        <r>
          <rPr>
            <b/>
            <sz val="9"/>
            <color indexed="81"/>
            <rFont val="Tahoma"/>
            <family val="2"/>
          </rPr>
          <t>Quach, Pauline:</t>
        </r>
        <r>
          <rPr>
            <sz val="9"/>
            <color indexed="81"/>
            <rFont val="Tahoma"/>
            <family val="2"/>
          </rPr>
          <t xml:space="preserve">
based on those analyzed</t>
        </r>
      </text>
    </comment>
    <comment ref="DG196" authorId="1" shapeId="0" xr:uid="{00000000-0006-0000-0000-000030010000}">
      <text>
        <r>
          <rPr>
            <b/>
            <sz val="9"/>
            <color indexed="81"/>
            <rFont val="Verdana"/>
            <family val="2"/>
          </rPr>
          <t>Kristin Danko:</t>
        </r>
        <r>
          <rPr>
            <sz val="9"/>
            <color indexed="81"/>
            <rFont val="Verdana"/>
            <family val="2"/>
          </rPr>
          <t xml:space="preserve">
difference in change between groups</t>
        </r>
      </text>
    </comment>
    <comment ref="U197" authorId="2" shapeId="0" xr:uid="{00000000-0006-0000-0000-000031010000}">
      <text>
        <r>
          <rPr>
            <b/>
            <sz val="9"/>
            <color indexed="81"/>
            <rFont val="Tahoma"/>
            <family val="2"/>
          </rPr>
          <t>Quach, Pauline:</t>
        </r>
        <r>
          <rPr>
            <sz val="9"/>
            <color indexed="81"/>
            <rFont val="Tahoma"/>
            <family val="2"/>
          </rPr>
          <t xml:space="preserve">
Only had baseline data and final values  for 51.5% of controls, so actual n=70</t>
        </r>
      </text>
    </comment>
    <comment ref="V197" authorId="2" shapeId="0" xr:uid="{00000000-0006-0000-0000-000032010000}">
      <text>
        <r>
          <rPr>
            <b/>
            <sz val="9"/>
            <color indexed="81"/>
            <rFont val="Tahoma"/>
            <family val="2"/>
          </rPr>
          <t>Quach, Pauline:</t>
        </r>
        <r>
          <rPr>
            <sz val="9"/>
            <color indexed="81"/>
            <rFont val="Tahoma"/>
            <family val="2"/>
          </rPr>
          <t xml:space="preserve">
Only had baseline data and final values  for 38.7% of controls, so actual n=59</t>
        </r>
      </text>
    </comment>
    <comment ref="AC197" authorId="3" shapeId="0" xr:uid="{00000000-0006-0000-0000-000033010000}">
      <text>
        <r>
          <rPr>
            <b/>
            <sz val="9"/>
            <color indexed="81"/>
            <rFont val="Verdana"/>
            <family val="2"/>
          </rPr>
          <t>Samir:</t>
        </r>
        <r>
          <rPr>
            <sz val="9"/>
            <color indexed="81"/>
            <rFont val="Verdana"/>
            <family val="2"/>
          </rPr>
          <t xml:space="preserve">
range: 5.6-11.1</t>
        </r>
      </text>
    </comment>
    <comment ref="AY197" authorId="2" shapeId="0" xr:uid="{00000000-0006-0000-0000-000034010000}">
      <text>
        <r>
          <rPr>
            <b/>
            <sz val="9"/>
            <color indexed="81"/>
            <rFont val="Tahoma"/>
            <family val="2"/>
          </rPr>
          <t>Quach, Pauline:</t>
        </r>
        <r>
          <rPr>
            <sz val="9"/>
            <color indexed="81"/>
            <rFont val="Tahoma"/>
            <family val="2"/>
          </rPr>
          <t xml:space="preserve">
Only had baseline data and final values  for 51.5% of controls, so actual n=70</t>
        </r>
      </text>
    </comment>
    <comment ref="AZ197" authorId="2" shapeId="0" xr:uid="{00000000-0006-0000-0000-000035010000}">
      <text>
        <r>
          <rPr>
            <b/>
            <sz val="9"/>
            <color indexed="81"/>
            <rFont val="Tahoma"/>
            <family val="2"/>
          </rPr>
          <t>Quach, Pauline:</t>
        </r>
        <r>
          <rPr>
            <sz val="9"/>
            <color indexed="81"/>
            <rFont val="Tahoma"/>
            <family val="2"/>
          </rPr>
          <t xml:space="preserve">
Only had baseline data and final values  for 38.7% of controls, so actual n=59</t>
        </r>
      </text>
    </comment>
    <comment ref="Q199" authorId="1" shapeId="0" xr:uid="{00000000-0006-0000-0000-000036010000}">
      <text>
        <r>
          <rPr>
            <b/>
            <sz val="9"/>
            <color indexed="81"/>
            <rFont val="Verdana"/>
            <family val="2"/>
          </rPr>
          <t>Kristin Danko:</t>
        </r>
        <r>
          <rPr>
            <sz val="9"/>
            <color indexed="81"/>
            <rFont val="Verdana"/>
            <family val="2"/>
          </rPr>
          <t xml:space="preserve">
reported &lt;0.001 so took 0.001 to be conservative
</t>
        </r>
      </text>
    </comment>
    <comment ref="R199" authorId="1" shapeId="0" xr:uid="{00000000-0006-0000-0000-000037010000}">
      <text>
        <r>
          <rPr>
            <b/>
            <sz val="9"/>
            <color indexed="81"/>
            <rFont val="Verdana"/>
            <family val="2"/>
          </rPr>
          <t>Kristin Danko:</t>
        </r>
        <r>
          <rPr>
            <sz val="9"/>
            <color indexed="81"/>
            <rFont val="Verdana"/>
            <family val="2"/>
          </rPr>
          <t xml:space="preserve">
reported &lt;0.001 so took 0.001 to be conservative
</t>
        </r>
      </text>
    </comment>
    <comment ref="BJ201" authorId="2" shapeId="0" xr:uid="{00000000-0006-0000-0000-000038010000}">
      <text>
        <r>
          <rPr>
            <b/>
            <sz val="9"/>
            <color indexed="81"/>
            <rFont val="Tahoma"/>
            <family val="2"/>
          </rPr>
          <t>Quach, Pauline:</t>
        </r>
        <r>
          <rPr>
            <sz val="9"/>
            <color indexed="81"/>
            <rFont val="Tahoma"/>
            <family val="2"/>
          </rPr>
          <t xml:space="preserve">
they provide change score in table 4, but these values make no sense (+/- wise)</t>
        </r>
      </text>
    </comment>
    <comment ref="BW201" authorId="2" shapeId="0" xr:uid="{00000000-0006-0000-0000-000039010000}">
      <text>
        <r>
          <rPr>
            <b/>
            <sz val="9"/>
            <color indexed="81"/>
            <rFont val="Tahoma"/>
            <family val="2"/>
          </rPr>
          <t>Quach, Pauline:</t>
        </r>
        <r>
          <rPr>
            <sz val="9"/>
            <color indexed="81"/>
            <rFont val="Tahoma"/>
            <family val="2"/>
          </rPr>
          <t xml:space="preserve">
they provide change score in table 4, but these values make no sense (+/- wise)</t>
        </r>
      </text>
    </comment>
    <comment ref="CD201" authorId="1" shapeId="0" xr:uid="{00000000-0006-0000-0000-00003A010000}">
      <text>
        <r>
          <rPr>
            <b/>
            <sz val="9"/>
            <color indexed="81"/>
            <rFont val="Verdana"/>
            <family val="2"/>
          </rPr>
          <t>Kristin Danko:</t>
        </r>
        <r>
          <rPr>
            <sz val="9"/>
            <color indexed="81"/>
            <rFont val="Verdana"/>
            <family val="2"/>
          </rPr>
          <t xml:space="preserve">
cluster adjusted value</t>
        </r>
      </text>
    </comment>
    <comment ref="CJ201" authorId="2" shapeId="0" xr:uid="{00000000-0006-0000-0000-00003B010000}">
      <text>
        <r>
          <rPr>
            <b/>
            <sz val="9"/>
            <color indexed="81"/>
            <rFont val="Tahoma"/>
            <family val="2"/>
          </rPr>
          <t>Quach, Pauline:</t>
        </r>
        <r>
          <rPr>
            <sz val="9"/>
            <color indexed="81"/>
            <rFont val="Tahoma"/>
            <family val="2"/>
          </rPr>
          <t xml:space="preserve">
they provide change score in table 4, but these values make no sense (+/- wise)</t>
        </r>
      </text>
    </comment>
    <comment ref="DI202" authorId="1" shapeId="0" xr:uid="{00000000-0006-0000-0000-00003C010000}">
      <text>
        <r>
          <rPr>
            <b/>
            <sz val="9"/>
            <color indexed="81"/>
            <rFont val="Verdana"/>
            <family val="2"/>
          </rPr>
          <t>Kristin Danko:</t>
        </r>
        <r>
          <rPr>
            <sz val="9"/>
            <color indexed="81"/>
            <rFont val="Verdana"/>
            <family val="2"/>
          </rPr>
          <t xml:space="preserve">
inappropriate p-value
</t>
        </r>
      </text>
    </comment>
    <comment ref="DJ202" authorId="1" shapeId="0" xr:uid="{00000000-0006-0000-0000-00003D010000}">
      <text>
        <r>
          <rPr>
            <b/>
            <sz val="9"/>
            <color indexed="81"/>
            <rFont val="Verdana"/>
            <family val="2"/>
          </rPr>
          <t>Kristin Danko:</t>
        </r>
        <r>
          <rPr>
            <sz val="9"/>
            <color indexed="81"/>
            <rFont val="Verdana"/>
            <family val="2"/>
          </rPr>
          <t xml:space="preserve">
inappropriate p-value
</t>
        </r>
      </text>
    </comment>
    <comment ref="P203" authorId="1" shapeId="0" xr:uid="{00000000-0006-0000-0000-00003E010000}">
      <text>
        <r>
          <rPr>
            <b/>
            <sz val="9"/>
            <color indexed="81"/>
            <rFont val="Calibri"/>
            <family val="2"/>
          </rPr>
          <t>Kristin Danko:</t>
        </r>
        <r>
          <rPr>
            <sz val="9"/>
            <color indexed="81"/>
            <rFont val="Calibri"/>
            <family val="2"/>
          </rPr>
          <t xml:space="preserve">
reported range for all outcomes -0.021 to 0.054</t>
        </r>
      </text>
    </comment>
    <comment ref="Y203" authorId="2" shapeId="0" xr:uid="{00000000-0006-0000-0000-00003F010000}">
      <text>
        <r>
          <rPr>
            <b/>
            <sz val="9"/>
            <color indexed="81"/>
            <rFont val="Tahoma"/>
            <family val="2"/>
          </rPr>
          <t>Quach, Pauline:</t>
        </r>
        <r>
          <rPr>
            <sz val="9"/>
            <color indexed="81"/>
            <rFont val="Tahoma"/>
            <family val="2"/>
          </rPr>
          <t xml:space="preserve">
</t>
        </r>
        <r>
          <rPr>
            <sz val="9"/>
            <color indexed="81"/>
            <rFont val="Tahoma"/>
            <family val="2"/>
          </rPr>
          <t>Median; assumed normal distribution and placed here</t>
        </r>
      </text>
    </comment>
    <comment ref="Z203" authorId="1" shapeId="0" xr:uid="{00000000-0006-0000-0000-000040010000}">
      <text>
        <r>
          <rPr>
            <b/>
            <sz val="9"/>
            <color indexed="81"/>
            <rFont val="Verdana"/>
            <family val="2"/>
          </rPr>
          <t>Kristin Danko:</t>
        </r>
        <r>
          <rPr>
            <sz val="9"/>
            <color indexed="81"/>
            <rFont val="Verdana"/>
            <family val="2"/>
          </rPr>
          <t xml:space="preserve">
calculated from IQR (IQR diff/1.35) from Cochrane, needs to be adjusted for clustering</t>
        </r>
      </text>
    </comment>
    <comment ref="AD203" authorId="1" shapeId="0" xr:uid="{00000000-0006-0000-0000-000041010000}">
      <text>
        <r>
          <rPr>
            <b/>
            <sz val="9"/>
            <color indexed="81"/>
            <rFont val="Verdana"/>
            <family val="2"/>
          </rPr>
          <t>Kristin Danko:</t>
        </r>
        <r>
          <rPr>
            <sz val="9"/>
            <color indexed="81"/>
            <rFont val="Verdana"/>
            <family val="2"/>
          </rPr>
          <t xml:space="preserve">
median; assumed normal distution</t>
        </r>
      </text>
    </comment>
    <comment ref="AE203" authorId="1" shapeId="0" xr:uid="{00000000-0006-0000-0000-000042010000}">
      <text>
        <r>
          <rPr>
            <b/>
            <sz val="9"/>
            <color indexed="81"/>
            <rFont val="Verdana"/>
            <family val="2"/>
          </rPr>
          <t>Kristin Danko:</t>
        </r>
        <r>
          <rPr>
            <sz val="9"/>
            <color indexed="81"/>
            <rFont val="Verdana"/>
            <family val="2"/>
          </rPr>
          <t xml:space="preserve">
calculated from IQR (IQR diff/1.35) from Cochrane</t>
        </r>
      </text>
    </comment>
    <comment ref="BC203" authorId="1" shapeId="0" xr:uid="{00000000-0006-0000-0000-000043010000}">
      <text>
        <r>
          <rPr>
            <b/>
            <sz val="9"/>
            <color indexed="81"/>
            <rFont val="Verdana"/>
            <family val="2"/>
          </rPr>
          <t>Kristin Danko:</t>
        </r>
        <r>
          <rPr>
            <sz val="9"/>
            <color indexed="81"/>
            <rFont val="Verdana"/>
            <family val="2"/>
          </rPr>
          <t xml:space="preserve">
median; assumed normal distribution</t>
        </r>
      </text>
    </comment>
    <comment ref="BD203" authorId="1" shapeId="0" xr:uid="{00000000-0006-0000-0000-000044010000}">
      <text>
        <r>
          <rPr>
            <b/>
            <sz val="9"/>
            <color indexed="81"/>
            <rFont val="Verdana"/>
            <family val="2"/>
          </rPr>
          <t>Kristin Danko:</t>
        </r>
        <r>
          <rPr>
            <sz val="9"/>
            <color indexed="81"/>
            <rFont val="Verdana"/>
            <family val="2"/>
          </rPr>
          <t xml:space="preserve">
calculated from IQR (IQR diff/1.35) from Cochrane</t>
        </r>
      </text>
    </comment>
    <comment ref="BP203" authorId="1" shapeId="0" xr:uid="{00000000-0006-0000-0000-000045010000}">
      <text>
        <r>
          <rPr>
            <b/>
            <sz val="9"/>
            <color indexed="81"/>
            <rFont val="Verdana"/>
            <family val="2"/>
          </rPr>
          <t>Kristin Danko:</t>
        </r>
        <r>
          <rPr>
            <sz val="9"/>
            <color indexed="81"/>
            <rFont val="Verdana"/>
            <family val="2"/>
          </rPr>
          <t xml:space="preserve">
median; assumed normal distribution</t>
        </r>
      </text>
    </comment>
    <comment ref="BQ203" authorId="1" shapeId="0" xr:uid="{00000000-0006-0000-0000-000046010000}">
      <text>
        <r>
          <rPr>
            <b/>
            <sz val="9"/>
            <color indexed="81"/>
            <rFont val="Verdana"/>
            <family val="2"/>
          </rPr>
          <t>Kristin Danko:</t>
        </r>
        <r>
          <rPr>
            <sz val="9"/>
            <color indexed="81"/>
            <rFont val="Verdana"/>
            <family val="2"/>
          </rPr>
          <t xml:space="preserve">
calculated from IQR (IQR diff/1.35) from Cochrane</t>
        </r>
      </text>
    </comment>
    <comment ref="DG203" authorId="1" shapeId="0" xr:uid="{00000000-0006-0000-0000-000047010000}">
      <text>
        <r>
          <rPr>
            <b/>
            <sz val="9"/>
            <color indexed="81"/>
            <rFont val="Verdana"/>
            <family val="2"/>
          </rPr>
          <t>Kristin Danko:</t>
        </r>
        <r>
          <rPr>
            <sz val="9"/>
            <color indexed="81"/>
            <rFont val="Verdana"/>
            <family val="2"/>
          </rPr>
          <t xml:space="preserve">
on log scale, not extracted b/c not meaningful
</t>
        </r>
      </text>
    </comment>
    <comment ref="DH203" authorId="1" shapeId="0" xr:uid="{00000000-0006-0000-0000-000048010000}">
      <text>
        <r>
          <rPr>
            <b/>
            <sz val="9"/>
            <color indexed="81"/>
            <rFont val="Verdana"/>
            <family val="2"/>
          </rPr>
          <t>Kristin Danko:</t>
        </r>
        <r>
          <rPr>
            <sz val="9"/>
            <color indexed="81"/>
            <rFont val="Verdana"/>
            <family val="2"/>
          </rPr>
          <t xml:space="preserve">
on log scale, not extracted b/c not meaningful
</t>
        </r>
      </text>
    </comment>
    <comment ref="DI203" authorId="1" shapeId="0" xr:uid="{00000000-0006-0000-0000-000049010000}">
      <text>
        <r>
          <rPr>
            <b/>
            <sz val="9"/>
            <color indexed="81"/>
            <rFont val="Verdana"/>
            <family val="2"/>
          </rPr>
          <t>Kristin Danko:</t>
        </r>
        <r>
          <rPr>
            <sz val="9"/>
            <color indexed="81"/>
            <rFont val="Verdana"/>
            <family val="2"/>
          </rPr>
          <t xml:space="preserve">
on log scale, not extracted b/c not meaningful
</t>
        </r>
      </text>
    </comment>
    <comment ref="DJ203" authorId="1" shapeId="0" xr:uid="{00000000-0006-0000-0000-00004A010000}">
      <text>
        <r>
          <rPr>
            <b/>
            <sz val="9"/>
            <color indexed="81"/>
            <rFont val="Verdana"/>
            <family val="2"/>
          </rPr>
          <t>Kristin Danko:</t>
        </r>
        <r>
          <rPr>
            <sz val="9"/>
            <color indexed="81"/>
            <rFont val="Verdana"/>
            <family val="2"/>
          </rPr>
          <t xml:space="preserve">
on log scale, not extracted b/c not meaningful
</t>
        </r>
      </text>
    </comment>
    <comment ref="L204" authorId="1" shapeId="0" xr:uid="{00000000-0006-0000-0000-00004B010000}">
      <text>
        <r>
          <rPr>
            <b/>
            <sz val="9"/>
            <color indexed="81"/>
            <rFont val="Calibri"/>
            <family val="2"/>
          </rPr>
          <t>Kristin Danko:</t>
        </r>
        <r>
          <rPr>
            <sz val="9"/>
            <color indexed="81"/>
            <rFont val="Calibri"/>
            <family val="2"/>
          </rPr>
          <t xml:space="preserve">
not adjusted b/c ICC was negative, so treat as independent; but appropritae</t>
        </r>
      </text>
    </comment>
    <comment ref="Q204" authorId="1" shapeId="0" xr:uid="{00000000-0006-0000-0000-00004C010000}">
      <text>
        <r>
          <rPr>
            <b/>
            <sz val="9"/>
            <color indexed="81"/>
            <rFont val="Verdana"/>
            <family val="2"/>
          </rPr>
          <t>Kristin Danko:</t>
        </r>
        <r>
          <rPr>
            <sz val="9"/>
            <color indexed="81"/>
            <rFont val="Verdana"/>
            <family val="2"/>
          </rPr>
          <t xml:space="preserve">
at baseline; follow-up ICC was negative</t>
        </r>
      </text>
    </comment>
    <comment ref="Y205" authorId="1" shapeId="0" xr:uid="{00000000-0006-0000-0000-00004D010000}">
      <text>
        <r>
          <rPr>
            <b/>
            <sz val="9"/>
            <color indexed="81"/>
            <rFont val="Calibri"/>
            <family val="2"/>
          </rPr>
          <t>Kristin Danko:</t>
        </r>
        <r>
          <rPr>
            <sz val="9"/>
            <color indexed="81"/>
            <rFont val="Calibri"/>
            <family val="2"/>
          </rPr>
          <t xml:space="preserve">
Median</t>
        </r>
      </text>
    </comment>
    <comment ref="Z205" authorId="1" shapeId="0" xr:uid="{00000000-0006-0000-0000-00004E010000}">
      <text>
        <r>
          <rPr>
            <b/>
            <sz val="9"/>
            <color indexed="81"/>
            <rFont val="Calibri"/>
            <family val="2"/>
          </rPr>
          <t>Kristin Danko:</t>
        </r>
        <r>
          <rPr>
            <sz val="9"/>
            <color indexed="81"/>
            <rFont val="Calibri"/>
            <family val="2"/>
          </rPr>
          <t xml:space="preserve">
sample size&gt;70, used Hozo algorithm: range/6, needs to be adjusted</t>
        </r>
      </text>
    </comment>
    <comment ref="AC205" authorId="1" shapeId="0" xr:uid="{00000000-0006-0000-0000-00004F010000}">
      <text>
        <r>
          <rPr>
            <b/>
            <sz val="9"/>
            <color indexed="81"/>
            <rFont val="Calibri"/>
            <family val="2"/>
          </rPr>
          <t>Kristin Danko:</t>
        </r>
        <r>
          <rPr>
            <sz val="9"/>
            <color indexed="81"/>
            <rFont val="Calibri"/>
            <family val="2"/>
          </rPr>
          <t xml:space="preserve">
range, not IQR</t>
        </r>
      </text>
    </comment>
    <comment ref="AD205" authorId="1" shapeId="0" xr:uid="{00000000-0006-0000-0000-000050010000}">
      <text>
        <r>
          <rPr>
            <b/>
            <sz val="9"/>
            <color indexed="81"/>
            <rFont val="Verdana"/>
            <family val="2"/>
          </rPr>
          <t>Kristin Danko:</t>
        </r>
        <r>
          <rPr>
            <sz val="9"/>
            <color indexed="81"/>
            <rFont val="Verdana"/>
            <family val="2"/>
          </rPr>
          <t xml:space="preserve">
median</t>
        </r>
      </text>
    </comment>
    <comment ref="AE205" authorId="1" shapeId="0" xr:uid="{00000000-0006-0000-0000-000051010000}">
      <text>
        <r>
          <rPr>
            <b/>
            <sz val="9"/>
            <color indexed="81"/>
            <rFont val="Calibri"/>
            <family val="2"/>
          </rPr>
          <t>Kristin Danko:</t>
        </r>
        <r>
          <rPr>
            <sz val="9"/>
            <color indexed="81"/>
            <rFont val="Calibri"/>
            <family val="2"/>
          </rPr>
          <t xml:space="preserve">
sample size&gt;70, used Hozo algorithm: range/6</t>
        </r>
      </text>
    </comment>
    <comment ref="AH205" authorId="1" shapeId="0" xr:uid="{00000000-0006-0000-0000-000052010000}">
      <text>
        <r>
          <rPr>
            <b/>
            <sz val="9"/>
            <color indexed="81"/>
            <rFont val="Calibri"/>
            <family val="2"/>
          </rPr>
          <t>Kristin Danko:</t>
        </r>
        <r>
          <rPr>
            <sz val="9"/>
            <color indexed="81"/>
            <rFont val="Calibri"/>
            <family val="2"/>
          </rPr>
          <t xml:space="preserve">
range, not IQR</t>
        </r>
      </text>
    </comment>
    <comment ref="BC205" authorId="2" shapeId="0" xr:uid="{00000000-0006-0000-0000-000053010000}">
      <text>
        <r>
          <rPr>
            <b/>
            <sz val="9"/>
            <color indexed="81"/>
            <rFont val="Tahoma"/>
            <family val="2"/>
          </rPr>
          <t xml:space="preserve">Kristin:
</t>
        </r>
        <r>
          <rPr>
            <sz val="9"/>
            <color indexed="81"/>
            <rFont val="Tahoma"/>
            <family val="2"/>
          </rPr>
          <t xml:space="preserve">median
</t>
        </r>
      </text>
    </comment>
    <comment ref="BD205" authorId="1" shapeId="0" xr:uid="{00000000-0006-0000-0000-000054010000}">
      <text>
        <r>
          <rPr>
            <b/>
            <sz val="9"/>
            <color indexed="81"/>
            <rFont val="Calibri"/>
            <family val="2"/>
          </rPr>
          <t>Kristin Danko:</t>
        </r>
        <r>
          <rPr>
            <sz val="9"/>
            <color indexed="81"/>
            <rFont val="Calibri"/>
            <family val="2"/>
          </rPr>
          <t xml:space="preserve">
sample size&gt;70, used Hozo algorithm: range/6</t>
        </r>
      </text>
    </comment>
    <comment ref="BI205" authorId="1" shapeId="0" xr:uid="{00000000-0006-0000-0000-000055010000}">
      <text>
        <r>
          <rPr>
            <b/>
            <sz val="9"/>
            <color indexed="81"/>
            <rFont val="Calibri"/>
            <family val="2"/>
          </rPr>
          <t>Kristin Danko:</t>
        </r>
        <r>
          <rPr>
            <sz val="9"/>
            <color indexed="81"/>
            <rFont val="Calibri"/>
            <family val="2"/>
          </rPr>
          <t xml:space="preserve">
range, not IQR</t>
        </r>
      </text>
    </comment>
    <comment ref="BP205" authorId="2" shapeId="0" xr:uid="{00000000-0006-0000-0000-000056010000}">
      <text>
        <r>
          <rPr>
            <b/>
            <sz val="9"/>
            <color indexed="81"/>
            <rFont val="Tahoma"/>
            <family val="2"/>
          </rPr>
          <t xml:space="preserve">Kristin:
</t>
        </r>
        <r>
          <rPr>
            <sz val="9"/>
            <color indexed="81"/>
            <rFont val="Tahoma"/>
            <family val="2"/>
          </rPr>
          <t>Median</t>
        </r>
      </text>
    </comment>
    <comment ref="BQ205" authorId="1" shapeId="0" xr:uid="{00000000-0006-0000-0000-000057010000}">
      <text>
        <r>
          <rPr>
            <b/>
            <sz val="9"/>
            <color indexed="81"/>
            <rFont val="Calibri"/>
            <family val="2"/>
          </rPr>
          <t>Kristin Danko:</t>
        </r>
        <r>
          <rPr>
            <sz val="9"/>
            <color indexed="81"/>
            <rFont val="Calibri"/>
            <family val="2"/>
          </rPr>
          <t xml:space="preserve">
sample size&gt;70, used Hozo algorithm: range/6</t>
        </r>
      </text>
    </comment>
    <comment ref="BV205" authorId="1" shapeId="0" xr:uid="{00000000-0006-0000-0000-000058010000}">
      <text>
        <r>
          <rPr>
            <b/>
            <sz val="9"/>
            <color indexed="81"/>
            <rFont val="Calibri"/>
            <family val="2"/>
          </rPr>
          <t>Kristin Danko:</t>
        </r>
        <r>
          <rPr>
            <sz val="9"/>
            <color indexed="81"/>
            <rFont val="Calibri"/>
            <family val="2"/>
          </rPr>
          <t xml:space="preserve">
range, not IQR</t>
        </r>
      </text>
    </comment>
    <comment ref="AY206" authorId="4" shapeId="0" xr:uid="{00000000-0006-0000-0000-000059010000}">
      <text>
        <r>
          <rPr>
            <b/>
            <sz val="8"/>
            <color indexed="81"/>
            <rFont val="Tahoma"/>
            <family val="2"/>
          </rPr>
          <t>kdanko:</t>
        </r>
        <r>
          <rPr>
            <sz val="8"/>
            <color indexed="81"/>
            <rFont val="Tahoma"/>
            <family val="2"/>
          </rPr>
          <t xml:space="preserve">
should be 628, 626, 763, 656</t>
        </r>
      </text>
    </comment>
    <comment ref="DI207" authorId="1" shapeId="0" xr:uid="{00000000-0006-0000-0000-00005A010000}">
      <text>
        <r>
          <rPr>
            <b/>
            <sz val="9"/>
            <color indexed="81"/>
            <rFont val="Verdana"/>
            <family val="2"/>
          </rPr>
          <t>Kristin Danko:</t>
        </r>
        <r>
          <rPr>
            <sz val="9"/>
            <color indexed="81"/>
            <rFont val="Verdana"/>
            <family val="2"/>
          </rPr>
          <t xml:space="preserve">
no p-values, but also do not appear to have been adjusted for - present only mean and SD's at psot in text
</t>
        </r>
      </text>
    </comment>
    <comment ref="BD208" authorId="1" shapeId="0" xr:uid="{00000000-0006-0000-0000-00005B010000}">
      <text>
        <r>
          <rPr>
            <b/>
            <sz val="9"/>
            <color indexed="81"/>
            <rFont val="Calibri"/>
            <family val="2"/>
          </rPr>
          <t>Kristin Danko:</t>
        </r>
        <r>
          <rPr>
            <sz val="9"/>
            <color indexed="81"/>
            <rFont val="Calibri"/>
            <family val="2"/>
          </rPr>
          <t xml:space="preserve">
sample size&gt;70, used Hozo algorithm: range/6; needs cluster adjustment still</t>
        </r>
      </text>
    </comment>
    <comment ref="BQ208" authorId="1" shapeId="0" xr:uid="{00000000-0006-0000-0000-00005C010000}">
      <text>
        <r>
          <rPr>
            <b/>
            <sz val="9"/>
            <color indexed="81"/>
            <rFont val="Calibri"/>
            <family val="2"/>
          </rPr>
          <t>Kristin Danko:</t>
        </r>
        <r>
          <rPr>
            <sz val="9"/>
            <color indexed="81"/>
            <rFont val="Calibri"/>
            <family val="2"/>
          </rPr>
          <t xml:space="preserve">
sample size&gt;70, used Hozo algorithm: range/6; needs cluster adjustment still</t>
        </r>
      </text>
    </comment>
    <comment ref="DG208" authorId="1" shapeId="0" xr:uid="{00000000-0006-0000-0000-00005D010000}">
      <text>
        <r>
          <rPr>
            <b/>
            <sz val="9"/>
            <color indexed="81"/>
            <rFont val="Verdana"/>
            <family val="2"/>
          </rPr>
          <t>Kristin Danko:</t>
        </r>
        <r>
          <rPr>
            <sz val="9"/>
            <color indexed="81"/>
            <rFont val="Verdana"/>
            <family val="2"/>
          </rPr>
          <t xml:space="preserve">
calucated from post values only</t>
        </r>
      </text>
    </comment>
    <comment ref="DH208" authorId="1" shapeId="0" xr:uid="{00000000-0006-0000-0000-00005E010000}">
      <text>
        <r>
          <rPr>
            <b/>
            <sz val="9"/>
            <color indexed="81"/>
            <rFont val="Verdana"/>
            <family val="2"/>
          </rPr>
          <t>Kristin Danko:</t>
        </r>
        <r>
          <rPr>
            <sz val="9"/>
            <color indexed="81"/>
            <rFont val="Verdana"/>
            <family val="2"/>
          </rPr>
          <t xml:space="preserve">
calculated
post only p-value</t>
        </r>
      </text>
    </comment>
    <comment ref="DC209" authorId="2" shapeId="0" xr:uid="{00000000-0006-0000-0000-00005F010000}">
      <text>
        <r>
          <rPr>
            <b/>
            <sz val="9"/>
            <color indexed="81"/>
            <rFont val="Tahoma"/>
            <family val="2"/>
          </rPr>
          <t>Quach, Pauline:</t>
        </r>
        <r>
          <rPr>
            <sz val="9"/>
            <color indexed="81"/>
            <rFont val="Tahoma"/>
            <family val="2"/>
          </rPr>
          <t xml:space="preserve">
Note: results are for "during" trial.</t>
        </r>
      </text>
    </comment>
    <comment ref="AY212" authorId="1" shapeId="0" xr:uid="{00000000-0006-0000-0000-000060010000}">
      <text>
        <r>
          <rPr>
            <b/>
            <sz val="9"/>
            <color indexed="81"/>
            <rFont val="Calibri"/>
            <family val="2"/>
          </rPr>
          <t>Kristin Danko:</t>
        </r>
        <r>
          <rPr>
            <sz val="9"/>
            <color indexed="81"/>
            <rFont val="Calibri"/>
            <family val="2"/>
          </rPr>
          <t xml:space="preserve">
post n based on chart values; some missing but unknown. Put in baseline values. </t>
        </r>
      </text>
    </comment>
    <comment ref="DE213" authorId="1" shapeId="0" xr:uid="{00000000-0006-0000-0000-000061010000}">
      <text>
        <r>
          <rPr>
            <b/>
            <sz val="9"/>
            <color indexed="81"/>
            <rFont val="Verdana"/>
            <family val="2"/>
          </rPr>
          <t>Kristin Danko:</t>
        </r>
        <r>
          <rPr>
            <sz val="9"/>
            <color indexed="81"/>
            <rFont val="Verdana"/>
            <family val="2"/>
          </rPr>
          <t xml:space="preserve">
inappropriate p-value
</t>
        </r>
      </text>
    </comment>
    <comment ref="DF213" authorId="1" shapeId="0" xr:uid="{00000000-0006-0000-0000-000062010000}">
      <text>
        <r>
          <rPr>
            <b/>
            <sz val="9"/>
            <color indexed="81"/>
            <rFont val="Verdana"/>
            <family val="2"/>
          </rPr>
          <t>Kristin Danko:</t>
        </r>
        <r>
          <rPr>
            <sz val="9"/>
            <color indexed="81"/>
            <rFont val="Verdana"/>
            <family val="2"/>
          </rPr>
          <t xml:space="preserve">
inappropriate p-value
</t>
        </r>
      </text>
    </comment>
    <comment ref="DI213" authorId="1" shapeId="0" xr:uid="{00000000-0006-0000-0000-000063010000}">
      <text>
        <r>
          <rPr>
            <b/>
            <sz val="9"/>
            <color indexed="81"/>
            <rFont val="Verdana"/>
            <family val="2"/>
          </rPr>
          <t>Kristin Danko:</t>
        </r>
        <r>
          <rPr>
            <sz val="9"/>
            <color indexed="81"/>
            <rFont val="Verdana"/>
            <family val="2"/>
          </rPr>
          <t xml:space="preserve">
inappropriate p-value
</t>
        </r>
      </text>
    </comment>
    <comment ref="DJ213" authorId="1" shapeId="0" xr:uid="{00000000-0006-0000-0000-000064010000}">
      <text>
        <r>
          <rPr>
            <b/>
            <sz val="9"/>
            <color indexed="81"/>
            <rFont val="Verdana"/>
            <family val="2"/>
          </rPr>
          <t>Kristin Danko:</t>
        </r>
        <r>
          <rPr>
            <sz val="9"/>
            <color indexed="81"/>
            <rFont val="Verdana"/>
            <family val="2"/>
          </rPr>
          <t xml:space="preserve">
inappropriate p-value
</t>
        </r>
      </text>
    </comment>
    <comment ref="Y214" authorId="2" shapeId="0" xr:uid="{00000000-0006-0000-0000-000065010000}">
      <text>
        <r>
          <rPr>
            <b/>
            <sz val="9"/>
            <color indexed="81"/>
            <rFont val="Tahoma"/>
            <family val="2"/>
          </rPr>
          <t>Quach, Pauline:</t>
        </r>
        <r>
          <rPr>
            <sz val="9"/>
            <color indexed="81"/>
            <rFont val="Tahoma"/>
            <family val="2"/>
          </rPr>
          <t xml:space="preserve">
95%CI 7.2-7.7</t>
        </r>
      </text>
    </comment>
    <comment ref="Z214" authorId="1" shapeId="0" xr:uid="{00000000-0006-0000-0000-000066010000}">
      <text>
        <r>
          <rPr>
            <b/>
            <sz val="9"/>
            <color indexed="81"/>
            <rFont val="Calibri"/>
            <family val="2"/>
          </rPr>
          <t>Kristin Danko:</t>
        </r>
        <r>
          <rPr>
            <sz val="9"/>
            <color indexed="81"/>
            <rFont val="Calibri"/>
            <family val="2"/>
          </rPr>
          <t xml:space="preserve">
used 95% CI Cochrane method for ss&gt;100 (sqrt(n)*CI diff/3.92) Needs to be adjusted for clustering</t>
        </r>
      </text>
    </comment>
    <comment ref="AD214" authorId="2" shapeId="0" xr:uid="{00000000-0006-0000-0000-000067010000}">
      <text>
        <r>
          <rPr>
            <b/>
            <sz val="9"/>
            <color indexed="81"/>
            <rFont val="Tahoma"/>
            <family val="2"/>
          </rPr>
          <t>Quach, Pauline:</t>
        </r>
        <r>
          <rPr>
            <sz val="9"/>
            <color indexed="81"/>
            <rFont val="Tahoma"/>
            <family val="2"/>
          </rPr>
          <t xml:space="preserve">
95%CI 7.1-7.5</t>
        </r>
      </text>
    </comment>
    <comment ref="AE214" authorId="1" shapeId="0" xr:uid="{00000000-0006-0000-0000-000068010000}">
      <text>
        <r>
          <rPr>
            <b/>
            <sz val="9"/>
            <color indexed="81"/>
            <rFont val="Calibri"/>
            <family val="2"/>
          </rPr>
          <t>Kristin Danko:</t>
        </r>
        <r>
          <rPr>
            <sz val="9"/>
            <color indexed="81"/>
            <rFont val="Calibri"/>
            <family val="2"/>
          </rPr>
          <t xml:space="preserve">
used 95% CI Cochrane method for ss&gt;100 (sqrt(n)*CI diff/3.92) Needs to be adjusted for clustering</t>
        </r>
      </text>
    </comment>
    <comment ref="BC214" authorId="2" shapeId="0" xr:uid="{00000000-0006-0000-0000-000069010000}">
      <text>
        <r>
          <rPr>
            <b/>
            <sz val="9"/>
            <color indexed="81"/>
            <rFont val="Tahoma"/>
            <family val="2"/>
          </rPr>
          <t>Quach, Pauline:</t>
        </r>
        <r>
          <rPr>
            <sz val="9"/>
            <color indexed="81"/>
            <rFont val="Tahoma"/>
            <family val="2"/>
          </rPr>
          <t xml:space="preserve">
95% CI- 7.1-7.6</t>
        </r>
      </text>
    </comment>
    <comment ref="BD214" authorId="1" shapeId="0" xr:uid="{00000000-0006-0000-0000-00006A010000}">
      <text>
        <r>
          <rPr>
            <b/>
            <sz val="9"/>
            <color indexed="81"/>
            <rFont val="Calibri"/>
            <family val="2"/>
          </rPr>
          <t>Kristin Danko:</t>
        </r>
        <r>
          <rPr>
            <sz val="9"/>
            <color indexed="81"/>
            <rFont val="Calibri"/>
            <family val="2"/>
          </rPr>
          <t xml:space="preserve">
used 95% CI Cochrane method for ss&gt;100 (sqrt(n)*CI diff/3.92) Needs to be adjusted for clustering</t>
        </r>
      </text>
    </comment>
    <comment ref="BP214" authorId="2" shapeId="0" xr:uid="{00000000-0006-0000-0000-00006B010000}">
      <text>
        <r>
          <rPr>
            <b/>
            <sz val="9"/>
            <color indexed="81"/>
            <rFont val="Tahoma"/>
            <family val="2"/>
          </rPr>
          <t>Quach, Pauline:</t>
        </r>
        <r>
          <rPr>
            <sz val="9"/>
            <color indexed="81"/>
            <rFont val="Tahoma"/>
            <family val="2"/>
          </rPr>
          <t xml:space="preserve">
95% CI- 7.1-7.5</t>
        </r>
      </text>
    </comment>
    <comment ref="BQ214" authorId="1" shapeId="0" xr:uid="{00000000-0006-0000-0000-00006C010000}">
      <text>
        <r>
          <rPr>
            <b/>
            <sz val="9"/>
            <color indexed="81"/>
            <rFont val="Calibri"/>
            <family val="2"/>
          </rPr>
          <t>Kristin Danko:</t>
        </r>
        <r>
          <rPr>
            <sz val="9"/>
            <color indexed="81"/>
            <rFont val="Calibri"/>
            <family val="2"/>
          </rPr>
          <t xml:space="preserve">
used 95% CI Cochrane method for ss&gt;100 (sqrt(n)*CI diff/3.92) Needs to be adjusted for clustering</t>
        </r>
      </text>
    </comment>
    <comment ref="DG214" authorId="1" shapeId="0" xr:uid="{00000000-0006-0000-0000-00006D010000}">
      <text>
        <r>
          <rPr>
            <b/>
            <sz val="9"/>
            <color indexed="81"/>
            <rFont val="Verdana"/>
            <family val="2"/>
          </rPr>
          <t>Kristin Danko:</t>
        </r>
        <r>
          <rPr>
            <sz val="9"/>
            <color indexed="81"/>
            <rFont val="Verdana"/>
            <family val="2"/>
          </rPr>
          <t xml:space="preserve">
difference in change between groups</t>
        </r>
      </text>
    </comment>
    <comment ref="U215" authorId="2" shapeId="0" xr:uid="{00000000-0006-0000-0000-00006E010000}">
      <text>
        <r>
          <rPr>
            <b/>
            <sz val="9"/>
            <color indexed="81"/>
            <rFont val="Tahoma"/>
            <family val="2"/>
          </rPr>
          <t>Quach, Pauline:</t>
        </r>
        <r>
          <rPr>
            <sz val="9"/>
            <color indexed="81"/>
            <rFont val="Tahoma"/>
            <family val="2"/>
          </rPr>
          <t xml:space="preserve">
103 practices randomized, n for patients not provided. 69 practices provided baseline after dropouts, n=467 (therefore # randomized after dropouts)</t>
        </r>
      </text>
    </comment>
    <comment ref="V215" authorId="2" shapeId="0" xr:uid="{00000000-0006-0000-0000-00006F010000}">
      <text>
        <r>
          <rPr>
            <b/>
            <sz val="9"/>
            <color indexed="81"/>
            <rFont val="Tahoma"/>
            <family val="2"/>
          </rPr>
          <t>Quach, Pauline:</t>
        </r>
        <r>
          <rPr>
            <sz val="9"/>
            <color indexed="81"/>
            <rFont val="Tahoma"/>
            <family val="2"/>
          </rPr>
          <t xml:space="preserve">
102 practices randomized, n not provided. 65 practices provided baseline after dropouts, n=715 (# randomized after dropouts)</t>
        </r>
      </text>
    </comment>
    <comment ref="Z215" authorId="1" shapeId="0" xr:uid="{00000000-0006-0000-0000-000070010000}">
      <text>
        <r>
          <rPr>
            <b/>
            <sz val="9"/>
            <color indexed="81"/>
            <rFont val="Calibri"/>
            <family val="2"/>
          </rPr>
          <t>Kristin Danko:</t>
        </r>
        <r>
          <rPr>
            <sz val="9"/>
            <color indexed="81"/>
            <rFont val="Calibri"/>
            <family val="2"/>
          </rPr>
          <t xml:space="preserve">
used 95% CI Cochrane method for ss&gt;100 (sqrt(n)*CI diff/3.92) Needs to be adjusted for clustering</t>
        </r>
      </text>
    </comment>
    <comment ref="AE215" authorId="1" shapeId="0" xr:uid="{00000000-0006-0000-0000-000071010000}">
      <text>
        <r>
          <rPr>
            <b/>
            <sz val="9"/>
            <color indexed="81"/>
            <rFont val="Calibri"/>
            <family val="2"/>
          </rPr>
          <t>Kristin Danko:</t>
        </r>
        <r>
          <rPr>
            <sz val="9"/>
            <color indexed="81"/>
            <rFont val="Calibri"/>
            <family val="2"/>
          </rPr>
          <t xml:space="preserve">
used 95% CI Cochrane method for ss&gt;100 (sqrt(n)*CI diff/3.92) Needs to be adjusted for clustering</t>
        </r>
      </text>
    </comment>
    <comment ref="BD215" authorId="1" shapeId="0" xr:uid="{00000000-0006-0000-0000-000072010000}">
      <text>
        <r>
          <rPr>
            <b/>
            <sz val="9"/>
            <color indexed="81"/>
            <rFont val="Calibri"/>
            <family val="2"/>
          </rPr>
          <t>Kristin Danko:</t>
        </r>
        <r>
          <rPr>
            <sz val="9"/>
            <color indexed="81"/>
            <rFont val="Calibri"/>
            <family val="2"/>
          </rPr>
          <t xml:space="preserve">
used 95% CI Cochrane method for ss&gt;100 (sqrt(n)*CI diff/3.92) Needs to be adjusted for clustering</t>
        </r>
      </text>
    </comment>
    <comment ref="BQ215" authorId="1" shapeId="0" xr:uid="{00000000-0006-0000-0000-000073010000}">
      <text>
        <r>
          <rPr>
            <b/>
            <sz val="9"/>
            <color indexed="81"/>
            <rFont val="Calibri"/>
            <family val="2"/>
          </rPr>
          <t>Kristin Danko:</t>
        </r>
        <r>
          <rPr>
            <sz val="9"/>
            <color indexed="81"/>
            <rFont val="Calibri"/>
            <family val="2"/>
          </rPr>
          <t xml:space="preserve">
used 95% CI Cochrane method for ss&gt;100 (sqrt(n)*CI diff/3.92) Needs to be adjusted for clustering</t>
        </r>
      </text>
    </comment>
    <comment ref="DI215" authorId="1" shapeId="0" xr:uid="{00000000-0006-0000-0000-000074010000}">
      <text>
        <r>
          <rPr>
            <b/>
            <sz val="9"/>
            <color indexed="81"/>
            <rFont val="Verdana"/>
            <family val="2"/>
          </rPr>
          <t>Kristin Danko:</t>
        </r>
        <r>
          <rPr>
            <sz val="9"/>
            <color indexed="81"/>
            <rFont val="Verdana"/>
            <family val="2"/>
          </rPr>
          <t xml:space="preserve">
generalized linear mixed models (GLMM) for control target estimates, but not mean A1c</t>
        </r>
      </text>
    </comment>
    <comment ref="M217" authorId="1" shapeId="0" xr:uid="{00000000-0006-0000-0000-000075010000}">
      <text>
        <r>
          <rPr>
            <b/>
            <sz val="9"/>
            <color indexed="81"/>
            <rFont val="Calibri"/>
            <family val="2"/>
          </rPr>
          <t>Kristin Danko:</t>
        </r>
        <r>
          <rPr>
            <sz val="9"/>
            <color indexed="81"/>
            <rFont val="Calibri"/>
            <family val="2"/>
          </rPr>
          <t xml:space="preserve">
adjusted for baseline</t>
        </r>
      </text>
    </comment>
    <comment ref="BD217" authorId="1" shapeId="0" xr:uid="{00000000-0006-0000-0000-000076010000}">
      <text>
        <r>
          <rPr>
            <b/>
            <sz val="9"/>
            <color indexed="81"/>
            <rFont val="Calibri"/>
            <family val="2"/>
          </rPr>
          <t>Kristin Danko:</t>
        </r>
        <r>
          <rPr>
            <sz val="9"/>
            <color indexed="81"/>
            <rFont val="Calibri"/>
            <family val="2"/>
          </rPr>
          <t xml:space="preserve">
used 95% CI Cochrane method for ss&gt;100 (sqrt(n)*CI diff/3.92) Needs to be adjusted for clustering</t>
        </r>
      </text>
    </comment>
    <comment ref="BQ217" authorId="1" shapeId="0" xr:uid="{00000000-0006-0000-0000-000077010000}">
      <text>
        <r>
          <rPr>
            <b/>
            <sz val="9"/>
            <color indexed="81"/>
            <rFont val="Calibri"/>
            <family val="2"/>
          </rPr>
          <t>Kristin Danko:</t>
        </r>
        <r>
          <rPr>
            <sz val="9"/>
            <color indexed="81"/>
            <rFont val="Calibri"/>
            <family val="2"/>
          </rPr>
          <t xml:space="preserve">
used 95% CI Cochrane method for ss&gt;100 (sqrt(n)*CI diff/3.92) Needs to be adjusted for clustering</t>
        </r>
      </text>
    </comment>
    <comment ref="Y219" authorId="1" shapeId="0" xr:uid="{00000000-0006-0000-0000-000078010000}">
      <text>
        <r>
          <rPr>
            <b/>
            <sz val="9"/>
            <color indexed="81"/>
            <rFont val="Verdana"/>
            <family val="2"/>
          </rPr>
          <t>Kristin Danko:</t>
        </r>
        <r>
          <rPr>
            <sz val="9"/>
            <color indexed="81"/>
            <rFont val="Verdana"/>
            <family val="2"/>
          </rPr>
          <t xml:space="preserve">
median</t>
        </r>
      </text>
    </comment>
    <comment ref="AD219" authorId="1" shapeId="0" xr:uid="{00000000-0006-0000-0000-000079010000}">
      <text>
        <r>
          <rPr>
            <b/>
            <sz val="9"/>
            <color indexed="81"/>
            <rFont val="Verdana"/>
            <family val="2"/>
          </rPr>
          <t>Kristin Danko:</t>
        </r>
        <r>
          <rPr>
            <sz val="9"/>
            <color indexed="81"/>
            <rFont val="Verdana"/>
            <family val="2"/>
          </rPr>
          <t xml:space="preserve">
median</t>
        </r>
      </text>
    </comment>
    <comment ref="AI219" authorId="1" shapeId="0" xr:uid="{00000000-0006-0000-0000-00007A010000}">
      <text>
        <r>
          <rPr>
            <b/>
            <sz val="9"/>
            <color indexed="81"/>
            <rFont val="Calibri"/>
            <family val="2"/>
          </rPr>
          <t>Kristin Danko:</t>
        </r>
        <r>
          <rPr>
            <sz val="9"/>
            <color indexed="81"/>
            <rFont val="Calibri"/>
            <family val="2"/>
          </rPr>
          <t xml:space="preserve">
Median</t>
        </r>
      </text>
    </comment>
    <comment ref="AY219" authorId="2" shapeId="0" xr:uid="{00000000-0006-0000-0000-00007B010000}">
      <text>
        <r>
          <rPr>
            <b/>
            <sz val="9"/>
            <color indexed="81"/>
            <rFont val="Tahoma"/>
            <family val="2"/>
          </rPr>
          <t>Quach, Pauline:</t>
        </r>
        <r>
          <rPr>
            <sz val="9"/>
            <color indexed="81"/>
            <rFont val="Tahoma"/>
            <family val="2"/>
          </rPr>
          <t xml:space="preserve">
these are basline #s, unsure what #s were at follow-up, do not mention that ITT was done.</t>
        </r>
      </text>
    </comment>
    <comment ref="BC219" authorId="1" shapeId="0" xr:uid="{00000000-0006-0000-0000-00007C010000}">
      <text>
        <r>
          <rPr>
            <b/>
            <sz val="9"/>
            <color indexed="81"/>
            <rFont val="Verdana"/>
            <family val="2"/>
          </rPr>
          <t>Kristin Danko:</t>
        </r>
        <r>
          <rPr>
            <sz val="9"/>
            <color indexed="81"/>
            <rFont val="Verdana"/>
            <family val="2"/>
          </rPr>
          <t xml:space="preserve">
median</t>
        </r>
      </text>
    </comment>
    <comment ref="BP219" authorId="1" shapeId="0" xr:uid="{00000000-0006-0000-0000-00007D010000}">
      <text>
        <r>
          <rPr>
            <b/>
            <sz val="9"/>
            <color indexed="81"/>
            <rFont val="Verdana"/>
            <family val="2"/>
          </rPr>
          <t>Kristin Danko:</t>
        </r>
        <r>
          <rPr>
            <sz val="9"/>
            <color indexed="81"/>
            <rFont val="Verdana"/>
            <family val="2"/>
          </rPr>
          <t xml:space="preserve">
median</t>
        </r>
      </text>
    </comment>
    <comment ref="CC219" authorId="1" shapeId="0" xr:uid="{00000000-0006-0000-0000-00007E010000}">
      <text>
        <r>
          <rPr>
            <b/>
            <sz val="9"/>
            <color indexed="81"/>
            <rFont val="Calibri"/>
            <family val="2"/>
          </rPr>
          <t>Kristin Danko:</t>
        </r>
        <r>
          <rPr>
            <sz val="9"/>
            <color indexed="81"/>
            <rFont val="Calibri"/>
            <family val="2"/>
          </rPr>
          <t xml:space="preserve">
median</t>
        </r>
      </text>
    </comment>
    <comment ref="AZ220" authorId="4" shapeId="0" xr:uid="{00000000-0006-0000-0000-00007F010000}">
      <text>
        <r>
          <rPr>
            <b/>
            <sz val="8"/>
            <color indexed="81"/>
            <rFont val="Tahoma"/>
            <family val="2"/>
          </rPr>
          <t>kdanko:</t>
        </r>
        <r>
          <rPr>
            <sz val="8"/>
            <color indexed="81"/>
            <rFont val="Tahoma"/>
            <family val="2"/>
          </rPr>
          <t xml:space="preserve">
switched group 2 and 3</t>
        </r>
      </text>
    </comment>
    <comment ref="DJ220" authorId="1" shapeId="0" xr:uid="{00000000-0006-0000-0000-000080010000}">
      <text>
        <r>
          <rPr>
            <b/>
            <sz val="9"/>
            <color indexed="81"/>
            <rFont val="Verdana"/>
            <family val="2"/>
          </rPr>
          <t>Kristin Danko:</t>
        </r>
        <r>
          <rPr>
            <sz val="9"/>
            <color indexed="81"/>
            <rFont val="Verdana"/>
            <family val="2"/>
          </rPr>
          <t xml:space="preserve">
comparison across 3 arms</t>
        </r>
      </text>
    </comment>
    <comment ref="DG221" authorId="1" shapeId="0" xr:uid="{00000000-0006-0000-0000-000081010000}">
      <text>
        <r>
          <rPr>
            <b/>
            <sz val="9"/>
            <color indexed="81"/>
            <rFont val="Verdana"/>
            <family val="2"/>
          </rPr>
          <t>Kristin Danko:</t>
        </r>
        <r>
          <rPr>
            <sz val="9"/>
            <color indexed="81"/>
            <rFont val="Verdana"/>
            <family val="2"/>
          </rPr>
          <t xml:space="preserve">
adjusted mean difference, Table 2 (note for imputed data, which extracted here)
</t>
        </r>
      </text>
    </comment>
    <comment ref="BC222" authorId="1" shapeId="0" xr:uid="{00000000-0006-0000-0000-000082010000}">
      <text>
        <r>
          <rPr>
            <b/>
            <sz val="9"/>
            <color indexed="81"/>
            <rFont val="Calibri"/>
            <family val="2"/>
          </rPr>
          <t>Kristin Danko:</t>
        </r>
        <r>
          <rPr>
            <sz val="9"/>
            <color indexed="81"/>
            <rFont val="Calibri"/>
            <family val="2"/>
          </rPr>
          <t xml:space="preserve">
calculated</t>
        </r>
      </text>
    </comment>
    <comment ref="BP222" authorId="2" shapeId="0" xr:uid="{00000000-0006-0000-0000-000083010000}">
      <text>
        <r>
          <rPr>
            <b/>
            <sz val="9"/>
            <color indexed="81"/>
            <rFont val="Tahoma"/>
            <family val="2"/>
          </rPr>
          <t>Quach, Pauline:</t>
        </r>
        <r>
          <rPr>
            <sz val="9"/>
            <color indexed="81"/>
            <rFont val="Tahoma"/>
            <family val="2"/>
          </rPr>
          <t xml:space="preserve">
calculated</t>
        </r>
      </text>
    </comment>
    <comment ref="DJ222" authorId="1" shapeId="0" xr:uid="{00000000-0006-0000-0000-000084010000}">
      <text>
        <r>
          <rPr>
            <b/>
            <sz val="9"/>
            <color indexed="81"/>
            <rFont val="Verdana"/>
            <family val="2"/>
          </rPr>
          <t>Kristin Danko:</t>
        </r>
        <r>
          <rPr>
            <sz val="9"/>
            <color indexed="81"/>
            <rFont val="Verdana"/>
            <family val="2"/>
          </rPr>
          <t xml:space="preserve">
unclear if this analysis is on the log transformed scale; we believe it is (Table 2)</t>
        </r>
      </text>
    </comment>
    <comment ref="Z223" authorId="1" shapeId="0" xr:uid="{00000000-0006-0000-0000-000085010000}">
      <text>
        <r>
          <rPr>
            <b/>
            <sz val="9"/>
            <color indexed="81"/>
            <rFont val="Verdana"/>
            <family val="2"/>
          </rPr>
          <t>Kristin Danko:</t>
        </r>
        <r>
          <rPr>
            <sz val="9"/>
            <color indexed="81"/>
            <rFont val="Verdana"/>
            <family val="2"/>
          </rPr>
          <t xml:space="preserve">
This is not an SE as indicated in paper, but probably the SD </t>
        </r>
      </text>
    </comment>
    <comment ref="AE223" authorId="1" shapeId="0" xr:uid="{00000000-0006-0000-0000-000086010000}">
      <text>
        <r>
          <rPr>
            <b/>
            <sz val="9"/>
            <color indexed="81"/>
            <rFont val="Verdana"/>
            <family val="2"/>
          </rPr>
          <t>Kristin Danko:</t>
        </r>
        <r>
          <rPr>
            <sz val="9"/>
            <color indexed="81"/>
            <rFont val="Verdana"/>
            <family val="2"/>
          </rPr>
          <t xml:space="preserve">
This is not an SE as indicated in paper, but probably the SD</t>
        </r>
      </text>
    </comment>
    <comment ref="BC223" authorId="2" shapeId="0" xr:uid="{00000000-0006-0000-0000-000087010000}">
      <text>
        <r>
          <rPr>
            <b/>
            <sz val="9"/>
            <color indexed="81"/>
            <rFont val="Tahoma"/>
            <family val="2"/>
          </rPr>
          <t xml:space="preserve">Kristin:
</t>
        </r>
        <r>
          <rPr>
            <sz val="9"/>
            <color indexed="81"/>
            <rFont val="Tahoma"/>
            <family val="2"/>
          </rPr>
          <t xml:space="preserve">Adjusted </t>
        </r>
      </text>
    </comment>
    <comment ref="BP223" authorId="2" shapeId="0" xr:uid="{00000000-0006-0000-0000-000088010000}">
      <text>
        <r>
          <rPr>
            <b/>
            <sz val="9"/>
            <color indexed="81"/>
            <rFont val="Tahoma"/>
            <family val="2"/>
          </rPr>
          <t xml:space="preserve">Kristin:
</t>
        </r>
        <r>
          <rPr>
            <sz val="9"/>
            <color indexed="81"/>
            <rFont val="Tahoma"/>
            <family val="2"/>
          </rPr>
          <t xml:space="preserve">Adjusted </t>
        </r>
      </text>
    </comment>
    <comment ref="BC224" authorId="2" shapeId="0" xr:uid="{00000000-0006-0000-0000-000089010000}">
      <text>
        <r>
          <rPr>
            <b/>
            <sz val="9"/>
            <color indexed="81"/>
            <rFont val="Tahoma"/>
            <family val="2"/>
          </rPr>
          <t>Quach, Pauline:</t>
        </r>
        <r>
          <rPr>
            <sz val="9"/>
            <color indexed="81"/>
            <rFont val="Tahoma"/>
            <family val="2"/>
          </rPr>
          <t xml:space="preserve">
adjusted for age, sex and CCI</t>
        </r>
      </text>
    </comment>
    <comment ref="BP224" authorId="2" shapeId="0" xr:uid="{00000000-0006-0000-0000-00008A010000}">
      <text>
        <r>
          <rPr>
            <b/>
            <sz val="9"/>
            <color indexed="81"/>
            <rFont val="Tahoma"/>
            <family val="2"/>
          </rPr>
          <t>Quach, Pauline:</t>
        </r>
        <r>
          <rPr>
            <sz val="9"/>
            <color indexed="81"/>
            <rFont val="Tahoma"/>
            <family val="2"/>
          </rPr>
          <t xml:space="preserve">
adjusted for age, sex and CCI</t>
        </r>
      </text>
    </comment>
    <comment ref="E225" authorId="1" shapeId="0" xr:uid="{00000000-0006-0000-0000-00008B010000}">
      <text>
        <r>
          <rPr>
            <b/>
            <sz val="9"/>
            <color indexed="81"/>
            <rFont val="Calibri"/>
            <family val="2"/>
          </rPr>
          <t>Kristin Danko:</t>
        </r>
        <r>
          <rPr>
            <sz val="9"/>
            <color indexed="81"/>
            <rFont val="Calibri"/>
            <family val="2"/>
          </rPr>
          <t xml:space="preserve">
actually cluster study, but needed to treat as patient for analysis coding</t>
        </r>
      </text>
    </comment>
    <comment ref="O225" authorId="1" shapeId="0" xr:uid="{00000000-0006-0000-0000-00008C010000}">
      <text>
        <r>
          <rPr>
            <b/>
            <sz val="9"/>
            <color indexed="81"/>
            <rFont val="Calibri"/>
            <family val="2"/>
          </rPr>
          <t>Kristin Danko:</t>
        </r>
        <r>
          <rPr>
            <sz val="9"/>
            <color indexed="81"/>
            <rFont val="Calibri"/>
            <family val="2"/>
          </rPr>
          <t xml:space="preserve">
because negative ICC</t>
        </r>
      </text>
    </comment>
    <comment ref="Q225" authorId="2" shapeId="0" xr:uid="{00000000-0006-0000-0000-00008D010000}">
      <text>
        <r>
          <rPr>
            <b/>
            <sz val="9"/>
            <color indexed="81"/>
            <rFont val="Tahoma"/>
            <family val="2"/>
          </rPr>
          <t>Quach, Pauline:</t>
        </r>
        <r>
          <rPr>
            <sz val="9"/>
            <color indexed="81"/>
            <rFont val="Tahoma"/>
            <family val="2"/>
          </rPr>
          <t xml:space="preserve">
 They provide results based on data without adjustment and ICC (presented here)- and also provide data which reflect his as well. ICC (not sure for which group- N1 or N2).</t>
        </r>
        <r>
          <rPr>
            <b/>
            <sz val="9"/>
            <color indexed="81"/>
            <rFont val="Tahoma"/>
            <family val="2"/>
          </rPr>
          <t xml:space="preserve"> This is the  ICC at the district (randomisation level) -0.002, ICC at the surgery (physician level)=0.003</t>
        </r>
      </text>
    </comment>
    <comment ref="R225" authorId="2" shapeId="0" xr:uid="{00000000-0006-0000-0000-00008E010000}">
      <text>
        <r>
          <rPr>
            <b/>
            <sz val="9"/>
            <color indexed="81"/>
            <rFont val="Tahoma"/>
            <family val="2"/>
          </rPr>
          <t>Quach, Pauline:</t>
        </r>
        <r>
          <rPr>
            <sz val="9"/>
            <color indexed="81"/>
            <rFont val="Tahoma"/>
            <family val="2"/>
          </rPr>
          <t xml:space="preserve">
 They provide results based on data without adjustment and ICC (presented here)- and also provide data which reflect his as well. ICC (not sure for which group- N1 or N2). This is the  ICC at the district (randomisation level) -0.002, ICC at the surgery (physician level)=0.003</t>
        </r>
      </text>
    </comment>
    <comment ref="BC225" authorId="2" shapeId="0" xr:uid="{00000000-0006-0000-0000-00008F010000}">
      <text>
        <r>
          <rPr>
            <b/>
            <sz val="9"/>
            <color indexed="81"/>
            <rFont val="Tahoma"/>
            <family val="2"/>
          </rPr>
          <t>Quach, Pauline:</t>
        </r>
        <r>
          <rPr>
            <sz val="9"/>
            <color indexed="81"/>
            <rFont val="Tahoma"/>
            <family val="2"/>
          </rPr>
          <t xml:space="preserve">
calculated</t>
        </r>
      </text>
    </comment>
    <comment ref="BJ225" authorId="2" shapeId="0" xr:uid="{00000000-0006-0000-0000-000090010000}">
      <text>
        <r>
          <rPr>
            <b/>
            <sz val="9"/>
            <color indexed="81"/>
            <rFont val="Tahoma"/>
            <family val="2"/>
          </rPr>
          <t>Quach, Pauline:</t>
        </r>
        <r>
          <rPr>
            <sz val="9"/>
            <color indexed="81"/>
            <rFont val="Tahoma"/>
            <family val="2"/>
          </rPr>
          <t xml:space="preserve">
authors note that (+)= reduction</t>
        </r>
      </text>
    </comment>
    <comment ref="BP225" authorId="2" shapeId="0" xr:uid="{00000000-0006-0000-0000-000091010000}">
      <text>
        <r>
          <rPr>
            <b/>
            <sz val="9"/>
            <color indexed="81"/>
            <rFont val="Tahoma"/>
            <family val="2"/>
          </rPr>
          <t>Quach, Pauline:</t>
        </r>
        <r>
          <rPr>
            <sz val="9"/>
            <color indexed="81"/>
            <rFont val="Tahoma"/>
            <family val="2"/>
          </rPr>
          <t xml:space="preserve">
calculated</t>
        </r>
      </text>
    </comment>
    <comment ref="BW225" authorId="2" shapeId="0" xr:uid="{00000000-0006-0000-0000-000092010000}">
      <text>
        <r>
          <rPr>
            <b/>
            <sz val="9"/>
            <color indexed="81"/>
            <rFont val="Tahoma"/>
            <family val="2"/>
          </rPr>
          <t>Quach, Pauline:</t>
        </r>
        <r>
          <rPr>
            <sz val="9"/>
            <color indexed="81"/>
            <rFont val="Tahoma"/>
            <family val="2"/>
          </rPr>
          <t xml:space="preserve">
authors note that (+)= reduction</t>
        </r>
      </text>
    </comment>
    <comment ref="BJ226" authorId="2" shapeId="0" xr:uid="{00000000-0006-0000-0000-000093010000}">
      <text>
        <r>
          <rPr>
            <b/>
            <sz val="9"/>
            <color indexed="81"/>
            <rFont val="Tahoma"/>
            <family val="2"/>
          </rPr>
          <t>Quach, Pauline:</t>
        </r>
        <r>
          <rPr>
            <sz val="9"/>
            <color indexed="81"/>
            <rFont val="Tahoma"/>
            <family val="2"/>
          </rPr>
          <t xml:space="preserve">
Doesn't add up between pre and post. Ie, post values may be adjusted.</t>
        </r>
      </text>
    </comment>
    <comment ref="BW226" authorId="2" shapeId="0" xr:uid="{00000000-0006-0000-0000-000094010000}">
      <text>
        <r>
          <rPr>
            <b/>
            <sz val="9"/>
            <color indexed="81"/>
            <rFont val="Tahoma"/>
            <family val="2"/>
          </rPr>
          <t>Quach, Pauline:</t>
        </r>
        <r>
          <rPr>
            <sz val="9"/>
            <color indexed="81"/>
            <rFont val="Tahoma"/>
            <family val="2"/>
          </rPr>
          <t xml:space="preserve">
Doesn't add up between pre and post. Ie, post values may be adjusted.</t>
        </r>
      </text>
    </comment>
    <comment ref="AA227" authorId="1" shapeId="0" xr:uid="{00000000-0006-0000-0000-000095010000}">
      <text>
        <r>
          <rPr>
            <b/>
            <sz val="9"/>
            <color indexed="81"/>
            <rFont val="Verdana"/>
            <family val="2"/>
          </rPr>
          <t>Kristin Danko:</t>
        </r>
        <r>
          <rPr>
            <sz val="9"/>
            <color indexed="81"/>
            <rFont val="Verdana"/>
            <family val="2"/>
          </rPr>
          <t xml:space="preserve">
unadjusted</t>
        </r>
      </text>
    </comment>
    <comment ref="AS227" authorId="2" shapeId="0" xr:uid="{00000000-0006-0000-0000-000096010000}">
      <text>
        <r>
          <rPr>
            <b/>
            <sz val="9"/>
            <color indexed="81"/>
            <rFont val="Tahoma"/>
            <family val="2"/>
          </rPr>
          <t>Quach, Pauline:</t>
        </r>
        <r>
          <rPr>
            <sz val="9"/>
            <color indexed="81"/>
            <rFont val="Tahoma"/>
            <family val="2"/>
          </rPr>
          <t xml:space="preserve">
adjusted for clustering</t>
        </r>
      </text>
    </comment>
    <comment ref="BE227" authorId="1" shapeId="0" xr:uid="{00000000-0006-0000-0000-000097010000}">
      <text>
        <r>
          <rPr>
            <b/>
            <sz val="9"/>
            <color indexed="81"/>
            <rFont val="Verdana"/>
            <family val="2"/>
          </rPr>
          <t>Kristin Danko:</t>
        </r>
        <r>
          <rPr>
            <sz val="9"/>
            <color indexed="81"/>
            <rFont val="Verdana"/>
            <family val="2"/>
          </rPr>
          <t xml:space="preserve">
adjusted for clustering</t>
        </r>
      </text>
    </comment>
    <comment ref="BR227" authorId="1" shapeId="0" xr:uid="{00000000-0006-0000-0000-000098010000}">
      <text>
        <r>
          <rPr>
            <b/>
            <sz val="9"/>
            <color indexed="81"/>
            <rFont val="Verdana"/>
            <family val="2"/>
          </rPr>
          <t>Kristin Danko:</t>
        </r>
        <r>
          <rPr>
            <sz val="9"/>
            <color indexed="81"/>
            <rFont val="Verdana"/>
            <family val="2"/>
          </rPr>
          <t xml:space="preserve">
adjusted for clustering</t>
        </r>
      </text>
    </comment>
    <comment ref="BC228" authorId="2" shapeId="0" xr:uid="{00000000-0006-0000-0000-000099010000}">
      <text>
        <r>
          <rPr>
            <b/>
            <sz val="9"/>
            <color indexed="81"/>
            <rFont val="Tahoma"/>
            <family val="2"/>
          </rPr>
          <t>Quach, Pauline:</t>
        </r>
        <r>
          <rPr>
            <sz val="9"/>
            <color indexed="81"/>
            <rFont val="Tahoma"/>
            <family val="2"/>
          </rPr>
          <t xml:space="preserve">
adjusted- chronic disease score, self-reported health, age, sex, baseline value for outcome (physical function, bed and restricted activity days, HbA1c, cholesterol, use, and costs)</t>
        </r>
      </text>
    </comment>
    <comment ref="BP228" authorId="2" shapeId="0" xr:uid="{00000000-0006-0000-0000-00009A010000}">
      <text>
        <r>
          <rPr>
            <b/>
            <sz val="9"/>
            <color indexed="81"/>
            <rFont val="Tahoma"/>
            <family val="2"/>
          </rPr>
          <t>Quach, Pauline:</t>
        </r>
        <r>
          <rPr>
            <sz val="9"/>
            <color indexed="81"/>
            <rFont val="Tahoma"/>
            <family val="2"/>
          </rPr>
          <t xml:space="preserve">
adjusted- chronic disease score, self-reported health, age, sex, baseline value for outcome (physical function, bed and restricted activity days, HbA1c, cholesterol, use, and costs)</t>
        </r>
      </text>
    </comment>
    <comment ref="DH228" authorId="1" shapeId="0" xr:uid="{00000000-0006-0000-0000-00009B010000}">
      <text>
        <r>
          <rPr>
            <b/>
            <sz val="9"/>
            <color indexed="81"/>
            <rFont val="Verdana"/>
            <family val="2"/>
          </rPr>
          <t>Kristin Danko:</t>
        </r>
        <r>
          <rPr>
            <sz val="9"/>
            <color indexed="81"/>
            <rFont val="Verdana"/>
            <family val="2"/>
          </rPr>
          <t xml:space="preserve">
can not calculate
post difference int-con between mean difference=0</t>
        </r>
      </text>
    </comment>
    <comment ref="BC229" authorId="2" shapeId="0" xr:uid="{00000000-0006-0000-0000-00009C010000}">
      <text>
        <r>
          <rPr>
            <b/>
            <sz val="9"/>
            <color indexed="81"/>
            <rFont val="Tahoma"/>
            <family val="2"/>
          </rPr>
          <t>Quach, Pauline:</t>
        </r>
        <r>
          <rPr>
            <sz val="9"/>
            <color indexed="81"/>
            <rFont val="Tahoma"/>
            <family val="2"/>
          </rPr>
          <t xml:space="preserve">
UNADJUSTED</t>
        </r>
      </text>
    </comment>
    <comment ref="BP229" authorId="2" shapeId="0" xr:uid="{00000000-0006-0000-0000-00009D010000}">
      <text>
        <r>
          <rPr>
            <b/>
            <sz val="9"/>
            <color indexed="81"/>
            <rFont val="Tahoma"/>
            <family val="2"/>
          </rPr>
          <t>Quach, Pauline:</t>
        </r>
        <r>
          <rPr>
            <sz val="9"/>
            <color indexed="81"/>
            <rFont val="Tahoma"/>
            <family val="2"/>
          </rPr>
          <t xml:space="preserve">
unadjusted</t>
        </r>
      </text>
    </comment>
    <comment ref="DH229" authorId="1" shapeId="0" xr:uid="{00000000-0006-0000-0000-00009E010000}">
      <text>
        <r>
          <rPr>
            <b/>
            <sz val="9"/>
            <color indexed="81"/>
            <rFont val="Verdana"/>
            <family val="2"/>
          </rPr>
          <t>Kristin Danko:</t>
        </r>
        <r>
          <rPr>
            <sz val="9"/>
            <color indexed="81"/>
            <rFont val="Verdana"/>
            <family val="2"/>
          </rPr>
          <t xml:space="preserve">
imputed from 95% CI</t>
        </r>
      </text>
    </comment>
    <comment ref="BC230" authorId="6" shapeId="0" xr:uid="{00000000-0006-0000-0000-00009F010000}">
      <text>
        <r>
          <rPr>
            <b/>
            <sz val="9"/>
            <color indexed="81"/>
            <rFont val="Tahoma"/>
            <family val="2"/>
          </rPr>
          <t>pauline.quach:</t>
        </r>
        <r>
          <rPr>
            <sz val="9"/>
            <color indexed="81"/>
            <rFont val="Tahoma"/>
            <family val="2"/>
          </rPr>
          <t xml:space="preserve">
calculated</t>
        </r>
      </text>
    </comment>
    <comment ref="BE230" authorId="1" shapeId="0" xr:uid="{00000000-0006-0000-0000-0000A0010000}">
      <text>
        <r>
          <rPr>
            <b/>
            <sz val="9"/>
            <color indexed="81"/>
            <rFont val="Calibri"/>
            <family val="2"/>
          </rPr>
          <t>Kristin Danko:</t>
        </r>
        <r>
          <rPr>
            <sz val="9"/>
            <color indexed="81"/>
            <rFont val="Calibri"/>
            <family val="2"/>
          </rPr>
          <t xml:space="preserve">
extracted SE from Figure 2 - needs to be adjusted for clustering</t>
        </r>
      </text>
    </comment>
    <comment ref="BP230" authorId="6" shapeId="0" xr:uid="{00000000-0006-0000-0000-0000A1010000}">
      <text>
        <r>
          <rPr>
            <b/>
            <sz val="9"/>
            <color indexed="81"/>
            <rFont val="Tahoma"/>
            <family val="2"/>
          </rPr>
          <t>pauline.quach:</t>
        </r>
        <r>
          <rPr>
            <sz val="9"/>
            <color indexed="81"/>
            <rFont val="Tahoma"/>
            <family val="2"/>
          </rPr>
          <t xml:space="preserve">
calculated</t>
        </r>
      </text>
    </comment>
    <comment ref="BR230" authorId="1" shapeId="0" xr:uid="{00000000-0006-0000-0000-0000A2010000}">
      <text>
        <r>
          <rPr>
            <b/>
            <sz val="9"/>
            <color indexed="81"/>
            <rFont val="Calibri"/>
            <family val="2"/>
          </rPr>
          <t>Kristin Danko:</t>
        </r>
        <r>
          <rPr>
            <sz val="9"/>
            <color indexed="81"/>
            <rFont val="Calibri"/>
            <family val="2"/>
          </rPr>
          <t xml:space="preserve">
extracted SE from Figure 2 - needs to be adjusted for clustering</t>
        </r>
      </text>
    </comment>
    <comment ref="CC230" authorId="6" shapeId="0" xr:uid="{00000000-0006-0000-0000-0000A3010000}">
      <text>
        <r>
          <rPr>
            <b/>
            <sz val="9"/>
            <color indexed="81"/>
            <rFont val="Tahoma"/>
            <family val="2"/>
          </rPr>
          <t>pauline.quach:</t>
        </r>
        <r>
          <rPr>
            <sz val="9"/>
            <color indexed="81"/>
            <rFont val="Tahoma"/>
            <family val="2"/>
          </rPr>
          <t xml:space="preserve">
calculated</t>
        </r>
      </text>
    </comment>
    <comment ref="CE230" authorId="1" shapeId="0" xr:uid="{00000000-0006-0000-0000-0000A4010000}">
      <text>
        <r>
          <rPr>
            <b/>
            <sz val="9"/>
            <color indexed="81"/>
            <rFont val="Calibri"/>
            <family val="2"/>
          </rPr>
          <t>Kristin Danko:</t>
        </r>
        <r>
          <rPr>
            <sz val="9"/>
            <color indexed="81"/>
            <rFont val="Calibri"/>
            <family val="2"/>
          </rPr>
          <t xml:space="preserve">
extracted SE from Figure 2 - needs to be adjusted for clustering</t>
        </r>
      </text>
    </comment>
    <comment ref="CP230" authorId="6" shapeId="0" xr:uid="{00000000-0006-0000-0000-0000A5010000}">
      <text>
        <r>
          <rPr>
            <b/>
            <sz val="9"/>
            <color indexed="81"/>
            <rFont val="Tahoma"/>
            <family val="2"/>
          </rPr>
          <t>pauline.quach:</t>
        </r>
        <r>
          <rPr>
            <sz val="9"/>
            <color indexed="81"/>
            <rFont val="Tahoma"/>
            <family val="2"/>
          </rPr>
          <t xml:space="preserve">
calculated</t>
        </r>
      </text>
    </comment>
    <comment ref="CR230" authorId="1" shapeId="0" xr:uid="{00000000-0006-0000-0000-0000A6010000}">
      <text>
        <r>
          <rPr>
            <b/>
            <sz val="9"/>
            <color indexed="81"/>
            <rFont val="Calibri"/>
            <family val="2"/>
          </rPr>
          <t>Kristin Danko:</t>
        </r>
        <r>
          <rPr>
            <sz val="9"/>
            <color indexed="81"/>
            <rFont val="Calibri"/>
            <family val="2"/>
          </rPr>
          <t xml:space="preserve">
extracted SE from Figure 2 - needs to be adjusted for clustering</t>
        </r>
      </text>
    </comment>
    <comment ref="BC231" authorId="2" shapeId="0" xr:uid="{00000000-0006-0000-0000-0000A7010000}">
      <text>
        <r>
          <rPr>
            <b/>
            <sz val="9"/>
            <color indexed="81"/>
            <rFont val="Tahoma"/>
            <family val="2"/>
          </rPr>
          <t>Quach, Pauline:</t>
        </r>
        <r>
          <rPr>
            <sz val="9"/>
            <color indexed="81"/>
            <rFont val="Tahoma"/>
            <family val="2"/>
          </rPr>
          <t xml:space="preserve">
calculated</t>
        </r>
      </text>
    </comment>
    <comment ref="BP231" authorId="2" shapeId="0" xr:uid="{00000000-0006-0000-0000-0000A8010000}">
      <text>
        <r>
          <rPr>
            <b/>
            <sz val="9"/>
            <color indexed="81"/>
            <rFont val="Tahoma"/>
            <family val="2"/>
          </rPr>
          <t>Quach, Pauline:</t>
        </r>
        <r>
          <rPr>
            <sz val="9"/>
            <color indexed="81"/>
            <rFont val="Tahoma"/>
            <family val="2"/>
          </rPr>
          <t xml:space="preserve">
calculated</t>
        </r>
      </text>
    </comment>
    <comment ref="Y232" authorId="2" shapeId="0" xr:uid="{00000000-0006-0000-0000-0000A9010000}">
      <text>
        <r>
          <rPr>
            <b/>
            <sz val="9"/>
            <color indexed="81"/>
            <rFont val="Tahoma"/>
            <family val="2"/>
          </rPr>
          <t>Quach, Pauline:</t>
        </r>
        <r>
          <rPr>
            <sz val="9"/>
            <color indexed="81"/>
            <rFont val="Tahoma"/>
            <family val="2"/>
          </rPr>
          <t xml:space="preserve">
Adjusted for age, sex, and education</t>
        </r>
      </text>
    </comment>
    <comment ref="AD232" authorId="2" shapeId="0" xr:uid="{00000000-0006-0000-0000-0000AA010000}">
      <text>
        <r>
          <rPr>
            <b/>
            <sz val="9"/>
            <color indexed="81"/>
            <rFont val="Tahoma"/>
            <family val="2"/>
          </rPr>
          <t>Quach, Pauline:</t>
        </r>
        <r>
          <rPr>
            <sz val="9"/>
            <color indexed="81"/>
            <rFont val="Tahoma"/>
            <family val="2"/>
          </rPr>
          <t xml:space="preserve">
Adjusted for age, sex, and education</t>
        </r>
      </text>
    </comment>
    <comment ref="DG232" authorId="1" shapeId="0" xr:uid="{00000000-0006-0000-0000-0000AB010000}">
      <text>
        <r>
          <rPr>
            <b/>
            <sz val="9"/>
            <color indexed="81"/>
            <rFont val="Verdana"/>
            <family val="2"/>
          </rPr>
          <t>Kristin Danko:</t>
        </r>
        <r>
          <rPr>
            <sz val="9"/>
            <color indexed="81"/>
            <rFont val="Verdana"/>
            <family val="2"/>
          </rPr>
          <t xml:space="preserve">
difference in change between groups</t>
        </r>
      </text>
    </comment>
    <comment ref="Y233" authorId="1" shapeId="0" xr:uid="{00000000-0006-0000-0000-0000AC010000}">
      <text>
        <r>
          <rPr>
            <b/>
            <sz val="9"/>
            <color indexed="81"/>
            <rFont val="Calibri"/>
            <family val="2"/>
          </rPr>
          <t>Kristin Danko:</t>
        </r>
        <r>
          <rPr>
            <sz val="9"/>
            <color indexed="81"/>
            <rFont val="Calibri"/>
            <family val="2"/>
          </rPr>
          <t xml:space="preserve">
adjusted</t>
        </r>
      </text>
    </comment>
    <comment ref="AD233" authorId="1" shapeId="0" xr:uid="{00000000-0006-0000-0000-0000AD010000}">
      <text>
        <r>
          <rPr>
            <b/>
            <sz val="9"/>
            <color indexed="81"/>
            <rFont val="Calibri"/>
            <family val="2"/>
          </rPr>
          <t>Kristin Danko:</t>
        </r>
        <r>
          <rPr>
            <sz val="9"/>
            <color indexed="81"/>
            <rFont val="Calibri"/>
            <family val="2"/>
          </rPr>
          <t xml:space="preserve">
adjusted</t>
        </r>
      </text>
    </comment>
    <comment ref="AI233" authorId="1" shapeId="0" xr:uid="{00000000-0006-0000-0000-0000AE010000}">
      <text>
        <r>
          <rPr>
            <b/>
            <sz val="9"/>
            <color indexed="81"/>
            <rFont val="Calibri"/>
            <family val="2"/>
          </rPr>
          <t>Kristin Danko:</t>
        </r>
        <r>
          <rPr>
            <sz val="9"/>
            <color indexed="81"/>
            <rFont val="Calibri"/>
            <family val="2"/>
          </rPr>
          <t xml:space="preserve">
adjusted
</t>
        </r>
      </text>
    </comment>
    <comment ref="AN233" authorId="1" shapeId="0" xr:uid="{00000000-0006-0000-0000-0000AF010000}">
      <text>
        <r>
          <rPr>
            <b/>
            <sz val="9"/>
            <color indexed="81"/>
            <rFont val="Calibri"/>
            <family val="2"/>
          </rPr>
          <t>Kristin Danko:</t>
        </r>
        <r>
          <rPr>
            <sz val="9"/>
            <color indexed="81"/>
            <rFont val="Calibri"/>
            <family val="2"/>
          </rPr>
          <t xml:space="preserve">
adjusted</t>
        </r>
      </text>
    </comment>
    <comment ref="BC233" authorId="1" shapeId="0" xr:uid="{00000000-0006-0000-0000-0000B0010000}">
      <text>
        <r>
          <rPr>
            <b/>
            <sz val="9"/>
            <color indexed="81"/>
            <rFont val="Calibri"/>
            <family val="2"/>
          </rPr>
          <t>Kristin Danko:</t>
        </r>
        <r>
          <rPr>
            <sz val="9"/>
            <color indexed="81"/>
            <rFont val="Calibri"/>
            <family val="2"/>
          </rPr>
          <t xml:space="preserve">
adjusted</t>
        </r>
      </text>
    </comment>
    <comment ref="BP233" authorId="1" shapeId="0" xr:uid="{00000000-0006-0000-0000-0000B1010000}">
      <text>
        <r>
          <rPr>
            <b/>
            <sz val="9"/>
            <color indexed="81"/>
            <rFont val="Calibri"/>
            <family val="2"/>
          </rPr>
          <t>Kristin Danko:</t>
        </r>
        <r>
          <rPr>
            <sz val="9"/>
            <color indexed="81"/>
            <rFont val="Calibri"/>
            <family val="2"/>
          </rPr>
          <t xml:space="preserve">
adjusted</t>
        </r>
      </text>
    </comment>
    <comment ref="CC233" authorId="1" shapeId="0" xr:uid="{00000000-0006-0000-0000-0000B2010000}">
      <text>
        <r>
          <rPr>
            <b/>
            <sz val="9"/>
            <color indexed="81"/>
            <rFont val="Calibri"/>
            <family val="2"/>
          </rPr>
          <t>Kristin Danko:</t>
        </r>
        <r>
          <rPr>
            <sz val="9"/>
            <color indexed="81"/>
            <rFont val="Calibri"/>
            <family val="2"/>
          </rPr>
          <t xml:space="preserve">
adjusted</t>
        </r>
      </text>
    </comment>
    <comment ref="CP233" authorId="1" shapeId="0" xr:uid="{00000000-0006-0000-0000-0000B3010000}">
      <text>
        <r>
          <rPr>
            <b/>
            <sz val="9"/>
            <color indexed="81"/>
            <rFont val="Calibri"/>
            <family val="2"/>
          </rPr>
          <t>Kristin Danko:</t>
        </r>
        <r>
          <rPr>
            <sz val="9"/>
            <color indexed="81"/>
            <rFont val="Calibri"/>
            <family val="2"/>
          </rPr>
          <t xml:space="preserve">
adjusted</t>
        </r>
      </text>
    </comment>
    <comment ref="BC234" authorId="2" shapeId="0" xr:uid="{00000000-0006-0000-0000-0000B4010000}">
      <text>
        <r>
          <rPr>
            <b/>
            <sz val="9"/>
            <color indexed="81"/>
            <rFont val="Tahoma"/>
            <family val="2"/>
          </rPr>
          <t>Quach, Pauline:</t>
        </r>
        <r>
          <rPr>
            <sz val="9"/>
            <color indexed="81"/>
            <rFont val="Tahoma"/>
            <family val="2"/>
          </rPr>
          <t xml:space="preserve">
calculated</t>
        </r>
      </text>
    </comment>
    <comment ref="BP234" authorId="2" shapeId="0" xr:uid="{00000000-0006-0000-0000-0000B5010000}">
      <text>
        <r>
          <rPr>
            <b/>
            <sz val="9"/>
            <color indexed="81"/>
            <rFont val="Tahoma"/>
            <family val="2"/>
          </rPr>
          <t>Quach, Pauline:</t>
        </r>
        <r>
          <rPr>
            <sz val="9"/>
            <color indexed="81"/>
            <rFont val="Tahoma"/>
            <family val="2"/>
          </rPr>
          <t xml:space="preserve">
calculated</t>
        </r>
      </text>
    </comment>
    <comment ref="O235" authorId="1" shapeId="0" xr:uid="{00000000-0006-0000-0000-0000B6010000}">
      <text>
        <r>
          <rPr>
            <b/>
            <sz val="9"/>
            <color indexed="81"/>
            <rFont val="Calibri"/>
            <family val="2"/>
          </rPr>
          <t>Kristin Danko:</t>
        </r>
        <r>
          <rPr>
            <sz val="9"/>
            <color indexed="81"/>
            <rFont val="Calibri"/>
            <family val="2"/>
          </rPr>
          <t xml:space="preserve">
only baseline
</t>
        </r>
      </text>
    </comment>
    <comment ref="Y235" authorId="2" shapeId="0" xr:uid="{00000000-0006-0000-0000-0000B7010000}">
      <text>
        <r>
          <rPr>
            <b/>
            <sz val="9"/>
            <color indexed="81"/>
            <rFont val="Tahoma"/>
            <family val="2"/>
          </rPr>
          <t>Quach, Pauline:</t>
        </r>
        <r>
          <rPr>
            <sz val="9"/>
            <color indexed="81"/>
            <rFont val="Tahoma"/>
            <family val="2"/>
          </rPr>
          <t xml:space="preserve">
ADJUSTED- clustering of patients within providers and weighted by # of patients per provider</t>
        </r>
      </text>
    </comment>
    <comment ref="AA235" authorId="1" shapeId="0" xr:uid="{00000000-0006-0000-0000-0000B8010000}">
      <text>
        <r>
          <rPr>
            <b/>
            <sz val="9"/>
            <color indexed="81"/>
            <rFont val="Verdana"/>
            <family val="2"/>
          </rPr>
          <t>Kristin Danko:</t>
        </r>
        <r>
          <rPr>
            <sz val="9"/>
            <color indexed="81"/>
            <rFont val="Verdana"/>
            <family val="2"/>
          </rPr>
          <t xml:space="preserve">
adjusted</t>
        </r>
      </text>
    </comment>
    <comment ref="AD235" authorId="2" shapeId="0" xr:uid="{00000000-0006-0000-0000-0000B9010000}">
      <text>
        <r>
          <rPr>
            <b/>
            <sz val="9"/>
            <color indexed="81"/>
            <rFont val="Tahoma"/>
            <family val="2"/>
          </rPr>
          <t>Quach, Pauline:</t>
        </r>
        <r>
          <rPr>
            <sz val="9"/>
            <color indexed="81"/>
            <rFont val="Tahoma"/>
            <family val="2"/>
          </rPr>
          <t xml:space="preserve">
ADJUSTED- clustering of patients within providers and weighted by # of patients per provider.</t>
        </r>
      </text>
    </comment>
    <comment ref="AF235" authorId="1" shapeId="0" xr:uid="{00000000-0006-0000-0000-0000BA010000}">
      <text>
        <r>
          <rPr>
            <b/>
            <sz val="9"/>
            <color indexed="81"/>
            <rFont val="Verdana"/>
            <family val="2"/>
          </rPr>
          <t>Kristin Danko:</t>
        </r>
        <r>
          <rPr>
            <sz val="9"/>
            <color indexed="81"/>
            <rFont val="Verdana"/>
            <family val="2"/>
          </rPr>
          <t xml:space="preserve">
adjusted</t>
        </r>
      </text>
    </comment>
    <comment ref="BC235" authorId="2" shapeId="0" xr:uid="{00000000-0006-0000-0000-0000BB010000}">
      <text>
        <r>
          <rPr>
            <b/>
            <sz val="9"/>
            <color indexed="81"/>
            <rFont val="Tahoma"/>
            <family val="2"/>
          </rPr>
          <t>Quach, Pauline:</t>
        </r>
        <r>
          <rPr>
            <sz val="9"/>
            <color indexed="81"/>
            <rFont val="Tahoma"/>
            <family val="2"/>
          </rPr>
          <t xml:space="preserve">
Calculated
ADJUSTED- clustering of patients within providers and weighted by # of patients per provider.</t>
        </r>
      </text>
    </comment>
    <comment ref="BP235" authorId="2" shapeId="0" xr:uid="{00000000-0006-0000-0000-0000BC010000}">
      <text>
        <r>
          <rPr>
            <b/>
            <sz val="9"/>
            <color indexed="81"/>
            <rFont val="Tahoma"/>
            <family val="2"/>
          </rPr>
          <t>Quach, Pauline:</t>
        </r>
        <r>
          <rPr>
            <sz val="9"/>
            <color indexed="81"/>
            <rFont val="Tahoma"/>
            <family val="2"/>
          </rPr>
          <t xml:space="preserve">
calculated
ADJUSTED- clustering of patients within providers and weighted by # of patients per provider.</t>
        </r>
      </text>
    </comment>
    <comment ref="DG235" authorId="1" shapeId="0" xr:uid="{00000000-0006-0000-0000-0000BD010000}">
      <text>
        <r>
          <rPr>
            <b/>
            <sz val="9"/>
            <color indexed="81"/>
            <rFont val="Verdana"/>
            <family val="2"/>
          </rPr>
          <t>Kristin Danko:</t>
        </r>
        <r>
          <rPr>
            <sz val="9"/>
            <color indexed="81"/>
            <rFont val="Verdana"/>
            <family val="2"/>
          </rPr>
          <t xml:space="preserve">
calculated from change (I2-I1)-(C2-C1)</t>
        </r>
      </text>
    </comment>
    <comment ref="DH235" authorId="1" shapeId="0" xr:uid="{00000000-0006-0000-0000-0000BE010000}">
      <text>
        <r>
          <rPr>
            <b/>
            <sz val="9"/>
            <color indexed="81"/>
            <rFont val="Verdana"/>
            <family val="2"/>
          </rPr>
          <t>Kristin Danko:</t>
        </r>
        <r>
          <rPr>
            <sz val="9"/>
            <color indexed="81"/>
            <rFont val="Verdana"/>
            <family val="2"/>
          </rPr>
          <t xml:space="preserve">
calculated
difference in change scores (Table 2)</t>
        </r>
      </text>
    </comment>
    <comment ref="Q236" authorId="1" shapeId="0" xr:uid="{00000000-0006-0000-0000-0000BF010000}">
      <text>
        <r>
          <rPr>
            <b/>
            <sz val="9"/>
            <color indexed="81"/>
            <rFont val="Verdana"/>
            <family val="2"/>
          </rPr>
          <t>Kristin Danko:</t>
        </r>
        <r>
          <rPr>
            <sz val="9"/>
            <color indexed="81"/>
            <rFont val="Verdana"/>
            <family val="2"/>
          </rPr>
          <t xml:space="preserve">
said 'less than or equal' </t>
        </r>
      </text>
    </comment>
    <comment ref="R236" authorId="1" shapeId="0" xr:uid="{00000000-0006-0000-0000-0000C0010000}">
      <text>
        <r>
          <rPr>
            <b/>
            <sz val="9"/>
            <color indexed="81"/>
            <rFont val="Verdana"/>
            <family val="2"/>
          </rPr>
          <t>Kristin Danko:</t>
        </r>
        <r>
          <rPr>
            <sz val="9"/>
            <color indexed="81"/>
            <rFont val="Verdana"/>
            <family val="2"/>
          </rPr>
          <t xml:space="preserve">
said 'less than or equal' </t>
        </r>
      </text>
    </comment>
    <comment ref="U236" authorId="2" shapeId="0" xr:uid="{00000000-0006-0000-0000-0000C1010000}">
      <text>
        <r>
          <rPr>
            <b/>
            <sz val="9"/>
            <color indexed="81"/>
            <rFont val="Tahoma"/>
            <family val="2"/>
          </rPr>
          <t>Quach, Pauline:</t>
        </r>
        <r>
          <rPr>
            <sz val="9"/>
            <color indexed="81"/>
            <rFont val="Tahoma"/>
            <family val="2"/>
          </rPr>
          <t xml:space="preserve">
Hba1c &gt;=7% at baseline
</t>
        </r>
      </text>
    </comment>
    <comment ref="V236" authorId="2" shapeId="0" xr:uid="{00000000-0006-0000-0000-0000C2010000}">
      <text>
        <r>
          <rPr>
            <b/>
            <sz val="9"/>
            <color indexed="81"/>
            <rFont val="Tahoma"/>
            <family val="2"/>
          </rPr>
          <t>Quach, Pauline:</t>
        </r>
        <r>
          <rPr>
            <sz val="9"/>
            <color indexed="81"/>
            <rFont val="Tahoma"/>
            <family val="2"/>
          </rPr>
          <t xml:space="preserve">
Hba1c &gt;=7% at baseline</t>
        </r>
      </text>
    </comment>
    <comment ref="Y236" authorId="2" shapeId="0" xr:uid="{00000000-0006-0000-0000-0000C3010000}">
      <text>
        <r>
          <rPr>
            <b/>
            <sz val="9"/>
            <color indexed="81"/>
            <rFont val="Tahoma"/>
            <family val="2"/>
          </rPr>
          <t>Quach, Pauline:</t>
        </r>
        <r>
          <rPr>
            <sz val="9"/>
            <color indexed="81"/>
            <rFont val="Tahoma"/>
            <family val="2"/>
          </rPr>
          <t xml:space="preserve">
Hba1c &gt;=7% at baseline</t>
        </r>
      </text>
    </comment>
    <comment ref="AD236" authorId="2" shapeId="0" xr:uid="{00000000-0006-0000-0000-0000C4010000}">
      <text>
        <r>
          <rPr>
            <b/>
            <sz val="9"/>
            <color indexed="81"/>
            <rFont val="Tahoma"/>
            <family val="2"/>
          </rPr>
          <t>Quach, Pauline:</t>
        </r>
        <r>
          <rPr>
            <sz val="9"/>
            <color indexed="81"/>
            <rFont val="Tahoma"/>
            <family val="2"/>
          </rPr>
          <t xml:space="preserve">
Hba1c &gt;=7% at baseline</t>
        </r>
      </text>
    </comment>
    <comment ref="BC236" authorId="2" shapeId="0" xr:uid="{00000000-0006-0000-0000-0000C5010000}">
      <text>
        <r>
          <rPr>
            <b/>
            <sz val="9"/>
            <color indexed="81"/>
            <rFont val="Tahoma"/>
            <family val="2"/>
          </rPr>
          <t>Quach, Pauline:</t>
        </r>
        <r>
          <rPr>
            <sz val="9"/>
            <color indexed="81"/>
            <rFont val="Tahoma"/>
            <family val="2"/>
          </rPr>
          <t xml:space="preserve">
Hba1c &gt;=7% at baseline</t>
        </r>
      </text>
    </comment>
    <comment ref="BP236" authorId="2" shapeId="0" xr:uid="{00000000-0006-0000-0000-0000C6010000}">
      <text>
        <r>
          <rPr>
            <b/>
            <sz val="9"/>
            <color indexed="81"/>
            <rFont val="Tahoma"/>
            <family val="2"/>
          </rPr>
          <t>Quach, Pauline:</t>
        </r>
        <r>
          <rPr>
            <sz val="9"/>
            <color indexed="81"/>
            <rFont val="Tahoma"/>
            <family val="2"/>
          </rPr>
          <t xml:space="preserve">
Hba1c &gt;=7% at baseline</t>
        </r>
      </text>
    </comment>
    <comment ref="DG236" authorId="1" shapeId="0" xr:uid="{00000000-0006-0000-0000-0000C7010000}">
      <text>
        <r>
          <rPr>
            <b/>
            <sz val="9"/>
            <color indexed="81"/>
            <rFont val="Verdana"/>
            <family val="2"/>
          </rPr>
          <t>Kristin Danko:</t>
        </r>
        <r>
          <rPr>
            <sz val="9"/>
            <color indexed="81"/>
            <rFont val="Verdana"/>
            <family val="2"/>
          </rPr>
          <t xml:space="preserve">
difference of difference</t>
        </r>
      </text>
    </comment>
    <comment ref="AA238" authorId="1" shapeId="0" xr:uid="{00000000-0006-0000-0000-0000C8010000}">
      <text>
        <r>
          <rPr>
            <b/>
            <sz val="9"/>
            <color indexed="81"/>
            <rFont val="Verdana"/>
            <family val="2"/>
          </rPr>
          <t>Kristin Danko:</t>
        </r>
        <r>
          <rPr>
            <sz val="9"/>
            <color indexed="81"/>
            <rFont val="Verdana"/>
            <family val="2"/>
          </rPr>
          <t xml:space="preserve">
adjusted for clustering</t>
        </r>
      </text>
    </comment>
    <comment ref="AF238" authorId="1" shapeId="0" xr:uid="{00000000-0006-0000-0000-0000C9010000}">
      <text>
        <r>
          <rPr>
            <b/>
            <sz val="9"/>
            <color indexed="81"/>
            <rFont val="Verdana"/>
            <family val="2"/>
          </rPr>
          <t>Kristin Danko:</t>
        </r>
        <r>
          <rPr>
            <sz val="9"/>
            <color indexed="81"/>
            <rFont val="Verdana"/>
            <family val="2"/>
          </rPr>
          <t xml:space="preserve">
adjusted</t>
        </r>
      </text>
    </comment>
    <comment ref="BE238" authorId="1" shapeId="0" xr:uid="{00000000-0006-0000-0000-0000CA010000}">
      <text>
        <r>
          <rPr>
            <b/>
            <sz val="9"/>
            <color indexed="81"/>
            <rFont val="Verdana"/>
            <family val="2"/>
          </rPr>
          <t>Kristin Danko:</t>
        </r>
        <r>
          <rPr>
            <sz val="9"/>
            <color indexed="81"/>
            <rFont val="Verdana"/>
            <family val="2"/>
          </rPr>
          <t xml:space="preserve">
adjusted for clustering</t>
        </r>
      </text>
    </comment>
    <comment ref="BR238" authorId="1" shapeId="0" xr:uid="{00000000-0006-0000-0000-0000CB010000}">
      <text>
        <r>
          <rPr>
            <b/>
            <sz val="9"/>
            <color indexed="81"/>
            <rFont val="Verdana"/>
            <family val="2"/>
          </rPr>
          <t>Kristin Danko:</t>
        </r>
        <r>
          <rPr>
            <sz val="9"/>
            <color indexed="81"/>
            <rFont val="Verdana"/>
            <family val="2"/>
          </rPr>
          <t xml:space="preserve">
adjusted for clustering</t>
        </r>
      </text>
    </comment>
    <comment ref="DG238" authorId="1" shapeId="0" xr:uid="{00000000-0006-0000-0000-0000CC010000}">
      <text>
        <r>
          <rPr>
            <b/>
            <sz val="9"/>
            <color indexed="81"/>
            <rFont val="Verdana"/>
            <family val="2"/>
          </rPr>
          <t>Kristin Danko:</t>
        </r>
        <r>
          <rPr>
            <sz val="9"/>
            <color indexed="81"/>
            <rFont val="Verdana"/>
            <family val="2"/>
          </rPr>
          <t xml:space="preserve">
difference of difference</t>
        </r>
      </text>
    </comment>
    <comment ref="DG239" authorId="1" shapeId="0" xr:uid="{00000000-0006-0000-0000-0000CD010000}">
      <text>
        <r>
          <rPr>
            <b/>
            <sz val="9"/>
            <color indexed="81"/>
            <rFont val="Verdana"/>
            <family val="2"/>
          </rPr>
          <t>Kristin Danko:</t>
        </r>
        <r>
          <rPr>
            <sz val="9"/>
            <color indexed="81"/>
            <rFont val="Verdana"/>
            <family val="2"/>
          </rPr>
          <t xml:space="preserve">
confirm with Katrina</t>
        </r>
      </text>
    </comment>
    <comment ref="BC240" authorId="2" shapeId="0" xr:uid="{00000000-0006-0000-0000-0000CE010000}">
      <text>
        <r>
          <rPr>
            <b/>
            <sz val="9"/>
            <color indexed="81"/>
            <rFont val="Tahoma"/>
            <family val="2"/>
          </rPr>
          <t>Quach, Pauline:</t>
        </r>
        <r>
          <rPr>
            <sz val="9"/>
            <color indexed="81"/>
            <rFont val="Tahoma"/>
            <family val="2"/>
          </rPr>
          <t xml:space="preserve">
calculated</t>
        </r>
      </text>
    </comment>
    <comment ref="BP240" authorId="2" shapeId="0" xr:uid="{00000000-0006-0000-0000-0000CF010000}">
      <text>
        <r>
          <rPr>
            <b/>
            <sz val="9"/>
            <color indexed="81"/>
            <rFont val="Tahoma"/>
            <family val="2"/>
          </rPr>
          <t>Quach, Pauline:</t>
        </r>
        <r>
          <rPr>
            <sz val="9"/>
            <color indexed="81"/>
            <rFont val="Tahoma"/>
            <family val="2"/>
          </rPr>
          <t xml:space="preserve">
calculated</t>
        </r>
      </text>
    </comment>
    <comment ref="AY242" authorId="2" shapeId="0" xr:uid="{00000000-0006-0000-0000-0000D0010000}">
      <text>
        <r>
          <rPr>
            <b/>
            <sz val="9"/>
            <color indexed="81"/>
            <rFont val="Tahoma"/>
            <family val="2"/>
          </rPr>
          <t xml:space="preserve">Quach, Pauline:
</t>
        </r>
        <r>
          <rPr>
            <sz val="9"/>
            <color indexed="81"/>
            <rFont val="Tahoma"/>
            <family val="2"/>
          </rPr>
          <t>Includes those who joined after randomization- 'open cohort'</t>
        </r>
      </text>
    </comment>
    <comment ref="AZ242" authorId="2" shapeId="0" xr:uid="{00000000-0006-0000-0000-0000D1010000}">
      <text>
        <r>
          <rPr>
            <b/>
            <sz val="9"/>
            <color indexed="81"/>
            <rFont val="Tahoma"/>
            <family val="2"/>
          </rPr>
          <t>Quach, Pauline:</t>
        </r>
        <r>
          <rPr>
            <sz val="9"/>
            <color indexed="81"/>
            <rFont val="Tahoma"/>
            <family val="2"/>
          </rPr>
          <t xml:space="preserve">
Includes those who joined after randomization- 'open cohort'</t>
        </r>
      </text>
    </comment>
    <comment ref="BV242" authorId="2" shapeId="0" xr:uid="{00000000-0006-0000-0000-0000D2010000}">
      <text>
        <r>
          <rPr>
            <b/>
            <sz val="9"/>
            <color indexed="81"/>
            <rFont val="Tahoma"/>
            <family val="2"/>
          </rPr>
          <t>Quach, Pauline:</t>
        </r>
        <r>
          <rPr>
            <sz val="9"/>
            <color indexed="81"/>
            <rFont val="Tahoma"/>
            <family val="2"/>
          </rPr>
          <t xml:space="preserve">
95%CI=6.9-7.5</t>
        </r>
      </text>
    </comment>
    <comment ref="DG242" authorId="1" shapeId="0" xr:uid="{00000000-0006-0000-0000-0000D3010000}">
      <text>
        <r>
          <rPr>
            <b/>
            <sz val="9"/>
            <color indexed="81"/>
            <rFont val="Verdana"/>
            <family val="2"/>
          </rPr>
          <t>Kristin Danko:</t>
        </r>
        <r>
          <rPr>
            <sz val="9"/>
            <color indexed="81"/>
            <rFont val="Verdana"/>
            <family val="2"/>
          </rPr>
          <t xml:space="preserve">
post difference (unclear if adjusted value)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Kristin Danko</author>
  </authors>
  <commentList>
    <comment ref="B148" authorId="0" shapeId="0" xr:uid="{00000000-0006-0000-1600-000001000000}">
      <text>
        <r>
          <rPr>
            <b/>
            <sz val="9"/>
            <color indexed="81"/>
            <rFont val="Verdana"/>
            <family val="2"/>
          </rPr>
          <t>Kristin Danko:</t>
        </r>
        <r>
          <rPr>
            <sz val="9"/>
            <color indexed="81"/>
            <rFont val="Verdana"/>
            <family val="2"/>
          </rPr>
          <t xml:space="preserve">
See other information - assume text rather then categories here</t>
        </r>
      </text>
    </comment>
  </commentList>
</comments>
</file>

<file path=xl/sharedStrings.xml><?xml version="1.0" encoding="utf-8"?>
<sst xmlns="http://schemas.openxmlformats.org/spreadsheetml/2006/main" count="28632" uniqueCount="3599">
  <si>
    <t>RefID</t>
  </si>
  <si>
    <t xml:space="preserve">Comparison need adjusting? </t>
  </si>
  <si>
    <t>ICC Group 1</t>
    <phoneticPr fontId="0" type="noConversion"/>
  </si>
  <si>
    <t>ICC Group 2</t>
    <phoneticPr fontId="0" type="noConversion"/>
  </si>
  <si>
    <t>ICC Group 3</t>
    <phoneticPr fontId="0" type="noConversion"/>
  </si>
  <si>
    <t>ICC Group 4</t>
    <phoneticPr fontId="0" type="noConversion"/>
  </si>
  <si>
    <t>N Group 1</t>
  </si>
  <si>
    <t>N Group 2</t>
  </si>
  <si>
    <t>N Group 3</t>
  </si>
  <si>
    <t>N Group 4</t>
  </si>
  <si>
    <t>Pre mean HbA1c (%) Group 1</t>
  </si>
  <si>
    <t>Pre mean HbA1c (%) Group 2</t>
  </si>
  <si>
    <t>Pre mean HbA1c (%) Group 3</t>
  </si>
  <si>
    <t>Pre mean HbA1c (%) Group 4</t>
  </si>
  <si>
    <t>P-value BETWEEN group comparison #1 (pre)</t>
  </si>
  <si>
    <t>Which groups?</t>
  </si>
  <si>
    <t>P-value BETWEEN group comparison #2 (pre)</t>
  </si>
  <si>
    <t>P-value BETWEEN group comparison #3 (pre)</t>
  </si>
  <si>
    <t>Post N Group 1</t>
  </si>
  <si>
    <t>Post N Group 2</t>
  </si>
  <si>
    <t>Post N Group 3</t>
  </si>
  <si>
    <t>Post N Group 4</t>
  </si>
  <si>
    <t>Post mean HbA1c (%) Group 1</t>
  </si>
  <si>
    <t>WITHIN group 1 HbA1c mean (%) difference</t>
  </si>
  <si>
    <t>WITHIN group 1 HbA1c mean (%) difference SD</t>
  </si>
  <si>
    <t>WITHIN Group 1 HbA1c mean (%) difference SE</t>
  </si>
  <si>
    <t>WITHIN Group 1 HbA1c mean (%) difference Lower confidence limit</t>
  </si>
  <si>
    <t>WITHIN Group 1 HbA1c mean (%) difference Upper confidence limit</t>
  </si>
  <si>
    <t xml:space="preserve">WITHIN Group 1 p-value </t>
  </si>
  <si>
    <t>Post mean HbA1c (%) Group 2</t>
  </si>
  <si>
    <t>WITHIN group 2 HbA1c mean (%) difference</t>
  </si>
  <si>
    <t>WITHIN group 2 HbA1c mean (%) difference SD</t>
  </si>
  <si>
    <t>WITHIN Group 2 HbA1c mean (%) difference SE</t>
  </si>
  <si>
    <t>WITHIN Group 2 HbA1c mean (%) difference Lower confidence limit</t>
  </si>
  <si>
    <t>WITHIN Group 2 HbA1c mean (%) difference Upper confidence limit</t>
  </si>
  <si>
    <t xml:space="preserve">WITHIN Group 2 p-value </t>
  </si>
  <si>
    <t>Post mean HbA1c (%) Group 3</t>
  </si>
  <si>
    <t>WITHIN group 3 HbA1c mean (%) difference</t>
  </si>
  <si>
    <t>WITHIN group 3 HbA1c mean (%) difference SD</t>
  </si>
  <si>
    <t>WITHIN Group 3 HbA1c mean (%) difference SE</t>
  </si>
  <si>
    <t>WITHIN Group 3 HbA1c mean (%) difference Lower confidence limit</t>
  </si>
  <si>
    <t>WITHIN Group 3 HbA1c mean (%) difference Upper confidence limit</t>
  </si>
  <si>
    <t xml:space="preserve">WITHIN group 3 p-value </t>
  </si>
  <si>
    <t>Post mean HbA1c (%) Group 4</t>
  </si>
  <si>
    <t>WITHIN group 4 HbA1c mean (%) difference</t>
  </si>
  <si>
    <t>WITHIN group 4 HbA1c mean (%) difference SD</t>
  </si>
  <si>
    <t>WITHIN Group 4 HbA1c mean (%) difference SE</t>
  </si>
  <si>
    <t>WITHIN Group 4 HbA1c mean (%) difference Lower confidence limit</t>
  </si>
  <si>
    <t>WITHIN Group 4 HbA1c mean (%) difference Upper confidence limit</t>
  </si>
  <si>
    <t xml:space="preserve">WITHIN group 4 p-value </t>
  </si>
  <si>
    <t>Longest duration of follow-up</t>
  </si>
  <si>
    <t>Other data that doesn't fit</t>
  </si>
  <si>
    <t>Between group difference-unadjusted</t>
  </si>
  <si>
    <t>SE</t>
  </si>
  <si>
    <t>Between group difference-adjusted</t>
  </si>
  <si>
    <t>Method of analysis</t>
  </si>
  <si>
    <t>p-value</t>
  </si>
  <si>
    <t>Olivarius 2001</t>
  </si>
  <si>
    <t>Y</t>
  </si>
  <si>
    <t>NA</t>
  </si>
  <si>
    <t>NA</t>
    <phoneticPr fontId="0" type="noConversion"/>
  </si>
  <si>
    <t>NR</t>
  </si>
  <si>
    <t>8.7-11.9</t>
  </si>
  <si>
    <t>8.6-11.6</t>
  </si>
  <si>
    <t>N2 VS. N1</t>
  </si>
  <si>
    <t>8.0-10.4</t>
  </si>
  <si>
    <t>7.7-9.5</t>
  </si>
  <si>
    <r>
      <rPr>
        <b/>
        <sz val="10"/>
        <rFont val="Verdana"/>
        <family val="2"/>
      </rPr>
      <t xml:space="preserve"> </t>
    </r>
  </si>
  <si>
    <t>Groeneveld 2001</t>
  </si>
  <si>
    <r>
      <rPr>
        <b/>
        <sz val="10"/>
        <color indexed="8"/>
        <rFont val="Verdana"/>
        <family val="2"/>
      </rPr>
      <t xml:space="preserve"> </t>
    </r>
  </si>
  <si>
    <t>Hetlevik 2000</t>
  </si>
  <si>
    <t>Kinmonth 1998</t>
  </si>
  <si>
    <t>(model not reported, just adjusted) Adjusted for district general hospital, practice list size, organization of diabetes care, and clustering of patients by practice</t>
  </si>
  <si>
    <t>Kulkarni 1998</t>
    <phoneticPr fontId="0" type="noConversion"/>
  </si>
  <si>
    <t>Meigs 2003</t>
  </si>
  <si>
    <t>P-value (table 2) test change in mean between intervention and control (i.e., I2-I1/C2-C1) adjusted for clustering, weighted by patients per physician, and further adjusted for baseline mean values</t>
  </si>
  <si>
    <t>Wagner 2001</t>
  </si>
  <si>
    <t>can not compute</t>
  </si>
  <si>
    <t>Mixed model</t>
  </si>
  <si>
    <t>Peterson 2008</t>
  </si>
  <si>
    <t>NA</t>
    <phoneticPr fontId="0" type="noConversion"/>
  </si>
  <si>
    <t>&lt;0.02</t>
  </si>
  <si>
    <r>
      <t>% attaining target for A1C 43.8% for control and 49% for intervention p</t>
    </r>
    <r>
      <rPr>
        <sz val="10"/>
        <color indexed="0"/>
        <rFont val="Verdana"/>
        <family val="2"/>
      </rPr>
      <t>≤</t>
    </r>
    <r>
      <rPr>
        <sz val="10"/>
        <rFont val="Verdana"/>
        <family val="2"/>
      </rPr>
      <t>0.001</t>
    </r>
  </si>
  <si>
    <t>Cleveringa 2008</t>
  </si>
  <si>
    <t>difference in change between groups (generalized linear model)  0.07 CI -0.02 to 0.16 (intention to treat analysis)</t>
  </si>
  <si>
    <t>generalized linear model-doesn't indicate if mixed; do not report how clustering was taken into account</t>
  </si>
  <si>
    <t>Bruggen 2008</t>
  </si>
  <si>
    <t>p adjusted for baseline value, age,gender, level of education..ect. And clustering at practice level (intention to treat analysis)</t>
  </si>
  <si>
    <t>GEE models controlling for clustering and adjusted for baseline HbA1c, age, gender, level of education, micro/macrovascular complications, insulin use, QoL</t>
  </si>
  <si>
    <t>Grant 2008</t>
  </si>
  <si>
    <t>Smith 2008</t>
  </si>
  <si>
    <t>4.2-15.5</t>
  </si>
  <si>
    <t>5.2-15.1</t>
  </si>
  <si>
    <t>4.8-13.7</t>
  </si>
  <si>
    <t>4.5-12.8</t>
  </si>
  <si>
    <t xml:space="preserve">hierarchical models, log transformed </t>
  </si>
  <si>
    <t>Thomas, 2007</t>
  </si>
  <si>
    <t>GEE models</t>
  </si>
  <si>
    <t>Piatt, 2006</t>
  </si>
  <si>
    <t>N3 VS. N2</t>
  </si>
  <si>
    <t>adjusted p-value (takes into account clustering of practices, age, insulin use)=0.01</t>
  </si>
  <si>
    <t>needs imputing</t>
  </si>
  <si>
    <t>mixed modeling with the effect adjusted for clustering of patients within the provider practices, age, and insulin use in all models</t>
  </si>
  <si>
    <t>Phillips 2005</t>
  </si>
  <si>
    <t>N4 VS. N3 VS. N2 VS. N1</t>
  </si>
  <si>
    <t>(-0.14;-0.24;-0.40)</t>
  </si>
  <si>
    <t>can not compute-no cluster #s</t>
  </si>
  <si>
    <t>linear mixed model multivariate regression that accounted for age, sex, BMI, known duration of diabetes, length of follow-up, clustering, # of medical clinic and diabetes clinic visits</t>
  </si>
  <si>
    <t>0.3439;0.1523;0.0140</t>
  </si>
  <si>
    <t xml:space="preserve"> </t>
  </si>
  <si>
    <t>Harris 2005</t>
  </si>
  <si>
    <t>(-0.3)</t>
  </si>
  <si>
    <t>procedure mixed adjusted for clustering</t>
  </si>
  <si>
    <t>O'Connor 2005</t>
  </si>
  <si>
    <t>(-0.1)</t>
  </si>
  <si>
    <t>mixed model including a time by condition analysis and adjusted for patient age, sex, education level, and duration of diabetes for a nested, pretest-postest, control group design.</t>
  </si>
  <si>
    <t>Dijkstra 2005</t>
  </si>
  <si>
    <t>(-0.5)</t>
  </si>
  <si>
    <t>Glimmax procedure to control for clustering</t>
  </si>
  <si>
    <t>&lt;0.001</t>
  </si>
  <si>
    <t>Glasgow 2005</t>
  </si>
  <si>
    <t>(-0.06)</t>
  </si>
  <si>
    <t>generalized regression model using random effect, adjusting for baseline score</t>
  </si>
  <si>
    <t>Smith 2004</t>
  </si>
  <si>
    <t>Krass, 2007</t>
  </si>
  <si>
    <t>O'Hare 2004</t>
  </si>
  <si>
    <t>Reported difference of difference [95% CI] = -0.03 [-0.36 to 0.30]</t>
  </si>
  <si>
    <t>Eccles 2007</t>
  </si>
  <si>
    <t>NR</t>
    <phoneticPr fontId="0" type="noConversion"/>
  </si>
  <si>
    <t>(-0.04)</t>
  </si>
  <si>
    <t xml:space="preserve">generalized linear models and to allow for the clustering of patients within practices, population averaged models were estimated using GEEs. Baseline variables were included in the model as a covariate, as were posthoc identified a register effect. </t>
  </si>
  <si>
    <t>O’Connor, 2009</t>
  </si>
  <si>
    <t>can not compute-factorial analysis</t>
  </si>
  <si>
    <t>general or generalized linear mixed regression models</t>
  </si>
  <si>
    <t>can not use-factorial analysis</t>
  </si>
  <si>
    <t>Goderis 2010</t>
    <phoneticPr fontId="0" type="noConversion"/>
  </si>
  <si>
    <t>reported change score as outcome</t>
  </si>
  <si>
    <t>Simmons 2004</t>
    <phoneticPr fontId="0" type="noConversion"/>
  </si>
  <si>
    <t>Ahring 1992</t>
  </si>
  <si>
    <t>N</t>
  </si>
  <si>
    <t>7.4-11.0</t>
  </si>
  <si>
    <t>8.0-11.0</t>
  </si>
  <si>
    <t xml:space="preserve">Range in mean HbA1c: control (baseline 8.2 to 14.2; 3 mos 7.4-11) &amp; intervention (baseline 7-20.8; 3 mos 8-11) </t>
  </si>
  <si>
    <t>Aubert 1998</t>
  </si>
  <si>
    <t>8.0-9.9</t>
  </si>
  <si>
    <t>8.2-9.9</t>
  </si>
  <si>
    <t>Difference b/w group 1 and 2: -1.1 (95% CI: -1.62, 0.58)</t>
  </si>
  <si>
    <t>Bierman 2002*</t>
    <phoneticPr fontId="0" type="noConversion"/>
  </si>
  <si>
    <t>Billard 1991</t>
    <phoneticPr fontId="0" type="noConversion"/>
  </si>
  <si>
    <t>4.7-8.2</t>
  </si>
  <si>
    <t>5.0-9.2</t>
  </si>
  <si>
    <t>4.7-7.9</t>
  </si>
  <si>
    <t>4.9-8.5</t>
  </si>
  <si>
    <t>Cagliero 1999</t>
  </si>
  <si>
    <t>Clancy 2003</t>
  </si>
  <si>
    <t>Clifford 2002</t>
  </si>
  <si>
    <t>&gt;0.05</t>
  </si>
  <si>
    <t>Franz 1995</t>
  </si>
  <si>
    <t>Glasgow 1996</t>
  </si>
  <si>
    <t>investigators decided to 'collapse' provider out of analysis (clusters were removed)</t>
  </si>
  <si>
    <t>Hayes 1984</t>
  </si>
  <si>
    <t>Hoskins 1993</t>
  </si>
  <si>
    <t>&lt;0.05</t>
  </si>
  <si>
    <t>Hurwitz 1993</t>
  </si>
  <si>
    <t>didn't account for clustering within the intervention group.</t>
  </si>
  <si>
    <t>Jaber 1996</t>
  </si>
  <si>
    <t>Larsen 1990</t>
    <phoneticPr fontId="0" type="noConversion"/>
  </si>
  <si>
    <t>&lt;0.005</t>
  </si>
  <si>
    <t>Levetan 2002</t>
  </si>
  <si>
    <t>intervention group had larger decrease (change) during study period (p=0.013)</t>
  </si>
  <si>
    <t>Mazzuca 1986</t>
    <phoneticPr fontId="0" type="noConversion"/>
  </si>
  <si>
    <t>Piette 2000</t>
  </si>
  <si>
    <t>after adjustment for baseline differences, still no difference between groups</t>
  </si>
  <si>
    <t>Piette 2001</t>
  </si>
  <si>
    <t>Pouwer 2001</t>
  </si>
  <si>
    <t>Ryff-de Leche 1992</t>
  </si>
  <si>
    <t>Sadur 1999</t>
  </si>
  <si>
    <t>Thompson 1999</t>
  </si>
  <si>
    <t>Weinberger 1995</t>
  </si>
  <si>
    <t>Ginsberg 1996</t>
  </si>
  <si>
    <t>&lt;0.01</t>
  </si>
  <si>
    <t xml:space="preserve">Shea et al. 2009 </t>
  </si>
  <si>
    <t>Chan 2009</t>
    <phoneticPr fontId="0" type="noConversion"/>
  </si>
  <si>
    <t>Boaz, 2009</t>
  </si>
  <si>
    <t>McCarrier 2009</t>
    <phoneticPr fontId="0" type="noConversion"/>
  </si>
  <si>
    <t>Holbrook 2009</t>
  </si>
  <si>
    <t>Powers 2009</t>
  </si>
  <si>
    <t>Ducette 2009</t>
  </si>
  <si>
    <t>Dale, 2009</t>
  </si>
  <si>
    <t>5.6-14.7</t>
  </si>
  <si>
    <t>Cho 2009</t>
  </si>
  <si>
    <t>Ralston 2009</t>
  </si>
  <si>
    <t>effect size -1.1 p=0.003  (intention to treat analysis)</t>
  </si>
  <si>
    <t>Song, 2009</t>
  </si>
  <si>
    <t>Trento 2008</t>
    <phoneticPr fontId="0" type="noConversion"/>
  </si>
  <si>
    <t>Sun 2008</t>
  </si>
  <si>
    <t>Phumipamorn 2008</t>
  </si>
  <si>
    <t>Faridi, 2008</t>
  </si>
  <si>
    <t>Gaede 2008</t>
  </si>
  <si>
    <t>Yoon 2008</t>
  </si>
  <si>
    <t>Christian 2008</t>
  </si>
  <si>
    <t>Augstein, 2007</t>
  </si>
  <si>
    <t>Hiss 2007</t>
  </si>
  <si>
    <t>Benhamou 2007</t>
    <phoneticPr fontId="0" type="noConversion"/>
  </si>
  <si>
    <t>Clancy 2007</t>
  </si>
  <si>
    <t>Gucciardi 2007</t>
  </si>
  <si>
    <t>Bond, 2007</t>
  </si>
  <si>
    <t>Cho, 2006</t>
  </si>
  <si>
    <t>Jansa 2006</t>
    <phoneticPr fontId="0" type="noConversion"/>
  </si>
  <si>
    <t>Harno, 2006</t>
  </si>
  <si>
    <t>Gabbay 2006</t>
  </si>
  <si>
    <t>Farmer 2005</t>
    <phoneticPr fontId="0" type="noConversion"/>
  </si>
  <si>
    <t>&lt;0.04</t>
  </si>
  <si>
    <t>McMahon 2005</t>
  </si>
  <si>
    <t>Bergenstal, 2005</t>
  </si>
  <si>
    <t>Kim, 2005</t>
  </si>
  <si>
    <t>Choe 2005</t>
  </si>
  <si>
    <t>Rothman 2005</t>
  </si>
  <si>
    <t xml:space="preserve">Mean change was reported. </t>
  </si>
  <si>
    <t>Odegard 2005</t>
  </si>
  <si>
    <t>Maljanian, 2005</t>
  </si>
  <si>
    <t>Taylor 2005</t>
  </si>
  <si>
    <t>Effect size = 0.29</t>
  </si>
  <si>
    <t>Goldberg 2004</t>
    <phoneticPr fontId="0" type="noConversion"/>
  </si>
  <si>
    <t>Krein 2004</t>
  </si>
  <si>
    <t>Montori 2004</t>
    <phoneticPr fontId="0" type="noConversion"/>
  </si>
  <si>
    <t>Kwon 2004</t>
  </si>
  <si>
    <t>Medi-Cal 2004</t>
  </si>
  <si>
    <t>Polonsky 2003</t>
  </si>
  <si>
    <t>Patients in group 2 receiving more than two follow-up contacts had a significant difference in glycemic improvement versus patients in the same group receiving less than two follow-up</t>
  </si>
  <si>
    <t>Litaker 2003</t>
  </si>
  <si>
    <t>Gary 2003</t>
  </si>
  <si>
    <t>NS</t>
  </si>
  <si>
    <t>NS Across all three</t>
  </si>
  <si>
    <t>Taylor, 2003</t>
  </si>
  <si>
    <t>Clifford, 2005</t>
  </si>
  <si>
    <t>6.3-7.8</t>
  </si>
  <si>
    <t>6.9-8.1</t>
  </si>
  <si>
    <t>Fornos, 2006</t>
  </si>
  <si>
    <t>Johansen, 2007</t>
  </si>
  <si>
    <t>Quinn, 2008</t>
  </si>
  <si>
    <t>Scott, 2006</t>
  </si>
  <si>
    <t>Tobe, 2006</t>
  </si>
  <si>
    <t>Naji 1994</t>
  </si>
  <si>
    <t>Confidence interval for difference  -0.31 to 0.037</t>
  </si>
  <si>
    <t>Jameson 2010</t>
  </si>
  <si>
    <t>reported median change scores as outcomes. No ancova.</t>
  </si>
  <si>
    <t>Edelman 2010</t>
  </si>
  <si>
    <t>reported CI around difference scores but no error term for outcome</t>
  </si>
  <si>
    <t>Stone 2010</t>
  </si>
  <si>
    <t>Yoo 2009</t>
  </si>
  <si>
    <t>Kim 2009</t>
  </si>
  <si>
    <t>Houweling 2009</t>
  </si>
  <si>
    <t>Gary 2009</t>
  </si>
  <si>
    <t>Istepanian 2009</t>
  </si>
  <si>
    <t>Taviera 2009</t>
    <phoneticPr fontId="0" type="noConversion"/>
  </si>
  <si>
    <t>Rashid 2009</t>
    <phoneticPr fontId="0" type="noConversion"/>
  </si>
  <si>
    <t>Duran 2008</t>
    <phoneticPr fontId="0" type="noConversion"/>
  </si>
  <si>
    <t>6.5-8.5</t>
  </si>
  <si>
    <t>6.5-9.2</t>
  </si>
  <si>
    <t>6.5-7.9</t>
  </si>
  <si>
    <t>6.4-8.3</t>
  </si>
  <si>
    <t>Huang 2010</t>
    <phoneticPr fontId="0" type="noConversion"/>
  </si>
  <si>
    <t>Ma 2009</t>
    <phoneticPr fontId="0" type="noConversion"/>
  </si>
  <si>
    <t>Newman 2009</t>
    <phoneticPr fontId="0" type="noConversion"/>
  </si>
  <si>
    <t>8.5-10.2</t>
  </si>
  <si>
    <t>8.2-9.5</t>
  </si>
  <si>
    <t>8.3-9.6</t>
  </si>
  <si>
    <t>8.2-9.8</t>
  </si>
  <si>
    <t>Guirguis 2001</t>
  </si>
  <si>
    <t>Menard 2005</t>
  </si>
  <si>
    <t>Barceló 2010</t>
  </si>
  <si>
    <t>MacLean 2009</t>
  </si>
  <si>
    <t xml:space="preserve">general linear mixed model </t>
  </si>
  <si>
    <t>Heisler 2012</t>
  </si>
  <si>
    <t>Quinn 2011</t>
  </si>
  <si>
    <t>N4 vs. N1</t>
  </si>
  <si>
    <t>N3 VS. N1</t>
  </si>
  <si>
    <t>1vs2:0.9; 1vs3:0.5; 1vs4:1.2</t>
  </si>
  <si>
    <t>1vs2:0.33; 1vs3:0.64; 1vs4:0.29</t>
  </si>
  <si>
    <t xml:space="preserve">linear mixed models with random effects accounting for clustering at the cluster and patient level, </t>
  </si>
  <si>
    <t xml:space="preserve">1vs2:0.02 ; 1vs3:0.45 ; 1vs4:0.001 </t>
  </si>
  <si>
    <t>Estrada 2011</t>
  </si>
  <si>
    <t>Used Webplotdigitizer to estimate values from graph.</t>
  </si>
  <si>
    <t>Mehuys 2011</t>
  </si>
  <si>
    <t>Sönnichsen 2010</t>
  </si>
  <si>
    <t>&lt;0.0001</t>
  </si>
  <si>
    <t>mixed models</t>
  </si>
  <si>
    <t>Guldberg 2011</t>
  </si>
  <si>
    <t>not clear</t>
  </si>
  <si>
    <t>Polonsky 2011</t>
  </si>
  <si>
    <t>linear mixed models</t>
  </si>
  <si>
    <t>O'Connor 2011</t>
  </si>
  <si>
    <t>general linear models; ime × condition term in a general linear mixed model with repeated time measurements, study arm, and their interaction</t>
  </si>
  <si>
    <t>Pape 2011</t>
  </si>
  <si>
    <t>SASsurvey reg procedure to account for clustering</t>
  </si>
  <si>
    <t>Herrin 2006</t>
  </si>
  <si>
    <t>adjusted SD reported</t>
  </si>
  <si>
    <t>3 stage hierarchical model</t>
  </si>
  <si>
    <t>Hermans 2013</t>
  </si>
  <si>
    <t>multilevel mixed modelling but only for proportion of patients meeting target</t>
  </si>
  <si>
    <t>Reutens 2012</t>
  </si>
  <si>
    <t>Wolf 2013</t>
  </si>
  <si>
    <t>generalized linear models</t>
  </si>
  <si>
    <t>Morgan 2013</t>
  </si>
  <si>
    <t>Steyn 2013</t>
  </si>
  <si>
    <t>can not impute</t>
  </si>
  <si>
    <t xml:space="preserve"> Linear regression models using robust cluster variance estimator</t>
  </si>
  <si>
    <t>Blackberry 2013</t>
  </si>
  <si>
    <t>Vaccaro 2013</t>
  </si>
  <si>
    <t>Mixed model regression</t>
  </si>
  <si>
    <t>Gagliardino 2013</t>
  </si>
  <si>
    <t>De Pue 2013</t>
  </si>
  <si>
    <t>mixed effect longitudinal; random intercepts to account for within subject and village clustering</t>
  </si>
  <si>
    <t>Adachi 2013</t>
  </si>
  <si>
    <t>mixed effect linear models</t>
  </si>
  <si>
    <t>Jansink 2013</t>
  </si>
  <si>
    <t>multilevel linear regression</t>
  </si>
  <si>
    <t>Sieber 2012</t>
  </si>
  <si>
    <t>Saenz 2012</t>
  </si>
  <si>
    <t>Juul 2014</t>
  </si>
  <si>
    <t>6.2-7.6</t>
  </si>
  <si>
    <t>6.2-7.7</t>
  </si>
  <si>
    <t>mixed additive model</t>
  </si>
  <si>
    <t>Frei 2014</t>
  </si>
  <si>
    <t>multilevel regression</t>
  </si>
  <si>
    <t>Steventon 2014</t>
  </si>
  <si>
    <t>mixed linear model with random effects for practice</t>
  </si>
  <si>
    <t>Hotu 2010</t>
  </si>
  <si>
    <t>Katon 2010</t>
  </si>
  <si>
    <t>De Greef 2010</t>
  </si>
  <si>
    <t>Heisler 2010</t>
  </si>
  <si>
    <t>Kim 2010</t>
  </si>
  <si>
    <t>Wisse 2010</t>
  </si>
  <si>
    <t>Bogner 2010</t>
  </si>
  <si>
    <t>Sigurdardottir 2009</t>
  </si>
  <si>
    <t>Ell 2010</t>
  </si>
  <si>
    <t>Ruggiero 2010</t>
  </si>
  <si>
    <t>na</t>
  </si>
  <si>
    <t>Zolfaghari 202</t>
  </si>
  <si>
    <t>Sevick 2012</t>
  </si>
  <si>
    <t>Debussche 2012</t>
  </si>
  <si>
    <t>Glasgow 2012</t>
  </si>
  <si>
    <t>N3 VS. N2 VS. N1</t>
  </si>
  <si>
    <t>Kraemer 2012</t>
  </si>
  <si>
    <t>Del Prato 2012</t>
  </si>
  <si>
    <t>Bogner 2012</t>
  </si>
  <si>
    <t>Long 2012</t>
  </si>
  <si>
    <t>Crasto 2011</t>
  </si>
  <si>
    <t>Taveira 2011</t>
  </si>
  <si>
    <t>Al-Shookri 2012</t>
  </si>
  <si>
    <t>Cohen 2011</t>
  </si>
  <si>
    <t>Allen 2011</t>
  </si>
  <si>
    <t>Neto 2011</t>
  </si>
  <si>
    <t>Frosch 2011</t>
  </si>
  <si>
    <t>Welch 2011</t>
  </si>
  <si>
    <t>Ishani 2011</t>
  </si>
  <si>
    <t>Tildesley 2010</t>
  </si>
  <si>
    <t>Davis 2010</t>
  </si>
  <si>
    <t>Vadstrup 2011</t>
  </si>
  <si>
    <t>De Greef 2011</t>
  </si>
  <si>
    <t>Wakefield 2011</t>
  </si>
  <si>
    <t>Piette 2011</t>
  </si>
  <si>
    <t xml:space="preserve">NR </t>
  </si>
  <si>
    <t>Anderson 2010</t>
  </si>
  <si>
    <t>Bujnowska-Fedak 2011</t>
  </si>
  <si>
    <t>Luley 2011</t>
  </si>
  <si>
    <t>Houweling 2011</t>
  </si>
  <si>
    <t>Lamers 2011</t>
  </si>
  <si>
    <t>Avdal 2011</t>
  </si>
  <si>
    <t>Carter 2011</t>
  </si>
  <si>
    <t>Charpentier 2011</t>
  </si>
  <si>
    <t>Naik 2011</t>
  </si>
  <si>
    <t>Simpson 2011</t>
  </si>
  <si>
    <t>Brown 2011</t>
  </si>
  <si>
    <t>Plotnikoff 2010</t>
  </si>
  <si>
    <t>Fiscella 2010</t>
  </si>
  <si>
    <t>Nesari 2010</t>
  </si>
  <si>
    <t>Cho 2011</t>
  </si>
  <si>
    <t>Gutierrez 2011</t>
  </si>
  <si>
    <t>Farsaei 2011</t>
  </si>
  <si>
    <t>Keogh 2011</t>
  </si>
  <si>
    <t>Wallymahmed 2011</t>
  </si>
  <si>
    <t>≤0.001</t>
  </si>
  <si>
    <t>Hawkins 2010</t>
  </si>
  <si>
    <t>Andrews 2011</t>
  </si>
  <si>
    <t>Franciosi 2011</t>
  </si>
  <si>
    <t>Skeie 2009</t>
  </si>
  <si>
    <t>Holbrook 2011</t>
  </si>
  <si>
    <t>Sriram 2011</t>
  </si>
  <si>
    <t>Williams 2012</t>
  </si>
  <si>
    <t>7-8.5</t>
  </si>
  <si>
    <t>6-8</t>
  </si>
  <si>
    <t>7-9</t>
  </si>
  <si>
    <t>McMahon 2012</t>
  </si>
  <si>
    <t>Ali 2012</t>
  </si>
  <si>
    <t>Jacobs 2012</t>
  </si>
  <si>
    <t>Rothschild 2014</t>
  </si>
  <si>
    <t>Chan 2014</t>
  </si>
  <si>
    <t>Cinar 2014</t>
  </si>
  <si>
    <t xml:space="preserve"> NA</t>
  </si>
  <si>
    <t>Chan 2012</t>
  </si>
  <si>
    <t>Jarab 2012</t>
  </si>
  <si>
    <t>6.6-10.2</t>
  </si>
  <si>
    <t>6.9-10.3</t>
  </si>
  <si>
    <t>Kirwan 2013</t>
  </si>
  <si>
    <t>Mons 2013</t>
  </si>
  <si>
    <t>Siminerio 2013</t>
  </si>
  <si>
    <t>Sequeira 2013</t>
  </si>
  <si>
    <t>Nishita 2012</t>
  </si>
  <si>
    <t>Eakin 2013</t>
  </si>
  <si>
    <t>Orsama 2013</t>
  </si>
  <si>
    <t>Rossi 2013</t>
  </si>
  <si>
    <t>Adair 2013</t>
  </si>
  <si>
    <t>Gabbay 2013</t>
  </si>
  <si>
    <t>Ismail 2013</t>
  </si>
  <si>
    <t>Crowley 2013</t>
  </si>
  <si>
    <t>All estimates (baseline, outcome) are mixed-effect model estimates.</t>
  </si>
  <si>
    <t>Van Dyck 2013</t>
  </si>
  <si>
    <t>Leichter 2013</t>
  </si>
  <si>
    <t>Tang 2013</t>
  </si>
  <si>
    <t>Yang 2013</t>
  </si>
  <si>
    <t>Negrebetsky 2013</t>
  </si>
  <si>
    <t>Munshi 2013</t>
  </si>
  <si>
    <t>Moattari 2012</t>
  </si>
  <si>
    <t>&lt;0.076</t>
  </si>
  <si>
    <t>Planas 2012</t>
  </si>
  <si>
    <t>Guo 2014</t>
  </si>
  <si>
    <t>Heisler 2014</t>
  </si>
  <si>
    <t>Sen 2014</t>
  </si>
  <si>
    <t>Castejon 2013</t>
  </si>
  <si>
    <t>Stone 2012</t>
  </si>
  <si>
    <t>Griffin 2011*</t>
  </si>
  <si>
    <t>6.1-7.3</t>
  </si>
  <si>
    <t>6.1-7.1</t>
  </si>
  <si>
    <t>6.0-6.9</t>
  </si>
  <si>
    <t>8.2-14.2</t>
  </si>
  <si>
    <t>7.0-20.8</t>
  </si>
  <si>
    <t>First author &amp; yr</t>
    <phoneticPr fontId="0" type="noConversion"/>
  </si>
  <si>
    <t>RefID</t>
    <phoneticPr fontId="0" type="noConversion"/>
  </si>
  <si>
    <t>RefID title</t>
  </si>
  <si>
    <t>Full reference (Medline)</t>
  </si>
  <si>
    <t>Contact author email</t>
  </si>
  <si>
    <t>Last name contact author</t>
  </si>
  <si>
    <t>Study title/acronym</t>
  </si>
  <si>
    <t>Feasibility/Pilot?</t>
  </si>
  <si>
    <t>Trial Registration No.</t>
  </si>
  <si>
    <t>Study design</t>
    <phoneticPr fontId="0" type="noConversion"/>
  </si>
  <si>
    <t># clusters</t>
    <phoneticPr fontId="0" type="noConversion"/>
  </si>
  <si>
    <t>N providers</t>
    <phoneticPr fontId="0" type="noConversion"/>
  </si>
  <si>
    <t>Year</t>
    <phoneticPr fontId="0" type="noConversion"/>
  </si>
  <si>
    <t>Country</t>
    <phoneticPr fontId="0" type="noConversion"/>
  </si>
  <si>
    <t>Mean age</t>
    <phoneticPr fontId="0" type="noConversion"/>
  </si>
  <si>
    <t>SD age</t>
  </si>
  <si>
    <t>% male</t>
    <phoneticPr fontId="0" type="noConversion"/>
  </si>
  <si>
    <t>Setting</t>
    <phoneticPr fontId="0" type="noConversion"/>
  </si>
  <si>
    <t>Diabetes type</t>
    <phoneticPr fontId="0" type="noConversion"/>
  </si>
  <si>
    <t>Total N</t>
    <phoneticPr fontId="0" type="noConversion"/>
  </si>
  <si>
    <t>No. Arms</t>
  </si>
  <si>
    <t>Pat blind</t>
  </si>
  <si>
    <t>Assess blind</t>
    <phoneticPr fontId="0" type="noConversion"/>
  </si>
  <si>
    <t>Phys/org blind</t>
    <phoneticPr fontId="0" type="noConversion"/>
  </si>
  <si>
    <t>Duration of intervention</t>
    <phoneticPr fontId="0" type="noConversion"/>
  </si>
  <si>
    <t>Longest follow-up duration</t>
    <phoneticPr fontId="0" type="noConversion"/>
  </si>
  <si>
    <t>Type of analysis</t>
  </si>
  <si>
    <t>ROB</t>
    <phoneticPr fontId="0" type="noConversion"/>
  </si>
  <si>
    <t>QI strategies</t>
    <phoneticPr fontId="0" type="noConversion"/>
  </si>
  <si>
    <t>ASA</t>
    <phoneticPr fontId="0" type="noConversion"/>
  </si>
  <si>
    <t>Statin</t>
    <phoneticPr fontId="0" type="noConversion"/>
  </si>
  <si>
    <t>Anti-hyp</t>
    <phoneticPr fontId="0" type="noConversion"/>
  </si>
  <si>
    <t>Retin</t>
    <phoneticPr fontId="0" type="noConversion"/>
  </si>
  <si>
    <t>Foot</t>
    <phoneticPr fontId="0" type="noConversion"/>
  </si>
  <si>
    <t>Renal</t>
    <phoneticPr fontId="0" type="noConversion"/>
  </si>
  <si>
    <t>HbA1c</t>
    <phoneticPr fontId="0" type="noConversion"/>
  </si>
  <si>
    <t>LDL</t>
    <phoneticPr fontId="0" type="noConversion"/>
  </si>
  <si>
    <t>SBP</t>
    <phoneticPr fontId="0" type="noConversion"/>
  </si>
  <si>
    <t>DBP</t>
    <phoneticPr fontId="0" type="noConversion"/>
  </si>
  <si>
    <t>Htn C</t>
    <phoneticPr fontId="0" type="noConversion"/>
  </si>
  <si>
    <t>Smok</t>
    <phoneticPr fontId="0" type="noConversion"/>
  </si>
  <si>
    <t>Harms</t>
    <phoneticPr fontId="0" type="noConversion"/>
  </si>
  <si>
    <t>Using collaborative learning to improve diabetes care and outcomes: the VIDA project</t>
  </si>
  <si>
    <t>Barceló A, Cafiero E, de Boer M, Mesa AE, Lopez MG, Jiménez RA, Esqueda AL, Martinez JA, Holguin EM, Meiners M, Bonfil GM, Ramirez SN, Flores EP, Robles S. Using collaborative learning to improve diabetes care and outcomes: The VIDA project. Prim Care Diabetes. 2010; 4: I45-I53.</t>
  </si>
  <si>
    <t>barceloa@paho.org</t>
  </si>
  <si>
    <t>Barceló</t>
  </si>
  <si>
    <t>The VIDA Project</t>
  </si>
  <si>
    <t>cluster RCT</t>
  </si>
  <si>
    <t>Mexico</t>
  </si>
  <si>
    <t>10 publich health centers in Xalapa and Veracruz, Mexico</t>
  </si>
  <si>
    <t>Chi Square, McNemar test, two tailed paired t test, multilevel logistic regression, all models adjusted for clustering within practice, age, gender and baseline values</t>
  </si>
  <si>
    <t>x</t>
  </si>
  <si>
    <t>The Vermont Diabetes Information System: A cluster randomized trial of a population based support system</t>
  </si>
  <si>
    <t>MacLean CD, Gagnon M, Callas P, Littenberg B. The Vermont Diabetes Information System: A cluster randomized trial of a population based support system. J Gen Intern Med. 2009; 24(12): 1303-10.</t>
  </si>
  <si>
    <t>charles.maclean@uvm.edu</t>
  </si>
  <si>
    <t>MacLean</t>
  </si>
  <si>
    <t>The Vermont Diabetes Information System (VDIS)</t>
  </si>
  <si>
    <t>NCT00109369</t>
  </si>
  <si>
    <t>USA</t>
  </si>
  <si>
    <t>A largely rural, community, primary care setting which include hospital based clinical laboratories in Vermont and adjacent New York State that provide services to community practices.</t>
  </si>
  <si>
    <t>General linear mixed models. SE adjusted for clustering within practice. Interventions was a fixed effect, practice and patients nested within practice were random effects.</t>
  </si>
  <si>
    <t>Kirwin 2010</t>
  </si>
  <si>
    <t>Pharmacist recommendations to improve the quality of diabetes care: a randomized controlled trial</t>
  </si>
  <si>
    <t>Kirwin J, Cunningham RJ, Sequist TD. Pharmacist recommendations to improve the quality of diabetes care: a randomized controlled trial. J Manag Care Pharm. 2010; 16(2): 104-113.</t>
  </si>
  <si>
    <t>j.kirwin@neu.edu</t>
  </si>
  <si>
    <t>Kirwin</t>
  </si>
  <si>
    <t>NCT00122421</t>
  </si>
  <si>
    <t>8 suites within a hospital-based primary care practice on the main campus of a large academic teaching hospital in Boston, Massachusetts</t>
  </si>
  <si>
    <t>Fitting patient level multivariable logistic regression models.. Adjusted for standard error of clustering of patients by suite using generalized estimating equations.</t>
  </si>
  <si>
    <t>Sequist 2010</t>
  </si>
  <si>
    <t xml:space="preserve">Cultural competency training and performance reports to improve diabetes care for Black patients </t>
  </si>
  <si>
    <t xml:space="preserve">Sequist TD, Fitzmaurice GM, Marshall R, Shaykevich S, Marston A, Safran DG, Ayanian JZ. Cultural competency training and performance reports to improve diabetes care for Black patients. Ann Intern Med. 2010; 152: 40-46. </t>
  </si>
  <si>
    <t>tsequist@partners.org</t>
  </si>
  <si>
    <t>Sequist</t>
  </si>
  <si>
    <t>NCT00436176</t>
  </si>
  <si>
    <t>Harvard Vanguard Medical Associates (HVMA)- a multispecialty group practice in Eastern Massachusetts.</t>
  </si>
  <si>
    <t>generalized estimating equations to adjust Ses for clustering of patients by primary care team and then fit multivariae logistic regression models.</t>
  </si>
  <si>
    <t>Improving blood pressure control through a clinical pharmacist outreach program in patients with diabetes mellitus in 2 high-performing health systems. The adherence and intensification of medications cluster randomized, controlled pragmatic trial.</t>
  </si>
  <si>
    <t>Heisler M, Hofer TP, Schmittdiel JA, Selby JV, Klamerus ML, Bosworth HB, Bermann M, Kerr EA. Improving blood pressure control through a clinical pharmacist outreach program in patients with diabetes mellitus in 2 high-performing health systems. The adherence and intensification of medications cluster randomized, controlled pragmatic trial. Circulation. 2012; 125: 2863-2872.</t>
  </si>
  <si>
    <t>mheisler@umich.edu</t>
  </si>
  <si>
    <t>Heisler</t>
  </si>
  <si>
    <t>The Adherence and Intensification of Medications Cluster Randomized, Controlled, Pragmatic Trial</t>
  </si>
  <si>
    <t>NCT00495794</t>
  </si>
  <si>
    <t>5 outpatient primary care clinics (3 urban Veteran's Affairs (VA) in the Midwest and 2 (Kaiser Permanente) KP in California</t>
  </si>
  <si>
    <t>3 level multiple linear regression, with SBP measurements nested within subject within team to account for clustering of patients within teams…accounted for sampling design by including site and BP eligibility strata in all models.</t>
  </si>
  <si>
    <t>Cluster-randomized trial of a mobile phone personalized behavioral intervention for blood glucose control</t>
  </si>
  <si>
    <t>Quinn CC, Shardell MD, Terrin ML, Barr EA, Ballew SH, Gruber-Baldini AL. Cluster-randomized trial of a mobile phone personalized behavioral intervention for blood glucose control. Diabetes Care. 2011; 34: 1934-1942.</t>
  </si>
  <si>
    <t>cquinn@epi.umaryland.edu</t>
  </si>
  <si>
    <t>Quinn</t>
  </si>
  <si>
    <t>The Mobile Diabetes Intervention Study</t>
  </si>
  <si>
    <t>NCT01107015</t>
  </si>
  <si>
    <t>Primary care practices in four distince Maryland areas</t>
  </si>
  <si>
    <t>Linear mixed effects model, random effects accounting for within practice clustering, and within patient correlation, sensitivity analysis using weighted estimating equations to consider residual bias from missing data.</t>
  </si>
  <si>
    <t>Estrada 2011*</t>
  </si>
  <si>
    <t>A web-based diabetes intervention for physician: a cluster-randomized effectiveness trial</t>
  </si>
  <si>
    <t>Estrada CA, Safford MM, Salanitro AH, Houston TK, Curry W, Williams JH, Ovalle F, Kim Y, Foster P, Allison JJ. A web-based diabetes intervention for physician: a cluster- randomized effectiveness trial. Int J Qual Health Care. 2011; 23(6): 682-688.</t>
  </si>
  <si>
    <t>cestrada@uab.edu</t>
  </si>
  <si>
    <t>Estrada</t>
  </si>
  <si>
    <t>Rural Diabetes Online Care (R-DOC)</t>
  </si>
  <si>
    <t>NCT00403091</t>
  </si>
  <si>
    <t>Family, general and internal medicine physicians in rural areas of 11 southeastern USA (Alabama, Arkansas, Florida, Georgia, Kentucky, Mississippi, Missouri, North Carolina, South Carolina, Tennessee and West Virginia).</t>
  </si>
  <si>
    <t>Generalized linear mixed models (GLMM), accounting for clustering of patients within physicians.</t>
  </si>
  <si>
    <t>Effectiveness of a community pharmacist intervention in diabetes care: a randomized controlled trial</t>
  </si>
  <si>
    <t>Mehuys E, Van Bortel L, De Bolle L, Van Tongelen I, Annemans L, Remon J-P, Giri M. Effectiveness of a community pharmacist intervention in diabetes care: a randomized controlled trial. J Clin Pharm Ther. 2011; 36:602-613.</t>
  </si>
  <si>
    <t>els.mehuys@ugent.be</t>
  </si>
  <si>
    <t>Mehuys</t>
  </si>
  <si>
    <t>Belgium</t>
  </si>
  <si>
    <t>66 community pharmacies in Flanders (Dutch speaking area) of Belgium</t>
  </si>
  <si>
    <t>t-tests, chi-square, wilcoxon signed rank test, Mann-Whitney U test</t>
  </si>
  <si>
    <t>The effectiveness of the Austrian disease management programme for type 2 diabetes: a cluster-randomised controlled trial</t>
  </si>
  <si>
    <t>Sonnichsen AC, Winkler H, Flamm M, Panisch S, Kowatsch P, Kilma G, Furthauer B, Weitgasser R. The effectiveness of the Austrian disease management programme for type 2 diabetes: a cluster-randomised controlled trial. BMC Fam Pract. 2010; 11(86).</t>
  </si>
  <si>
    <t>andreas.soennichsen@pmu.ac.at</t>
  </si>
  <si>
    <t>Sönnichsen</t>
  </si>
  <si>
    <t>ISRCTN27414162</t>
  </si>
  <si>
    <t>Austria</t>
  </si>
  <si>
    <t>275 eligible primary care physicians with a contract with the public health insurance in Austria (province of Salzburg)</t>
  </si>
  <si>
    <t>Mixed models adjusting for cluster effects and baseline, fisher's extact test, t-test for paired samples</t>
  </si>
  <si>
    <t>Schnipper 2010</t>
  </si>
  <si>
    <t>Effects of documentation-based decision support on chronic disease management.</t>
  </si>
  <si>
    <t>Schnipper JL, Linder JA, Palchuk MB, Yu DT, McColgan KE, Volk LA, Tsurikova R, Melnikas AJ, Einbinder JS, Middleton B. Effects of documentation-based decision support on chronic disease management. Am J Manag Care. 2010; 16 (12SpecNo.):SP72-SP81.</t>
  </si>
  <si>
    <t>jschnipper@partners.org</t>
  </si>
  <si>
    <t>Schnipper</t>
  </si>
  <si>
    <t>Primary care practices at Brigham and Women's Hospital and Massachusetts General Hospital</t>
  </si>
  <si>
    <t>Binomial logistic regression, multivarible models, generalized estimating equations (adjust for clustering by patients and providers)</t>
  </si>
  <si>
    <t>Improved quality of type 2 diabetes care following electronic feedback of treatment status to general practitioners: a cluster randomized controlled trial</t>
  </si>
  <si>
    <t>Guldberg TL, Vedsted P, Kristensen JK, Lauritzen T. Improved quality of type 2 diabetes care following electronic feedback of treatment status to general practitioners: a cluster randomized controlled trial. Diabet Med. 2011; 28(3): 325-32.</t>
  </si>
  <si>
    <t>trine.guldberg@alm.au.dk</t>
  </si>
  <si>
    <t>Guldberg</t>
  </si>
  <si>
    <t>NCT01009528</t>
  </si>
  <si>
    <t>Denmark</t>
  </si>
  <si>
    <t>145 eligible General practices in Vejle County, Denmark</t>
  </si>
  <si>
    <t>Logistic regression with standard errors (taking clustering into account), generalized linear models (identity link for binomial outcome), Robust variance estimates to account for clustering.</t>
  </si>
  <si>
    <t>Integrating education, group support, and case management for diabetic Hispanics.</t>
  </si>
  <si>
    <t>Brown SA, Garcia AA, Winter M, Silva L, Brown A, Hanis CL. Integrating education, group support, and case management for diabetic Hispanics. Ethn Dis. 2011; 21(1): 20-26.</t>
  </si>
  <si>
    <t>sabrown@mail.utexas.edu</t>
  </si>
  <si>
    <t>Brown</t>
  </si>
  <si>
    <t>Patients from ongoing genetic and epidemiological studies.</t>
  </si>
  <si>
    <t>Hierarchical linear and nonlinear modeling to perform individual growth curve analysis, using multilevel models.</t>
  </si>
  <si>
    <t>Polonsky 2011*</t>
  </si>
  <si>
    <t>Structured self-monitoring of blood glucose signficantly reduces A1C levels in poorly controlled, noninsulin-treated type 2 diabetes</t>
  </si>
  <si>
    <t>Polonksy WH, Fisher L, Schikman CH, Hinnen DA, Parkin CG, Jelsovsky Z, Petersen B, Schweitzer M, Wagner RS. Structured self-monitoring of blood glucose signficantly reduces A1c levels in poorly controlled, noninsulin-treated type 2 diabetes. Diabetes Care. 2011; 34: 262-267.</t>
  </si>
  <si>
    <t>cgparkin@aol.com</t>
  </si>
  <si>
    <t>Parkin</t>
  </si>
  <si>
    <t>Structured testing program (STeP)</t>
  </si>
  <si>
    <t>Primary care practice sites across the Eastern USA</t>
  </si>
  <si>
    <t>Linear mixed models for primary outcomes and other dependent variables- Least squares estimates of group difference tested for signficance. Missing data estimated using maximum likelihood methods</t>
  </si>
  <si>
    <t>O' Connor 2011</t>
  </si>
  <si>
    <t>Impact of electronic health record clinical decision support on diabetes care: a randomized trial</t>
  </si>
  <si>
    <t xml:space="preserve">O'Connor PJ, Sperl-Hillen JM, Rush WA, Johnson PE, Amundson GH, Asche SE, Ekstrom HL, Gilmer TP. Impact of electronic health record clinical decision support on diabetes care: a randomized trial. Ann Fam Med. 2011; 9:12-21. </t>
  </si>
  <si>
    <t>Patrick.j.oconnor@healthpartners.com</t>
  </si>
  <si>
    <t>O'Connor</t>
  </si>
  <si>
    <t>NCT00272402</t>
  </si>
  <si>
    <t>Clinics from the HealthPartners Medical Group (large medical group in Minnesota that provides care to type 2 diabetics)</t>
  </si>
  <si>
    <t>general and generalized linear mixed models with repeated measures</t>
  </si>
  <si>
    <t>Team-based care approach to cholesterol management in diabetes mellitus</t>
  </si>
  <si>
    <t>Pape GA, Hunt JS, Butler KL, Siemienczuk J, LeBlanc BH, Gillanders W, Rozenfeld Y, Bonin K. Team-based care approach to cholesterol management in diabetes mellitus. Arch Intern Med. 2011; 171(16): 1480-1486.</t>
  </si>
  <si>
    <t>ginger.pape@providence.org</t>
  </si>
  <si>
    <t>Pape</t>
  </si>
  <si>
    <t>Providence Primary Care Research Network (PPCRN) in Oregon (not-for profit integrated delivery system)</t>
  </si>
  <si>
    <t>adjusted for clustering effects, Rao-Scott X2 test, logistic regression</t>
  </si>
  <si>
    <t>Effect of early intensive multifactorial therapy on 5-year cardiovascular outcomes in individuals with type 2 diabetes detected by screening (ADDITION-Europe): a cluster- ranodomised trial.</t>
  </si>
  <si>
    <t>Griffin SJ, Borch-Johnsen K, Davies MJ, Khunti K, Rutten GEHM, Sandbaek A, Sharp SJ, Simmons RK, van den Donk M, Wareham NJ, Lauritzen T. Effect of early intensive multifactorial therapy on 5-year cardiovascular outcomes in individuals with type 2 diabetes detected by screening (ADDITION-Europe): a cluster- ranodomised trial. Lancet. 378: 156-167.</t>
  </si>
  <si>
    <t>simon.griffin@mrc-epid.cam.ac.uk</t>
  </si>
  <si>
    <t>Griffin</t>
  </si>
  <si>
    <t>NCT00237549</t>
  </si>
  <si>
    <t>Denmark &amp; UK</t>
  </si>
  <si>
    <t>General practicies in Denmark and The Netherlands</t>
  </si>
  <si>
    <t>We calculated robust SE that took into account the two level structure of individuals within practices. We calculated the correlation coefficients within practices for the primary endpoints.</t>
  </si>
  <si>
    <t>Effectiveness of diabetes resource nurse care management and physician profiling in a fee-for-service setting: a cluster randomized trial</t>
  </si>
  <si>
    <t xml:space="preserve">Herrin J, Nicewander DA, Hollander PA, Couch CE, Winter FD, Haydar ZR, Warren SS, Ballard DJ. Effectiveness of diabetes resource nurse care management and physician profiling in a fee-for-service setting: a cluster randomized trial. Proc (Bayl Univ Med Cent). 2006; 19(2): 95-102. </t>
  </si>
  <si>
    <t>dj.ballard@baylorhealth.edu</t>
  </si>
  <si>
    <t>Ballard</t>
  </si>
  <si>
    <t>NCT00258674</t>
  </si>
  <si>
    <t>Family medicine and Internal medicine practices within the HealthTexas Provider Network (HTPN)- physician component of the Baylor Health Care System- Dallas-Fort Worth, Texas. HTPN- fee for service setting.</t>
  </si>
  <si>
    <t>Repeated measures model-adjsuted for clustering. Multilevel ordered logistic regression models</t>
  </si>
  <si>
    <t>Benchmarking is associated with improved quality of care in Type 2 diabetes</t>
  </si>
  <si>
    <t>Hermans MP, Elisaf M, Michel G, Muls E, Nobles F, Vandenberghe H, Brotons. Benchmarking is associated with improved quality of care in Type 2 diabetes. Diabetes Care. 2013, 36: 1-8.</t>
  </si>
  <si>
    <t>michel.hermans@uclouvain.be</t>
  </si>
  <si>
    <t>Hermans</t>
  </si>
  <si>
    <t>OPTIMISE (Optimal Type 2 dIabetes Management Including benchmarking and standard trEatment)</t>
  </si>
  <si>
    <t>NCT00681850</t>
  </si>
  <si>
    <t>Belgium, Greece, Luxembourg, Portugal, Spain and the UK</t>
  </si>
  <si>
    <t>General practitioner or hospital-based outpatient clinics</t>
  </si>
  <si>
    <t>Comparisons for the primary and secondary variables were carried out by multilevel mixed modeling with the SAS procedure GLIMMIX for categorical variables and the SAS procedure MIXED for quantitative variables.</t>
  </si>
  <si>
    <t>Shah 2014</t>
  </si>
  <si>
    <t xml:space="preserve">Effect of an educational toolkit on quailty of care: a pragmatic cluster randomized trial. </t>
  </si>
  <si>
    <t>Shah BR, Bhattacharyya O, Yu CHY, Mamdani MM, Parsons JA, Straus SE, Zwarenstein M. Effect of an educational toolkit on quailty of care: a pragmatic cluster randomized trial. PLoS Med. 2014; 11(2): e1001588.</t>
  </si>
  <si>
    <t>baiju.shah@ices.on.ca</t>
  </si>
  <si>
    <t>Shah</t>
  </si>
  <si>
    <t>NCT01411865, NCT01026688</t>
  </si>
  <si>
    <t>Canada</t>
  </si>
  <si>
    <t>Family practices in Ontario.</t>
  </si>
  <si>
    <t>To account for clustering, logistic regression modele estimated with generalized estimating equation were used.</t>
  </si>
  <si>
    <t>Dickinson 2014</t>
  </si>
  <si>
    <t>Practice facilitation to improve diabetes care in primary care: a report from the EPIC randomized clinical trial</t>
  </si>
  <si>
    <t>Dickinson WP, Dickinson LM, Nutting PA, Emsermann CB, Tutt B, Crabtree BF, Fisher L, Harbrecht M, Gottsman A, West DR. Practice facilitation to improve diabetes care in primary care: a report from the EPIC randomized clinical trial. Ann Fam Med. 2014; 12(1): 8-16.</t>
  </si>
  <si>
    <t>perry.dickinson@ucdenver.edu</t>
  </si>
  <si>
    <t>Dickinson</t>
  </si>
  <si>
    <t>Enhanching Practice, Improving Care (EPIC)</t>
  </si>
  <si>
    <t>NCT00414986</t>
  </si>
  <si>
    <t>Small to midsized community health centers and independent mixed payer primary care practices in Colorado.</t>
  </si>
  <si>
    <t>General linear mixed effects models, adjusting for patient-level covariates and clustering of patients ..</t>
  </si>
  <si>
    <t>Clinic-based versus outsourced implementation of a diabetes health literacy intervention</t>
  </si>
  <si>
    <t>Wolf MS, Seligman H, Davis TC, Fleming DA, Curtis LM, Pandit AU, Parker RM, Schillinger D, DeWalt DA. Clinic-based versus outsourced implementation of a diabetes health literacy intervention. J Gen Intern Med. 2013; 29(1): 59-67.</t>
  </si>
  <si>
    <t>mswolf@northwestern.edu</t>
  </si>
  <si>
    <t>Wolf</t>
  </si>
  <si>
    <t>Six community health centers in three cities (representing urban, suburban and rural)</t>
  </si>
  <si>
    <t>Generalized linear models and clustering by site were used to compare the two interventions.</t>
  </si>
  <si>
    <t>The TrueBlue model of collaborative care using practice nurses as case managers for depression alongside diabetes or heart disease: a randomised trial.</t>
  </si>
  <si>
    <t>Morgan MAJ, Coates MJ, Dunbar JA, Reddy P, Schlicht K, Fuller J. BMJ Open. 2013; 3:bmjopen2012002171.doi:10.1136/bmjopen-2012-002171</t>
  </si>
  <si>
    <t>director@greaterhealth.org</t>
  </si>
  <si>
    <t>Dunbar</t>
  </si>
  <si>
    <t>TrueBlue</t>
  </si>
  <si>
    <t xml:space="preserve">ACTRN12609000333213 </t>
  </si>
  <si>
    <t>Australia</t>
  </si>
  <si>
    <t>Australian general practices</t>
  </si>
  <si>
    <t>ANCOVA, Multilevel mixed effects logistic reggression</t>
  </si>
  <si>
    <t xml:space="preserve">Implementation of national guidelines, incorporated within structured diabetes and hypertension records at primary level care in Cape Town, South Africa: a randomised controlled trial. </t>
  </si>
  <si>
    <t>Steyn K, Lombard C, Gwebushe N, Fourie JM, Everett-Murphy K, Zwarenstein M, Levitt NS. Implementation of national guidelines, incorporated within structured diabetes and hypertension records at primary level care in Cape Town, South Africa: a randomised controlled trial.  Glob Health Action. 2013; 6: 20796.</t>
  </si>
  <si>
    <t>krisela.steyn@uct.ac.za</t>
  </si>
  <si>
    <t>Steyn</t>
  </si>
  <si>
    <t>PACTR201303000493351</t>
  </si>
  <si>
    <t>South Africa</t>
  </si>
  <si>
    <t>Public sector primary healthcare clinics also referred to as Community Health Centres (CHCs) in Cape Town.</t>
  </si>
  <si>
    <t>Linear regression model, SE and CI from linear regression models took into account of the cluster design using robust cluster variance estimation.</t>
  </si>
  <si>
    <t>Effectiveness of general practice based, practice nurse led telephone coaching on glycaemic control of type 2 diabetes: the Patient Engagement and Coaching for Health (PEACH) pragmatic cluster randomised controlled trial.</t>
  </si>
  <si>
    <t>BlackberryID, Furler JS, Best JD, Chondors P, Vale M, Walker C, Dunning T, Segal L, Dunbar J, Audehm R, Liew D, Young D. Effectiveness of general practice based, practice nurse led telephone coaching on glycaemic control of type 2 diabetes: the Patient Engagement and Coaching for Health (PEACH) pragmatic cluster randomised controlled trial. BMJ. 2013; 347:f5272.</t>
  </si>
  <si>
    <t>i.blackberry@unimelb.edu.au</t>
  </si>
  <si>
    <t>Blackberry</t>
  </si>
  <si>
    <t>Patient Engagement and Coaching for Health (PEACH)</t>
  </si>
  <si>
    <t>ISRCTN50662837</t>
  </si>
  <si>
    <t>General practices in Victoria, Australia.</t>
  </si>
  <si>
    <t>Generalised estimating equations with information sandwich (robust) standard errors provided the estimated ICC fo the fitted model was non-negative.</t>
  </si>
  <si>
    <t>Feasibility and effectiveness in clinical practice of a multifactorial intervention for the reduction of cardiovascular risk in patients with type 2 diabetes</t>
  </si>
  <si>
    <t>Vaccaro O, Franzini L, Miccoli R, Cavalot F, Ardigo D, Boemi M, de Feo P, Reboldi G, Rivellese AA, Trovati M, Zavaroni I. Feasibility and effectiveness in clinical practice of a multifactorial intervention for the reduction of cardiovascular risk in patients with type 2 diabetes. Diabetes Care. 2013; 36: 2566-2572.</t>
  </si>
  <si>
    <t>ovaccaro@unina.it</t>
  </si>
  <si>
    <t>Vaccaro</t>
  </si>
  <si>
    <t>The Multiple INtervention in type 2 Diabetes Italy (MIND.IT)</t>
  </si>
  <si>
    <t>NCT01240070</t>
  </si>
  <si>
    <t>Italy</t>
  </si>
  <si>
    <t>10 large outpatient diabetes clinics.</t>
  </si>
  <si>
    <t>Mixed-model regression techniques to account for clustering…</t>
  </si>
  <si>
    <t>Clinical, metabolic and psychological outcomes and treatment costs of a prospective randomized trial based on different educational strategies to improve diabetes care (PRODIACOR)</t>
  </si>
  <si>
    <t>Gagliardino JJ, Lapertosa S, Pfirter G, Villagra M, Caporale JE, Gonzalez CD, Elgart J, Gonzalex L, Cernadas C, Rucci E, Clark C. Clinical, metabolic and psychological outcomes and treatment costs of a prospective randomized trial based on different educational strategies to improve diabetes care (PRODIACOR). Diabet Med. 2013; 30: 1102-1111.</t>
  </si>
  <si>
    <t>direccion@cenexa.org</t>
  </si>
  <si>
    <t>Gagliardino</t>
  </si>
  <si>
    <t>PRODIACOR</t>
  </si>
  <si>
    <t>NCT01456806</t>
  </si>
  <si>
    <t>Argentina</t>
  </si>
  <si>
    <t>Public health, social security or private prepaid primary care clinics in Corrientes, Argentina.</t>
  </si>
  <si>
    <t>Factorial ANOVA and two-way ANOVA</t>
  </si>
  <si>
    <t>Vidal-Pardo 2013</t>
  </si>
  <si>
    <t>Effect of an educatioinal intervention in primary care physicians on the compliance of indicators of good clinical practice in the treatment of type 2 diabetes mellitus (OBTEDIGA project)</t>
  </si>
  <si>
    <t>Vidal-Pardo JI, Perez-Castro TR, Lopez-Alvarex XL, Santiago-Perez MI, Garcia-Soidan FJ, Muniz J. Effect of an educatioinal intervention in primary care physicians on the compliance of indicators of good clinical practice in the treatment of type 2 diabetes mellitus (OBTEDIGA project). Int J Clin Pract. 2013; 67(8): 750-758.</t>
  </si>
  <si>
    <t>javmu@udc.es</t>
  </si>
  <si>
    <t>Muniz</t>
  </si>
  <si>
    <t>Spain</t>
  </si>
  <si>
    <t>Physicians in Galicia (north-west Spain)</t>
  </si>
  <si>
    <t>Student t-test, Mann-Whitney U-test or Chi-squared (adjusted by the cluster effect of physician).</t>
  </si>
  <si>
    <t>De Pue 2013*</t>
  </si>
  <si>
    <t>Nurse-Community Health Worker Team Improves Diabetes Care in American Samoa.</t>
  </si>
  <si>
    <t>De Pue JD, Dunsiger S, Seiden AD, Blume J, Rosen RK, Goldstein MG, Nu'usolia O, Tuitele J, McGarvey ST. Nurse-Community Health Worker Team Improves Diabetes Care in American Samoa. Diabetes Care. 36: 1947-1953.</t>
  </si>
  <si>
    <t>jdepue@lifespan.org</t>
  </si>
  <si>
    <t>De Pue</t>
  </si>
  <si>
    <t>Diabetes Care in American Samoa (DCAS)</t>
  </si>
  <si>
    <t>NCT00850824</t>
  </si>
  <si>
    <t>Tafuna Clinic of the AS Community Health Centers, Department of Health, AS Government.</t>
  </si>
  <si>
    <t>Models where SEs were adjusted to account for two levels of clustering: households and within villages.</t>
  </si>
  <si>
    <t>Effects of lifestyle education program for type 2 diabetes patients in clinics: a cluster randomized controlled trial.</t>
  </si>
  <si>
    <t>Adachi M, Yamaoka K, Watanabe M, Nishikawa M, Kobayashi I, Hida E, Tango T. Effects of lifestyle education program for type 2 diabetes patients in clinics: a cluster randomized controlled trial. BMC Public Health. 2013. 13; 467.</t>
  </si>
  <si>
    <t>kazue@med.teikyo-u.ac.jp</t>
  </si>
  <si>
    <t>Yamaoka</t>
  </si>
  <si>
    <t>UMIN000004049</t>
  </si>
  <si>
    <t>Japan</t>
  </si>
  <si>
    <t>Primary care clinics in Kanagawa, Japan</t>
  </si>
  <si>
    <t>Mixed effects linear models to examine treatment effect and cluster effect.</t>
  </si>
  <si>
    <t>No identifiable HbA1c or lifestyle change after a comprehensive diabetes programme including motivational interviewing: a cluster randomised trial</t>
  </si>
  <si>
    <t>Jansink R, Braspenning J, Keizer E, van der Weijden T, Elwyn G, Grol R. No identifiable HbA1c or lifestyle change after a comprehensive diabetes programme including motivational interviewing: a cluster randomised trial. Scand J Prim Health Care Suppl. 2013. 31:119-127.</t>
  </si>
  <si>
    <t>r.jansink@iq.umcn.nl</t>
  </si>
  <si>
    <t>Jansink</t>
  </si>
  <si>
    <t>ISRCTN68707773</t>
  </si>
  <si>
    <t>The Netherlands</t>
  </si>
  <si>
    <t>General practices in South Eastern part of the Netherlands</t>
  </si>
  <si>
    <t>Adjusted for clustering within practices, multilevel linear regression, multilevel logistic regression.</t>
  </si>
  <si>
    <t>Promoting self-management in diabetes: efficacy of a collaborative care approach.</t>
  </si>
  <si>
    <t>Sieber W, Newsome A, Lillie D. Promoting self-management in diabetes: efficacy of a collaborative care approach. Fam Syst Health. 2012; 30(4): 322-329.</t>
  </si>
  <si>
    <t>bseieber@ucsd.edu</t>
  </si>
  <si>
    <t>Sieber</t>
  </si>
  <si>
    <t>Three academic, family medicine clinics located across San Diego.</t>
  </si>
  <si>
    <t>Chi-square, no mention of adjusting for clustering.</t>
  </si>
  <si>
    <t>Patja 2012</t>
  </si>
  <si>
    <t>Health coaching by telephony to support self-care in chronic diseases: clinical outcomes from the TERVA randomized controlled trial</t>
  </si>
  <si>
    <t>Patja K, Absetz P, Auvinen A, Tokola K, KytoJ, Oksman E, Kuronen R, Ovaska T, Harno K, Nenonen M, Wiklund T, Kettunen R, Talja M. Health coaching by telephony to support self-care in chronic diseases: clinical outcomes from the TERVA randomized controlled trial. BMC Health Serv Res. 2012:12: 147.</t>
  </si>
  <si>
    <t>kristiina.patja@promedico.fi</t>
  </si>
  <si>
    <t>Patja</t>
  </si>
  <si>
    <t>TERVA</t>
  </si>
  <si>
    <t>NCT00552903</t>
  </si>
  <si>
    <t>Finland</t>
  </si>
  <si>
    <t>Patients identified from primary care and hospital registries in the Paijat Hame region in Southern Finland</t>
  </si>
  <si>
    <t>Generalized linear mixed model to account for clustered design.</t>
  </si>
  <si>
    <t>Development and validation of a computer application to aid the physician's decision-making process at the start of and during treatment with insulin in type 2 diabetes: a randomized and controlled trial</t>
  </si>
  <si>
    <t>Saenz A, Brito M, Moron I, Torralba A, Garcia-Sanz E, Redondo J. Development and validation of a computer application to aid the physician's decision-making process at the start of and during treatment with insulin in type 2 diabetes: a randomized and controlled trial. J Diabetes Sci Technol 2012; 6(3):581-588.</t>
  </si>
  <si>
    <t>asaenzcalvo@telefonica.net</t>
  </si>
  <si>
    <t>Saenz</t>
  </si>
  <si>
    <t>Primary care centers in Madrid, Spain</t>
  </si>
  <si>
    <t>Student's t-test</t>
  </si>
  <si>
    <t>Effectiveness of a training course for general practice nurses in motivation support in type 2 diabetes care: a cluster-randomised trial</t>
  </si>
  <si>
    <t>Juul L, Maindal HT, Zoffmann V, Frydenberg M, Sandbaek A. Effectiveness of a training course for general practice nurses in motivation support in type 2 diabetes care: a cluster-randomised trial. PLoS ONE 2014; 9(5):E96683.</t>
  </si>
  <si>
    <t>lise.juul@alm.au.dk</t>
  </si>
  <si>
    <t>Juul</t>
  </si>
  <si>
    <t>NCT01187069</t>
  </si>
  <si>
    <t>Patients identified from Central Denmark Region's Chronic Disease Database</t>
  </si>
  <si>
    <t>Difference in mean at follow-up based on mixed additive model where adjustments were made fro baseline values and random differences between general practices…analyses adjusted for clustering within general practices.</t>
  </si>
  <si>
    <t>Implementation of the chronic care model in small medical practices improves cardiovascular risk but not glycemic control</t>
  </si>
  <si>
    <t>Frei A, Senn O, Chmiel C, Reissner J, Hled U, Rosemann T. Implementation of the chronic care model in small medical practices improves cardiovascular risk but not glycemic control. Diabetes Care 2014; 37:1039-1047.</t>
  </si>
  <si>
    <t>anja.frei@ifspm.uzh.ch</t>
  </si>
  <si>
    <t>Frei</t>
  </si>
  <si>
    <t>ISRCTN05947538</t>
  </si>
  <si>
    <t>Switzerland</t>
  </si>
  <si>
    <t>PCPs participating in routine primary care of unselected patients.</t>
  </si>
  <si>
    <t>ICCs calculated, multilevel regression analysis with the PCP as the cluster level</t>
  </si>
  <si>
    <t>Effect of telehealth on glycaemic control: analysis of patients with type 2 diabetes in the Whole Systems Demonstrator cluster randomised trial</t>
  </si>
  <si>
    <t>Steventon A, Bardsley M, Doll H, Tuckey E, Newman SP. Effect of telehealth on glycaemic control: analysis of patients with type 2 diabetes in the Whole Systems Demonstrator cluster randomised trial. BMC health Serv Res 2014; 14:334.</t>
  </si>
  <si>
    <t>Adam.Steventon@nuffieldtrust.org.uk</t>
  </si>
  <si>
    <t>Steventon</t>
  </si>
  <si>
    <t>The Whole Systems Demonstrator</t>
  </si>
  <si>
    <t>ISRCTN43002091</t>
  </si>
  <si>
    <t>England</t>
  </si>
  <si>
    <t>General practices from the three demonstration WSD sites, Cornwall, Kent nad Newham in East London</t>
  </si>
  <si>
    <t>the model included random efffect of the general practice (cluster) level</t>
  </si>
  <si>
    <t>Biophysiologic outcomes of the enhancing adherence in type 2 diabetes (ENHANCE) trial</t>
  </si>
  <si>
    <t>Sevick MA, Korytkowski M, Stone RA, Piraino B, Ren D, Sereika S, Wang Y, Steenkiste A, Burke LE. Biophysiologic outcomes of the enhancing adherence in type 2 diabetes (ENHANCE) trial. J Acad Nutr Diet. 2012; 112(8): 1147-1157.</t>
  </si>
  <si>
    <t>sevick@pitt.edu</t>
  </si>
  <si>
    <t>Sevick</t>
  </si>
  <si>
    <t>The ENHANCE Trial</t>
  </si>
  <si>
    <t>NCT00222846</t>
  </si>
  <si>
    <t>Self-referral- advertisements, emails, etc.</t>
  </si>
  <si>
    <t>Integrated management of type 2 diabetes mellitus and depression treatment to improve medication adherence: a randomized controlled trial</t>
  </si>
  <si>
    <t>Bogner HR, Morales KH, de Vries HF, Cappola AR. Integrated management of type 2 diabetes mellitus and depression treatment to improve medication adherence: a randomized controlled trial. Ann Fam Med. 2012; 10(1): 15-22.</t>
  </si>
  <si>
    <t>hillary.bogner@uphs.upenn.edu</t>
  </si>
  <si>
    <t>Bogner</t>
  </si>
  <si>
    <t>NCT01098253</t>
  </si>
  <si>
    <t>Recruited from 3 primary care practices in Philadelphia, Pensylvania. Study was conducted in a clinical setting.</t>
  </si>
  <si>
    <t>Evaluation of a behavior support intervention for patients with poorly controlled diabetes.</t>
  </si>
  <si>
    <t>Frosch DL, Uy V, Ochoa S, Mangione CM. Evaluation of a behavior support intervention for patients with poorly controlled diabetes. Arch Intern Med. 2011; 171(22): 2011-2017.</t>
  </si>
  <si>
    <t>froschd@pamfri.org</t>
  </si>
  <si>
    <t>Frosch</t>
  </si>
  <si>
    <t>NCT00668590</t>
  </si>
  <si>
    <t>3 academic primary care practices (2 internal, 1 family), 1 community based safety net clinic (poor/uninsured) in Los Angeles, CA area</t>
  </si>
  <si>
    <t>Adval 2011</t>
  </si>
  <si>
    <t>The effects of web-based diabetes education on diabetes care results.</t>
  </si>
  <si>
    <t>Adval EU, Kizilci S, Demirel N. The effects of web-based diabetes education on diabetes care results. A randomized control study. Comput Inform Nurs. 2011; 29(2): 101-106.</t>
  </si>
  <si>
    <t>elifadval@uludag.edu.tr</t>
  </si>
  <si>
    <t>Adval</t>
  </si>
  <si>
    <t>Turkey</t>
  </si>
  <si>
    <t>Dokuz Eylul University in the Endocrine Polyclinic, where diabetes care is provided.</t>
  </si>
  <si>
    <t>A patient-centric, provider-assisted diabetes telehealth self-management intervention for urban minorities</t>
  </si>
  <si>
    <t>Carter EL, Nunlee-Bland G, Callender C. A patient-centric, provider-assisted diabetes telehealth self-management intervention for urban minorities. Perspectives in Health Information Management. 2011.</t>
  </si>
  <si>
    <t>Carter</t>
  </si>
  <si>
    <t>Recruited from a primary care practice in Washington, DC, Intevention was home based</t>
  </si>
  <si>
    <t>Simpson 2011*</t>
  </si>
  <si>
    <t>Effect of adding pharmacists to primary care teams on blood pressure control in patients with type 2 diabetes</t>
  </si>
  <si>
    <t>Simpson SH, Majumdar SR, Tsuyuki RT, Lewanczuk RZ, Spooner R, Johnson JA. Effect of adding pharmacists to primary care teams on blood pressure control in patients with type 2 diabetes. Diabetes Care. 2011; 34(1): 20-26.</t>
  </si>
  <si>
    <t>ssimpson@pharmacy.ualberta.ca</t>
  </si>
  <si>
    <t>Simpson</t>
  </si>
  <si>
    <t>ISRCTN97121854</t>
  </si>
  <si>
    <t>5 primary care clinics (affliated with the Edmonton South Side Primary Care Network)</t>
  </si>
  <si>
    <t>Improving glycemic control in older adults using a videophone motivational diabetes self-management intervention.</t>
  </si>
  <si>
    <t>Hawkins SY. Improving glycemic control in older adults using a videophone motivational diabetes self-management intervention. Res Theory Nurs Pract. 2010; 24(4): 217-232.</t>
  </si>
  <si>
    <t>shelley.hawkins@yale.edu</t>
  </si>
  <si>
    <t>Hawkins</t>
  </si>
  <si>
    <t>Patients recruited by referral from three primary care providers withint he same clinical practice.</t>
  </si>
  <si>
    <t>A community-based model of care improves blood pressure control and delays progression of proteinuria, left ventricular hypertrophy and diastolic dysfunction in Maori and Pacific patients with type 2 diabetes and chronic kidney disease: a randomized controlled trial</t>
  </si>
  <si>
    <t>Hotu C, Bagg W, Collins J, Harwood L, Whalley G, Doughty R, Gamble G, Braatvedt G. A community-based model of care improves blood pressure control and delays progression of proteinuria, left ventricular hypertrophy and diastolic dysfunction in Maori and Pacific patients with type 2 diabetes and chronic kidney disease: a randomized controlled trial. Nephrol Dial Transplant. 2010; 25: 3260-3266.</t>
  </si>
  <si>
    <t>g.braatvedt@auckland.ac.nz</t>
  </si>
  <si>
    <t>Braatvedt</t>
  </si>
  <si>
    <t>DEFEND- Delay Future End-stage Nephropathy due to Diabetes</t>
  </si>
  <si>
    <t>ACTRN12605000112662</t>
  </si>
  <si>
    <t>New Zealand</t>
  </si>
  <si>
    <t>Hospital diabetes and renal clinics and primary care practices in two areas of Auckland, NZ, which provides comprehensive publich health care.</t>
  </si>
  <si>
    <t>Katon 2010*</t>
  </si>
  <si>
    <t>Collaborative care ofr patients with depression and chronic illnesses</t>
  </si>
  <si>
    <t xml:space="preserve">Katon WJ, Lin EHB, von Korff M, Ciechanowski P, Ludman EJ, Young B, Peterson D, Rutter CM, McGregor M, McCulloch D. Collaborative care for patients with depression and chronic illnesses. N Engl J Med. 2010; 363(27): 2611-20. </t>
  </si>
  <si>
    <t>wkaton@uwashington.edu</t>
  </si>
  <si>
    <t>Katon</t>
  </si>
  <si>
    <t>NCT00468676</t>
  </si>
  <si>
    <t>14 primary care clinics (within a Group Health Cooperative) in Washington State</t>
  </si>
  <si>
    <t>A cognitive-behavioural pedometer-based group intervention on physical activity and sedentary behaviour in individuals with type 2 diabetes</t>
  </si>
  <si>
    <t>De Greef K, Deforche B, Tudor-Locke C, De Bourdeaudhuij I. A cognitive-behavioural pedometer-based group intervention on physical activity and sedentary behaviour in individuals with type 2 diabetes. Health Educ Res. 2010; 25(5): 724-736.</t>
  </si>
  <si>
    <t>karlijn.degreef@ugent.be</t>
  </si>
  <si>
    <t>De Greef</t>
  </si>
  <si>
    <t>Patients from the Endocrinology Department at a Belgian Hospital (Saint-Augustinus hospital in Veurne)</t>
  </si>
  <si>
    <t>Diabetes control with reciprocal peer support versus nurse care management</t>
  </si>
  <si>
    <t>Heisler M, Vijan S, Makki F, Piette JD. Diabetes control with reciprocal peer support versus nurse care management. Ann Intern Med. 2010; 153(8): 507-515.</t>
  </si>
  <si>
    <t>NCT00320112</t>
  </si>
  <si>
    <t>Two midwestern U.S. Department of Veterans Affairs (VA) facilities</t>
  </si>
  <si>
    <t>Insulin dose titration system in diabetes patients using a short messaging service automatically produced by a knowledge matrix</t>
  </si>
  <si>
    <t>Kim CS, Park SY, Kang JG, Lee SJ, Ihm SH, Choi MG, Yoo HJ. Insulin dose titration system in diabetes patients using a short messaging service automatically produced by a knowledge matrix. Diabetes Technol Ther.2010; 12(8): 663-669.</t>
  </si>
  <si>
    <t>ironeat@hallym.ac.kr</t>
  </si>
  <si>
    <t>Kim</t>
  </si>
  <si>
    <t>NCT00948584</t>
  </si>
  <si>
    <t>Republic of Korea</t>
  </si>
  <si>
    <t>Recruited from an outpatient clinic of Hallym University Sacred Heart Hospital</t>
  </si>
  <si>
    <t>Prescription of physical activity is not sufficient to change sedentary behavior and improve glycemic control in type 2 diabetes patients</t>
  </si>
  <si>
    <t>Wisse W, Rookhuizen MB, de Kruif MD, van Rossum J, Jordans I, ten Cate H, van Loon LJC, Meesters EW. Prescription of physical activity is not sufficient to change sedentary behavior and improve glycemic control in type 2 diabetes patients. Diabetes Res Clin Pract. 2010; 88: e10-e13.</t>
  </si>
  <si>
    <t>L.vanLoon@HB.unimaas.nl</t>
  </si>
  <si>
    <t>van Loon</t>
  </si>
  <si>
    <t>NTC1501</t>
  </si>
  <si>
    <t>Recruited from an outpatient diabetes clinic (Slotervaart Hospital in Amsterdam).</t>
  </si>
  <si>
    <t>Integrating type 2 diabetes mellitus and depression treatment among African Americans</t>
  </si>
  <si>
    <t>Bogner HR, de Vries HF. Integrating type 2 diabetes mellitus and depression treatment among African Americans. Diabetes Educ. 2010; 36(2): 284-292.</t>
  </si>
  <si>
    <t>Community based primary care practice in West Philadelphia with 12 family physicians</t>
  </si>
  <si>
    <t>Instruments to tailor care of people with type 2 diabetes</t>
  </si>
  <si>
    <t>Sigurdardottir AK, Benediktsson R, Jonsdottir H. Instruments to tailor care of people with type 2 diabetes. J Adv Nurs. 2009; 65(10): 2118-2130.</t>
  </si>
  <si>
    <t>arun@uanki.is</t>
  </si>
  <si>
    <t>Sigurdardottir</t>
  </si>
  <si>
    <t>Iceland</t>
  </si>
  <si>
    <t>Five diabetes clinics</t>
  </si>
  <si>
    <t>Collaborative care management of major depression among low-income, predominantly Hispanic subjects with diabetes</t>
  </si>
  <si>
    <t>Ell K, Katon W, Xie B, Lee P-J, Kapetanovic S, Guterman J, Chou C-P. Collaborative care management of major depression among low-income, predominantly Hispanic subjects with diabetes. Diabetes Care. 2010; 33(4): 706-713.</t>
  </si>
  <si>
    <t>ell@usc.edu</t>
  </si>
  <si>
    <t>Ell</t>
  </si>
  <si>
    <t>NCT00709150</t>
  </si>
  <si>
    <t>Two public-safety net clinics.</t>
  </si>
  <si>
    <t>Huizinga 2010</t>
  </si>
  <si>
    <t>Preventing glycaemic relapse in recently controlled type 2 diabetes patients: a randomised controlled trial</t>
  </si>
  <si>
    <t>Huizinga MM, Gebretsadik T, Ulen CG, Shintani AK, Michon SR, Shackleford LO, Wolff KL, Brown AW, Rothman RL, Elasy TA. Preventing glycaemic relapse in recently controlled type 2 diabetes patients: a randomised controlled trial. Diabetologia. 2010; 53: 832-839.</t>
  </si>
  <si>
    <t>mhuizinga@jhmi.edu</t>
  </si>
  <si>
    <t>Huizinga</t>
  </si>
  <si>
    <t>NCT00362193</t>
  </si>
  <si>
    <t>Recruited from urban area surrounding academic medical centre in Nashville, Tennessee- recruited from those who completed an induction programme for poor glycaemic control</t>
  </si>
  <si>
    <t>Supporting diabetes self-care in underserved poulations. A randomized pilot study using medical assistant coaches</t>
  </si>
  <si>
    <t>Ruggiero L, Moadsiri A, Butler P, Oros SM, Berbaum ML, Whitman S, Cintron D. Supporting diabetes self-care in underserved poulations. A randomized pilot study using medical assistant coaches. Diabetes Educ. 2010; 36(1): 127-131.</t>
  </si>
  <si>
    <t>lruggier@uic.edu</t>
  </si>
  <si>
    <t>Ruggiero</t>
  </si>
  <si>
    <t>A federally qualified health center (primary care clinic) in Chicago</t>
  </si>
  <si>
    <t>Zolfaghari 2012</t>
  </si>
  <si>
    <t>The impact of nurse short message services and telephone follow-ups on diabetic adherence: which one is more effective?</t>
  </si>
  <si>
    <t>Zolfaghari M, Mousavifar SA, Pedram S, Haghani H. The impact of nurse short message services and telephone follow-ups on diabetic adherence: which one is more effective? J Clin Nurs. 2012; 21: 1922-1931.</t>
  </si>
  <si>
    <t>zolfaghm@tums.ac.ir</t>
  </si>
  <si>
    <t>Zolfaghari</t>
  </si>
  <si>
    <t>Iran</t>
  </si>
  <si>
    <t>Iranian Diabetes Association (only those who referred to this association in an outpatient department in the city of Tehran).</t>
  </si>
  <si>
    <t>Logan 2012</t>
  </si>
  <si>
    <t>Effect of home blood pressure telemonitoring with self-care support on uncontrolled systolic hypertension in diabetes</t>
  </si>
  <si>
    <t>Logan AG, Irvine MJ, McIsaac WJ, Tisler A, Rossos PG, Easty A, Feig DS, Cafazzo JA. Effect of home blood pressure telemonitoring with self-care support on uncontrolled systolic hypertension in diabetes. Hypertension. 2012; 60: 51-57.</t>
  </si>
  <si>
    <t>logan@lunenfeld.ca</t>
  </si>
  <si>
    <t>Logan</t>
  </si>
  <si>
    <t>NCT00717665</t>
  </si>
  <si>
    <t>Physicians (offiices or clinics) in metropolitan Toronto</t>
  </si>
  <si>
    <t>7 days</t>
  </si>
  <si>
    <t>Quarterly individual outpatients lifestyle counseling after initial inpatients education on type 2 diabetes: The REDIA Prev-2 randomized controlled trial in Reunion Island</t>
  </si>
  <si>
    <t>Debussche X, Rollot O, Le Pommelet C, Fianu A, Le Moullec N, Regnier C, Boyer MC, Cogne M, Schwager JC, Favier F. Quarterly individual outpatients lifestyle counseling after initial inpatients education on type 2 diabetes: The REDIA Prev-2 randomized controlled trial in Reunion Island. Diabetes Metab. 2012; 38: 46-53.</t>
  </si>
  <si>
    <t>xavier.debussche@chr-reunion.fr</t>
  </si>
  <si>
    <t>Debussche</t>
  </si>
  <si>
    <t>REDIA-Prev 2</t>
  </si>
  <si>
    <t>NCT01207349</t>
  </si>
  <si>
    <t>Reunion Island</t>
  </si>
  <si>
    <t>Two endocrinology departments of the Regional Hospital of Reunion Island</t>
  </si>
  <si>
    <t>Glasgow 2012*</t>
  </si>
  <si>
    <t>Twelve-month outcomes of an internet-based diabetes self-management support program.</t>
  </si>
  <si>
    <t>Glasgow RE, Kurz D, King D, Dickman JM, Faber AJ, Halterman E, Woolley T, Toobert DJ, Strycker LA, Estabrooks PA, Osuna D, Ritzwoller D. Twelve-month outcomes of an interent-based diabetes self-management support program. Patient Educ Couns. 2012; 87(1): 81-92.</t>
  </si>
  <si>
    <t>glasgowre@mail.nih.gov</t>
  </si>
  <si>
    <t>Glasgow</t>
  </si>
  <si>
    <t>Five primary care clinics within Kaiser Permanente Colorado (KPCO)</t>
  </si>
  <si>
    <t>A randomized study to assess the impact of pharmacist counseling of employer-based health plan beneficiaries with diabetes: the EMPOWER study</t>
  </si>
  <si>
    <t>Kraemer DF, Kradjan WA, Bianco TM, Low JA. A randomized study to assess the impact of pharmacist counseling of employer-based health plan beneficiaries with diabetes: the EMPOWER study. J Pharm Pract. 2012; 25(2): 169-179.</t>
  </si>
  <si>
    <t>dale.kraemer@jax.ufl.edu</t>
  </si>
  <si>
    <t>Kraemer</t>
  </si>
  <si>
    <t>The EMPOWER Study</t>
  </si>
  <si>
    <t>NCT00254501</t>
  </si>
  <si>
    <t>5 Oregon employers and 2 Oregon-based health insurance carriers collaborated with the OSU/Oregon Health and Science University College of Pharmacy (CoP).</t>
  </si>
  <si>
    <t>Fischer 2012</t>
  </si>
  <si>
    <t>Nurse-run, telephone-based outreach to improve lipids in people with diabetes</t>
  </si>
  <si>
    <t>Fischer HH, Eisert SL, Everhart RM, Durfee MJ, Moore SL, Soria S, Stell DI, Rice-Peterson CM, MacKenzie TD, Estacio RO. Nurse-run, telephone-based outreach to improve lipids in people with diabetes. Am J Manag Care. 2012; 18(2): 77-84.</t>
  </si>
  <si>
    <t>henry.fischer@dhha.org</t>
  </si>
  <si>
    <t>Fischer</t>
  </si>
  <si>
    <t>NCT00950963</t>
  </si>
  <si>
    <t>Conducted at Denver Health's Westside Family Health Center (Westside Clinic). Serves a large Latino minority population.</t>
  </si>
  <si>
    <t>Telecare provides comparable efficacy to conventional self-monitored blood glucose in patients with type 2 diabetes titrating one injection of insulin glulisine-the ELEONOR Study</t>
  </si>
  <si>
    <t>Del Prato S, Nicolucci A, Lovagnini-Scher AC, Turco S, Leotta S, Vespasiani G. Telecare provides comparable efficacy to conventional self-monitored blood glucose in patients with type 2 diabetes titrating one injection of insulin glulisine-the ELEONOR Study. Diabetes Technol Ther 2012; 14(2): 175-183.</t>
  </si>
  <si>
    <t>stefano.delprato@med.unipi.it</t>
  </si>
  <si>
    <t>Del Prato</t>
  </si>
  <si>
    <t>The ELEONOR Study</t>
  </si>
  <si>
    <t>NCT00272064</t>
  </si>
  <si>
    <t>Does not describe in detail. An Italian, multi-center, parallel-group RCT.</t>
  </si>
  <si>
    <t>Peer mentoring and financial incentives to improve glucose control in African American veterans: A randomized, controlled trial.</t>
  </si>
  <si>
    <t>Long JA, Jahnle EC, Richardson DM, Loewenstein G, Volpp KG. Peer mentoring and financial incentives to improve glucose control in African American veterans: A randomized, controlled trial. Ann Intern Med. 2012; 156(6): 416-424.</t>
  </si>
  <si>
    <t>jalong@mail.med.upenn.edu</t>
  </si>
  <si>
    <t>Long</t>
  </si>
  <si>
    <t>NCT01125956</t>
  </si>
  <si>
    <t>The Philadelphia VA Medical Center</t>
  </si>
  <si>
    <t>Multifactorial intervention in individuals with type 2 diabetes and microalbuminuria: The Microalbuminuria Education and Medication Optimisation (MEMO) Study.</t>
  </si>
  <si>
    <t xml:space="preserve">Crasto W, Jarvis J, Khunti K, Skinner TC, Gray LJ, Brela J, Troughton J, Daly H, Lawrence IG, McNally PG, Carey ME, Davies MJ. Multifactorial intervention in individuals with type 2 diabetes and microalbuminuria: The Microalbuminuria Education and Medication Optimisation (MEMO) Study. 2011; 93: 328-336. </t>
  </si>
  <si>
    <t>winston.crasto@uhl-tr.nhs.uk</t>
  </si>
  <si>
    <t>Crasto</t>
  </si>
  <si>
    <t>MEMO (The Microalbuminuria Education and Medication Optimisation study)</t>
  </si>
  <si>
    <t>ISRCTN83140074</t>
  </si>
  <si>
    <t>UK</t>
  </si>
  <si>
    <t>Primary care practices and specialist diabetes clinics in Leicestershire, UK</t>
  </si>
  <si>
    <t>Taveria 2011</t>
  </si>
  <si>
    <t>Pharmacist-led group medical appointments for the management of type 2 diabetes with comorbid depression in older adults</t>
  </si>
  <si>
    <t>Taveria TH, Dooley AG, Cohen LB, Khatana SAM, Wu W-C. Pharmacist-led group medical appointments for the management of type 2 diabetes with comorbid depression in older adults. Ann Pharmacother. 2011; 45: 1346-55.</t>
  </si>
  <si>
    <t>ttaveira@uri.edu</t>
  </si>
  <si>
    <t>Taveira</t>
  </si>
  <si>
    <t>Providence VAMC electronic medical record system and referral by primary care providers</t>
  </si>
  <si>
    <t>Effectiveness of medical nutrition treatment delivered by dietitians on glycaemic outcomes and lipid profiles of Arab, Omani patients with type 2 diabetes</t>
  </si>
  <si>
    <t>Al-Shookri A, Khor JL, Chan YM, Loke SC, Al-Maskari M.Effectiveness of medical nutrition treatment delivered by dietitians on glycaemic outcomes and lipid profiles of Arab, Omani patients with type 2 diabetes. Diabet Med. 2012; DOI: 10.1111/j.1464-5491.2011.03405.x</t>
  </si>
  <si>
    <t>mmaskari@squ.edu.om</t>
  </si>
  <si>
    <t>Al-Maskari</t>
  </si>
  <si>
    <t>Oman</t>
  </si>
  <si>
    <t>Outpatient diabetes clinic in Sultan, Qaboos University in Muscat, Oman</t>
  </si>
  <si>
    <t>Pharmacist-led shared medical appointments for multiple cardiovasuclar risk reduction in patients with type 2 diabetes</t>
  </si>
  <si>
    <t>Cohen LB, Taveira TH, Khatana SAM, Dooley AG, Pirraglia PA, Wu W-C. Pharmacist-led shared medical appointments for multiple cardiovasuclar risk reduction in patients with type 2 diabetes. Diabetes Educ. 2011; 37(6):801-812.</t>
  </si>
  <si>
    <t>lisacohen@mail.uri.edu</t>
  </si>
  <si>
    <t>Cohen</t>
  </si>
  <si>
    <t>NCT00409240</t>
  </si>
  <si>
    <t>Patients selected from VA Medical Center's electronic medical record system.</t>
  </si>
  <si>
    <t>COACH Trial: A randomized controlled trial of nurse practitioner/community health worker cardiovascular disease risk reduction in urban community health centres</t>
  </si>
  <si>
    <t>Allen JK, Himmelfarb CRD, Szanton SL, Bone L, Hill MN, Levine DM, West M, Barlow A, Lewis-Boyer L, Donnelly-Strozzo M, Curtis C, Anderson K. COACH Trial: a randomized controlled trial of nurse practitioner/community health worker cardiovascular disease risk reduction in urban community health centres. Circ Cardiovasc Qual Outcomes. 2011; 4(6): 595-602.</t>
  </si>
  <si>
    <t>jallen@son.jhmi.edu</t>
  </si>
  <si>
    <t>Allen</t>
  </si>
  <si>
    <t>COACH Trial (Community Outreach and Cardiovascular Health)</t>
  </si>
  <si>
    <t>NCT00241904</t>
  </si>
  <si>
    <t>Recruited from two community health centres (part of Baltimore Medical Systems Incorporated- BMS, a federally-qualified community health centre)</t>
  </si>
  <si>
    <t>Neto 2011*</t>
  </si>
  <si>
    <t>Effect of a 36-month pharmaceutical care program on coronary heart disease risk in elderly diabetic and hypertensive patients.</t>
  </si>
  <si>
    <t>Neto PRO, Marusic S, de Lyra Junior, DP, Pilger D, Cruciol-Souza JM, Gaeti WP, Cuman KN. Effect of a 36-month pharmaceutical care program on coronary heart disease risk in elderly diabetic and hypertensive patients. J Pharm Pharmaceut Sci. 2011; 14(2): 249-263.</t>
  </si>
  <si>
    <t>paulorobreli@yahoo.com.br</t>
  </si>
  <si>
    <t>Neto</t>
  </si>
  <si>
    <t>Brazil</t>
  </si>
  <si>
    <t>Primary Health Care Unit of the Brazilian public health system, Salto Grande, Sao Paulo State</t>
  </si>
  <si>
    <t>Comprehensive diabetes management program for poorly controlled Hispanic type 2 patients at a community health center</t>
  </si>
  <si>
    <t>Welch G, Allen NA, Zagarins SE, Stamp KD, Bursell S-E, Kedziora RJ. Comprehensive diabetes management program for poorly controlled Hispanic type 2 patients at a community health center. Diabetes Educ. 2011; 37(5): 680-687.</t>
  </si>
  <si>
    <t>garry.welch@baystatehealth.org</t>
  </si>
  <si>
    <t>Welch</t>
  </si>
  <si>
    <t>Comprehensive Diabetes Management Program (CDMP)</t>
  </si>
  <si>
    <t>An urban community healthcare center (CHC) in Springfield, Massachusetts. Underserved/Poor population.</t>
  </si>
  <si>
    <t>Effect of nurse case management compared with usual care on controlling cardiovascular risk factors in patients with diabetes</t>
  </si>
  <si>
    <t>Ishani A, Greer N, Taylor BC, Kubes L, Cole P, Atwood M, Clothier B, Ercan-Fang N. Effect of nurse case mangement compared with usual care on controlling cardiovascular risk factors in patients with diabetes. Diabetes Care. 2011; 34:1689-1694.</t>
  </si>
  <si>
    <t>isha0012@umn.edu</t>
  </si>
  <si>
    <t>Ishani</t>
  </si>
  <si>
    <t>NCT00569556</t>
  </si>
  <si>
    <t>Minneapolis VA Health Care System (MVAHCS) in Minneapolis, MN.</t>
  </si>
  <si>
    <t>Effect of internet therapeutic intervention on A1c levels in patients with type 2 diabetes treated with insulin.</t>
  </si>
  <si>
    <t>Tildesley HD, Mazanderani AB, Ross SA. Effect of internet therapeutic intervention on A1c levels in patients with type 2 diabetes treated with insulin. Diabetes Care. 2010; 33(8): 1738-1740.</t>
  </si>
  <si>
    <t>hught@istar.ca</t>
  </si>
  <si>
    <t>Tildesley</t>
  </si>
  <si>
    <t>NCT00814190</t>
  </si>
  <si>
    <t>Telehealth improves diabetes self-management in an underserved community</t>
  </si>
  <si>
    <t>Davis RM, Hitch AD, Salaam MM, Herkman WH, Zimmer-Galler IE, Mayer-Davis EJ. Telehealth improves diabetes self-management in an underserved community. Diabetes Care. 2010; 33(8): 1712-1716.</t>
  </si>
  <si>
    <t>richard_davis@med.unc.edu</t>
  </si>
  <si>
    <t>Davis</t>
  </si>
  <si>
    <t>NCT00288132</t>
  </si>
  <si>
    <t>Three community health centres in northeast South Carolina (a part of FQHCs, which must serve an underserved area/population).</t>
  </si>
  <si>
    <t>Vadstrup 2011*</t>
  </si>
  <si>
    <t>Effect of a group-based rehabilitation programme on glycaemic control and cardiovascular risk factors in type 2 diabetes patients: The Copenhagen Type 2 Diabetes Rehabilitation Project.</t>
  </si>
  <si>
    <t>Vadstrup ES, Frølich A, Perrild H, Borg E, Røder M. Effect of a group-based rehabilitation programme on glycaemic control and cardiovascular risk factors in type 2 diabetes patients: The Copenhagen Type 2 Diabetes Rehabilitation Project. Patient Educ Couns. 2011; 84: 185-190.</t>
  </si>
  <si>
    <t>eva.vadstrup@gmail.com</t>
  </si>
  <si>
    <t>Vadstrup</t>
  </si>
  <si>
    <t>The Copenhagen Type 2 Diabetes Rehabilitation Project</t>
  </si>
  <si>
    <t>NCT00284609</t>
  </si>
  <si>
    <t>Outpatient clinic and general practitioners</t>
  </si>
  <si>
    <t>Increasing physical activity in Belgian Type 2 diabetes patients: a three arm randomized controlled trial</t>
  </si>
  <si>
    <t>De Greef K, Deforche B, Tudor-Locke C, De Bourdeaudhuij I. Increasing physical activity in Belgian Type 2 diabetes patients: a three arm randomized controlled trial. Int J Behav Med. 2011; 18: 188-198.</t>
  </si>
  <si>
    <t>Ilse.DeBourdeaudhuij@UGent.be</t>
  </si>
  <si>
    <t>De Bourdeaudhuij</t>
  </si>
  <si>
    <t>NCT00903500</t>
  </si>
  <si>
    <t>Three Belgian general practices</t>
  </si>
  <si>
    <t>Effectiveness of home telehealth in comorbid diabetes and hypertension: a randomized, controlled trial.</t>
  </si>
  <si>
    <t>Wakefield BJ, Holman JE, Ray A, Scheruel M, Adams MR, Hillis SL, Rosenthal GE. Effectiveness of home telehealth in comorbid diabetes and hypertension: a randomized, controlled trial. Telemed J E Health. 2011; 17(4): 254-260.</t>
  </si>
  <si>
    <t>bonnie.wakefield@va.gov</t>
  </si>
  <si>
    <t>Wakefield</t>
  </si>
  <si>
    <t>NCT00119054</t>
  </si>
  <si>
    <t>The Iowa City VA Medical Center. Provides primary, secondary, tertiary medical, surgical, psychiatric, and neurological care to veterans residing in eastern Iowa and western Illinois.</t>
  </si>
  <si>
    <t>A randomized trial of telephone counseling plus walking for depressed diabetes patients</t>
  </si>
  <si>
    <t>Piette JD, Richardson C, Himle J, Duffy S, Torres T, Vogel M, Barber K, Valenstein M. A randomized trial of telephone counseling plus walking for depressed diabetes patients. Med Care. 2011; 49(7): 641-648.</t>
  </si>
  <si>
    <t>jpiette@umich.edu</t>
  </si>
  <si>
    <t>Piette</t>
  </si>
  <si>
    <t>NCT01106885</t>
  </si>
  <si>
    <t>A community-based non-profit healthcare system, a university healthcare system and a VA healthcare system.</t>
  </si>
  <si>
    <t>Managing the space between visits: a randomized trial of disease management for diabetes in a community health center</t>
  </si>
  <si>
    <t>Anderson DR, Christison-Lagay J, Villagra V, Liu H, Dziura J. Managing the space between visits: a randomized trial of disease management for diabetes in a community health center. J Gen Intern Med. 2010; 25(10): 1116-1122.</t>
  </si>
  <si>
    <t>daren.anderson@va.gov</t>
  </si>
  <si>
    <t>Anderson</t>
  </si>
  <si>
    <t>Managing the Space Between Visits</t>
  </si>
  <si>
    <t>Two Community Health Centers (largest Federally Qualified Health Center) in Connecticut serving largely underserved Hispanic/Latino patients</t>
  </si>
  <si>
    <t>The impact of telehome care on health status and quality of life among patients with diabetes in a primary care setting in Poland</t>
  </si>
  <si>
    <t>Bujnowska-Fedak MM, Puchala E, Steciwko A. The impact of telehome care on health status and quality of life among patients with diabetes in a primary care setting in Poland. Telemedicine and e-Health. 2011; 17(3): 153-163.</t>
  </si>
  <si>
    <t>mbujnowska@poczta.onet.pl</t>
  </si>
  <si>
    <t>Bujnowska-Fedak</t>
  </si>
  <si>
    <t>Poland</t>
  </si>
  <si>
    <t>Patients from general practices in the Lower Silesia region of Poland- Home based intervention</t>
  </si>
  <si>
    <t>Weight loss in obese patients with type 2 diabetes: effects of telemonitoring plus a diet combination- The Active Body Control (ABC) Program</t>
  </si>
  <si>
    <t>Luley C, Blaik A, Reschke K, Klose S, Westphal S. Weight loss in obese patients with type 2 diabetes: effects of telemonitoring plus a diet combination- The Active Body Control (ABC) Program. Diabetes Res Clin Pract. 2011; 91:286-292.</t>
  </si>
  <si>
    <t>sabine.westphal@med.ovgu.de</t>
  </si>
  <si>
    <t>Westphal</t>
  </si>
  <si>
    <t>The Active Body Control (ABC) Program</t>
  </si>
  <si>
    <t>Germany</t>
  </si>
  <si>
    <t>Patients recruited through advertisement in regional newspaper.</t>
  </si>
  <si>
    <t xml:space="preserve">Houweling 2011 </t>
  </si>
  <si>
    <t>Can diabetes management be safely transferred to practice nurses in a primary care setting? A randomised controlled trial</t>
  </si>
  <si>
    <t>Houweling ST, Kleefstra N, van Hateren KJJ, Groenier KH, Meyboom-de Jong B, Bilo HJG. Can diabetes management be safely transferred to practice nurses in a primary care setting? A randomised controlled trial. J Clin Nurs. 2011; 20: 1264-1272.</t>
  </si>
  <si>
    <t>k.j.j.van.hateren@isala.nl</t>
  </si>
  <si>
    <t>van Hateren</t>
  </si>
  <si>
    <t>A group practice with five GPs in north east region of The Netherlands</t>
  </si>
  <si>
    <t>Treating depression in diabetes patients: dose a nurse-administered minimal psychological intervention affect diabetes-specific quality of life and glycaemic control? A randomized controlled trial.</t>
  </si>
  <si>
    <t>Lamers F, Jonkers CCM, Bosma H, Knottnerus JA, van Eijk JTHM. Treating depression in diabetes patients: dose a nurse-administered minimal psychological intervention affect diabetes-specific quality of life and glycaemic control? A randomized controlled trial. J Adv Nurs. 2011; 67(4): 788-799.</t>
  </si>
  <si>
    <t>lamersf@mail.nih.gov</t>
  </si>
  <si>
    <t>Lamers</t>
  </si>
  <si>
    <t>Depression in Elderly with Long-Term Afflictions (DELTA)- n=208 were diabetic sub-group (results in this manuscript)</t>
  </si>
  <si>
    <t>ISRCTN92331982</t>
  </si>
  <si>
    <t>89 primary care practices in south of the Netherlands</t>
  </si>
  <si>
    <t>The Diabeo software enabling individualized insulin dose adjustments combined with telemedicine support improves HbA1c in poorly controlled type 1 diabetic patients.</t>
  </si>
  <si>
    <t>Charpentier G, Benhamou P-Y, Dardari D, Clergeot A, Franc S, Schaepelynck-Belicar P, Catargi B, Melki V, Chaillous L, Farret A, Bosson J-L, Penfornis A. The Diabeo software enabling individualized insulin dose adjustments combined with telemedicine support improves HbA1c in poorly controlled type 1 diabetic patients. Diabetes Care. 2011; 34: 533-539.</t>
  </si>
  <si>
    <t>kerbonac@free.fr</t>
  </si>
  <si>
    <t>Charpentier</t>
  </si>
  <si>
    <t>TeleDiab 1 Study</t>
  </si>
  <si>
    <t>NCT00629304</t>
  </si>
  <si>
    <t>France</t>
  </si>
  <si>
    <t>17 hospital sites in France</t>
  </si>
  <si>
    <t>Comparative effectiveness of goal setting in diabetes mellitus group clinics: randomized clinical trial</t>
  </si>
  <si>
    <t>Naik AD, Palmer N, Petersen NJ, Street RL, Rao R, Suarez-Almazor M, Haidet P. Comparative effectiveness of goal setting in diabetes mellitus group clinics: randomized clinical trial. Arch Intern Med. 2011; 171(5): 453-459.</t>
  </si>
  <si>
    <t>anaik@bcm.edu</t>
  </si>
  <si>
    <t>Naik</t>
  </si>
  <si>
    <t xml:space="preserve">Empowering Patients in Care (EPIC) </t>
  </si>
  <si>
    <t>NCT00481286</t>
  </si>
  <si>
    <t>Michael E. DeBakey Veterans Affairs Medical Center in Houston, Texas</t>
  </si>
  <si>
    <t xml:space="preserve">Welch 2011 </t>
  </si>
  <si>
    <t>Motivational interviewing delivered by diabetes educators: does it improve blood glucose control among porrly controlled type 2 diabetes patients?</t>
  </si>
  <si>
    <t>Welch G, Zagarins SE, Feinberg RG, Garb JL. Motivational interviewing deliverd by diabetes educators: does it improve blood glucose control among poorly controlled type 2 diabetes patients? Diabetes Res Clin Pract.2011; 91: 54-60.</t>
  </si>
  <si>
    <t>Garry.Welch@baystatehealth.org, Garry.Welch@bhs.org</t>
  </si>
  <si>
    <t>Large hospital medical center (diabetes clinic)</t>
  </si>
  <si>
    <t>Multicomponent, home-based resistance training for obese adults with type 2 diabetes: a randomized controlled trial. .</t>
  </si>
  <si>
    <t>Plotnikoff RC, Eves N, Jung M, Sigal RJ, Padwal R, Karunamumi N. Multicomponent, home-based resistance training for obese adults with type 2 diabetes: a randomized controlled trial. Int J Obes. 2010; 34: 1733-1741</t>
  </si>
  <si>
    <t>ron.plotnikoff@newcastle.edu.au</t>
  </si>
  <si>
    <t>Plotnikoff</t>
  </si>
  <si>
    <t>NCT00221208</t>
  </si>
  <si>
    <t>Recruited from Diabetes clinics at the University of Alberta Hospital and the local community, intervention was home-based.</t>
  </si>
  <si>
    <t>A novel approach to quality improvement in a safety-net practice: concurrent peer review visits</t>
  </si>
  <si>
    <t>Fiscella K, Volpe E, Winters P, Brown M, Idris A, Harrren T. A novel approach to quality improvement in a safety-net practice: concurrent peer review visits. J Natl Med Assoc. 2010; 102(12): 1231-1236.</t>
  </si>
  <si>
    <t>kevin_fiscella@urmc.rochester.edu</t>
  </si>
  <si>
    <t>Fiscella</t>
  </si>
  <si>
    <t>NCT00508014</t>
  </si>
  <si>
    <t>2 sites at a federally qualified health center.</t>
  </si>
  <si>
    <t>Effect of telephone follow-up on adherence to a diabetes therapeutic regimen.</t>
  </si>
  <si>
    <t>Nesari M, Zakerimoghadam M, Rajab A, Bassampour S, Faghihzadeh S. Effect of telephone follow-up on adherence to a diabetes therapeutic regimen. Jpn J Nurs Sci. 2010; 7: 121-128.</t>
  </si>
  <si>
    <t>zakerimo@sina.tums.ac.ir</t>
  </si>
  <si>
    <t>Zakerimoghadam</t>
  </si>
  <si>
    <t>Iranian Diabetes Society</t>
  </si>
  <si>
    <t>Effects on diabetes management of a health-care provider mediated, remote coaching system via a PDA-type glucometer and the internet.</t>
  </si>
  <si>
    <t>Cho J-H, Kwon H-S, Kim H-S, Oh J-A, Yoon K-H. Effects on diabetes management of a health-care provider mediated, remote coaching system via a PDA-type glucometer and the internet. J Telemed Telecare. 2011; 17: 365-370.</t>
  </si>
  <si>
    <t>yoonk@catholic.ac.kr</t>
  </si>
  <si>
    <t>Yoon</t>
  </si>
  <si>
    <t>NCT01041144</t>
  </si>
  <si>
    <t>South Korea</t>
  </si>
  <si>
    <t>Six health care posts associated with Chung-Ju City (about 150 km from Seoul).</t>
  </si>
  <si>
    <t>Effectiveness and safety of a glucose data-filtering system with automatic response software to reduce the physician workload in managing type 2 diabetes</t>
  </si>
  <si>
    <t xml:space="preserve">Cho J-H, Choi Y-H, Kim H-S, Lee J-H, Yoon K-H.Effectiveness and safety of a glucose data-filtering system with automatic response software to reduce the physician workload in managing type 2 diabetes. J Telemed Telecare. 2011; 17: 257-262. </t>
  </si>
  <si>
    <t>Korea</t>
  </si>
  <si>
    <t>Patients registered with Seoul St. Mary's Hospital</t>
  </si>
  <si>
    <t xml:space="preserve">Gutierrez 2011 </t>
  </si>
  <si>
    <t>Shared medical appointments in a residency clinic: an explanatory study among Hispanics with diabetes</t>
  </si>
  <si>
    <t>Gutierrez N, Gimpel NE, Dallo FJ, Foster BM, Ohagi EJ. Shared medical appointments in a residency clinic: an exploratory study among Hispanics with Diabetes. Am J Manag Care. 2011; 17(6): e212-e214.</t>
  </si>
  <si>
    <t>gugis@hotmail.com</t>
  </si>
  <si>
    <t>Gutierrez</t>
  </si>
  <si>
    <t>Family medicine residency clinic (for underserved  and uninsured indigent populations)</t>
  </si>
  <si>
    <t>Effect of pharmacist-led patient education on glycemic control of type 2 diabetics: a randomized controlled trial.</t>
  </si>
  <si>
    <t>Farsaei S, Sabzghabaee AM, Zargarzadeh AH, Amini M. Effect of pharmacist-led patient education on glycemic control of type 2 diabetics: a randomized controlled trial. J Res Med. 2011; 16(1): 43-49.</t>
  </si>
  <si>
    <t>farsaei@razi.tums.ac.ir</t>
  </si>
  <si>
    <t>Farsaei</t>
  </si>
  <si>
    <t>Isfahan Endrocrine and Metabolism Research Center (IEMRC) outpatient clinic</t>
  </si>
  <si>
    <t>Keogh2011</t>
  </si>
  <si>
    <t>Psychological family intervention for poorly controlled type 2 diabetes</t>
  </si>
  <si>
    <t>Keogh K, Smith SM, White P, McGilloway S, Kelly A, Gibney J, O'Dowd T. Psychological family intervention for poorly controlled type 2 diabetes. Am J Manag Care. 2011; 17(2): 105-113.</t>
  </si>
  <si>
    <t>keoghkm@tcd.ie</t>
  </si>
  <si>
    <t>Keogh</t>
  </si>
  <si>
    <t>Ireland</t>
  </si>
  <si>
    <t>A specialist diabetes clinic at a large suburban hospital</t>
  </si>
  <si>
    <t>Nurse-led cardiovascular risk factor intervention leads to improvements in cardiovascular risk targets and glycaemic control in people with type 1 diabetes when compared with routine diabetes clinic attendance.</t>
  </si>
  <si>
    <t>Wallymahmed ME, Morgan C, Gill GV, MacFarlane IA. Nurse-led cardiovascular risk factor intervention leads to improvements in cardiovascular risk targets and glycaemic control in people with type 1 diabetes when compared with routine diabetes clinic attendance. Diabet Med. 2011; 28: 373-379.</t>
  </si>
  <si>
    <t>maureen.wallymahmed@aintree.nhs.uk</t>
  </si>
  <si>
    <t>Wallymahmed</t>
  </si>
  <si>
    <t>Diabetes Centre at Aintree University Hospitals, Liverpool</t>
  </si>
  <si>
    <t>Diet or diet plus physical activity versus usual care in patients with newly diagnosed type 2 diabetes: the Early ACTID randomised controlled trial</t>
  </si>
  <si>
    <t>Andrews RC, Cooper AR, Montgomery AA, Norcross AJ, Peters TJ, Sharp DJ, Jackson N, Fitzsimons K, Bright J, Coulman K, England CY, Gorton J, McLenaghan A, Paxton E, Polet A, Thompson C, Dayan CM. Diet or diet plus physical activity versus usual care in patients with newly diagnosed type 2 diabetes: the Early ACTID randomised controlled trial. Lancet. 2011; 378: 129-139.</t>
  </si>
  <si>
    <t>rob.andrews@bristol.ac.uk</t>
  </si>
  <si>
    <t>Andrews</t>
  </si>
  <si>
    <t>Early Activity in Diabetes (Early ACTID)</t>
  </si>
  <si>
    <t>ISRCTN92162869</t>
  </si>
  <si>
    <t>Five secondary care National Health Service trusts: Tauton and Somerset NHS Foundation trust, University Hospitals Bristol NHS Foundation trust, North Bristol NHS Trust, Gloucestershire Hospitals NHS Trust, and Weston Area Health NHS Trust</t>
  </si>
  <si>
    <t xml:space="preserve">Franciosi 2011 </t>
  </si>
  <si>
    <t>ROSES: role of self-monitoring of blood glucose and intensive education in patients with Type 2 diabetes not receiving insulin. A pilot randomized clinical trial</t>
  </si>
  <si>
    <t>Franciosi M, Lucisano G, Pellegrini F, Cantarello A, Consoli A, Cucco L, Ghidelli R, Sartore G, Sciangula L, Nicolucci A on behalf of the ROSES study group. ROSES: role of self-monitoring of blood glucose and intensive education in patients with Type 2 diabetes not receiving insulin. A pilot randomized clinical trial. Diabet Med. 2011; 28(7): 789-96.</t>
  </si>
  <si>
    <t>nicolucci@negrisud.it</t>
  </si>
  <si>
    <t>Nicolucci</t>
  </si>
  <si>
    <t>ROSES</t>
  </si>
  <si>
    <t>NCT01176149</t>
  </si>
  <si>
    <t>3 Diabetes clinics and home self-monitoring</t>
  </si>
  <si>
    <t>Self-monitoring of blood glucose in type 1 diabetes patients with insufficient metabolic control: focused self-monitoring of blood glucose intervention can lower glycated hemoglobin A1C</t>
  </si>
  <si>
    <t>Skeie S, Kristensen GBB, Carlsen S, Sandberg S. Self-monitoring of blood glucose in type 1 diabetes patients with insufficient metabolic control: focused self-monitoring of blood glucose intervention can lower glycated hemoglobin A1C. J Diabetes Sci Technol. 2009; 3(1): 83-88.</t>
  </si>
  <si>
    <t>sksv@sus.no</t>
  </si>
  <si>
    <t>Skeie</t>
  </si>
  <si>
    <t>NCT00284232</t>
  </si>
  <si>
    <t>Norway</t>
  </si>
  <si>
    <t>Diabetes outpatient clinic (Stavanger University Hospital, Stavanger, Norway)</t>
  </si>
  <si>
    <t>Shared electronic vascular risk decision support in primary care.</t>
  </si>
  <si>
    <t>Holbrook A, Pullenayegum E, Thabane L, Troyan S, Foster G, Keshavjee K, Chan D, Dolovich L, Gerstein H, Demers C, Curnew G. Shared electronic vascular risk decision support in primary care. Arch Intern Med. 2011; 171(19): 1736-1744.</t>
  </si>
  <si>
    <t>holbrook@mcmaster.ca</t>
  </si>
  <si>
    <t>Holbrook</t>
  </si>
  <si>
    <t>COMPETE III (Computerization of Medical Practices for the Enhancement of Therapeutic Effectiveness)</t>
  </si>
  <si>
    <t>NCT00132145</t>
  </si>
  <si>
    <t>Community-based primary care practices using an EMR system certified by province (Ontario).</t>
  </si>
  <si>
    <t>Impact of pharmaceutical care on quality of life in patients with type 2 diabetes mellitus.</t>
  </si>
  <si>
    <t>Sriram S, Chack LE, Ramasamy R, Ghasemi A, Ravi TK, Sabzghabaee AM. Impact of pharmaceutical care on quality of life in patients with type 2 diabetes mellitus. J Res Med Sci. 2011; 16(Suppl1): S412-S418.</t>
  </si>
  <si>
    <t>sabzghaba@pharm.mui.ac.ir</t>
  </si>
  <si>
    <t>Sabzghabaee</t>
  </si>
  <si>
    <t>South India</t>
  </si>
  <si>
    <t>General medicine department of a multi specialty tertiary care teaching hospital located at Coimbatore, South of India</t>
  </si>
  <si>
    <t xml:space="preserve">Williams 2012 </t>
  </si>
  <si>
    <t>A Multifactorial intervention to improve blood pressure control in co-existing diabetes and kidney disease: a feasibility randomized controlled trial</t>
  </si>
  <si>
    <t>Williams A, Manias E, Walker R, Gorelik A. A multifactorial intervention to improve blood pressure control in co-existing diabetes and kidney disease: a feasibility randomized controlled trial. J Adv Nurs. 2012; 68(11): 2515-25.</t>
  </si>
  <si>
    <t>allison.williams@monash.edu</t>
  </si>
  <si>
    <t>Williams</t>
  </si>
  <si>
    <t>Medication Self-Management Intervention (MESMI)</t>
  </si>
  <si>
    <t>ACTRN12607000044426</t>
  </si>
  <si>
    <t>Diabetes, renal, and diabetes &amp; nephrology outpatient clinics at public tertiary metropolitan hospital in Melbourne and regional Victoria.</t>
  </si>
  <si>
    <t>Thankappan 2013</t>
  </si>
  <si>
    <t>Smoking cessation among diabetes patients: results of a pilot randomized controlled trial in Kerala, India.</t>
  </si>
  <si>
    <t>Thankappan KR, Mini GK, Daivadanam M, Vijayakumar G, Sarma PS, Nichter M. Smoking cessation among diabetes patients: results of a pilot randomized controlled trial in Kerala, India. BMC Public Health. 2013; 13:47.</t>
  </si>
  <si>
    <t>kavumpurathu@yahoo.com</t>
  </si>
  <si>
    <t>Thankappan</t>
  </si>
  <si>
    <t>CTRI/2012/01/002327</t>
  </si>
  <si>
    <t>India</t>
  </si>
  <si>
    <t>Two referral diabetes clinic located in peri-urban areas of two south Indian cities in Kerala state</t>
  </si>
  <si>
    <t>A randomized comparison of online- and telephone- based care management with internet training alone in adult patients with poorly controlled type 2 diabetes</t>
  </si>
  <si>
    <t>McMahon GT, Fonda SJ, Gomes HE, Alexis G, Conlin PR. A randomized comparison of online- and telephone- based care management with internet training alone in adult patients with poorly controlled type 2 diabetes. Diabetes Technol Ther. 2012; 14(11): 1060-1067.</t>
  </si>
  <si>
    <t>gmcmahon@partners.org</t>
  </si>
  <si>
    <t>McMahon</t>
  </si>
  <si>
    <t>NCT00105898</t>
  </si>
  <si>
    <t>Departemnt of Veterans Affairs (VA) Boston Healthcare System. Four hospital based clinics or 10 community-based outpatient clinics.</t>
  </si>
  <si>
    <t>Impact of community pharamacy diabetes monitoring and education programme on diabetes management: a randomized controlled study.</t>
  </si>
  <si>
    <t>Ali M, Schifano F, Robinson P, Phillips G, Doherty L, Melnick P, Laming L, Sinclair A, Dhillon S. Impact of community pharmacy diabetes monitoring and education programme on diabetes management: a randomized controlled study. Diabet Med. 2012; 29(9): e326-33.</t>
  </si>
  <si>
    <t>m.8.ali@herts.ac.uk</t>
  </si>
  <si>
    <t>Ali</t>
  </si>
  <si>
    <t>Two community pharamacies in Hertfordshire, UK</t>
  </si>
  <si>
    <t>Pharmacist assiated medication program enhancing the regulation of diabetes (PAPMERED) study.</t>
  </si>
  <si>
    <t>Jacobs M, Sherry PS, Taylor LM, Amato M, Tataronis GR, Cushing G. Pharmacist assiated medication program enhancing the regulation of diabetes (PAPMERED) study. J Am Pharm Assoc. 2012; 52(5): 613-621.</t>
  </si>
  <si>
    <t>m.jacobs@neu.edu</t>
  </si>
  <si>
    <t>Jacobs</t>
  </si>
  <si>
    <t>Pharmacist Assisted Medication Program Enhancing the Regulation of Diabetes (PAMPERED)</t>
  </si>
  <si>
    <t>NCT00541606</t>
  </si>
  <si>
    <t>Lahey Clinic in Burlington, MA</t>
  </si>
  <si>
    <t>Mexican American Trial of Community Health Workers: A randomized controlled trial of a community health worker intervention for Mexican Americans with type 2 diabetes mellitus</t>
  </si>
  <si>
    <t>Rothschild SK, Martin MA, Swider SM, Tumialan Lynas CM, Janssen I, Avery EF, Powell LH. Mexican American Trial of Community Health Workers: A randomized controlled trial of a community health worker intervention for Mexican Americans with type 2 diabetes mellitus. Am J Public Health. 2014; 104(8): 1540-1548.</t>
  </si>
  <si>
    <t>steven_k_rothschild@rush.edu</t>
  </si>
  <si>
    <t>Rothschild</t>
  </si>
  <si>
    <t>Mexican American Trial of Community Health Workers (MATCH)</t>
  </si>
  <si>
    <t>NCT01067092</t>
  </si>
  <si>
    <t>Home visits. Recruited from mailings, outreach, churches, primary care clinics, etc.</t>
  </si>
  <si>
    <t>Effects of telephone-based peer support in patients with type 2 diabetes mellitus receiving integrated care. A randomized clinical trial.</t>
  </si>
  <si>
    <t>Chan JCN, Sui Y, Oldenburg B, Zhang Y, Chung HHY, Goggins W, Au S, Brown N, Ozaki R, Wong RYM, Ko CTC, Fisher E. Effects of telephone-based peer support in patients with type 2 diabetes mellitus receiving integrated care. A randomized clinical trial. JAMA Intern Med. 2014; 174(6): 972-981.</t>
  </si>
  <si>
    <t>jchan@cuhk.edu.hk</t>
  </si>
  <si>
    <t>Chan</t>
  </si>
  <si>
    <t>NCT00950716</t>
  </si>
  <si>
    <t>China</t>
  </si>
  <si>
    <t>Three publicly funded hospital-based diabetes centers.</t>
  </si>
  <si>
    <t>Health promotion for patients with diabetes: health coaching or formal health education?</t>
  </si>
  <si>
    <t>Cinar AB, Schou L. Health promotion for patients with diabetes: health coaching or formal health education? Int Dent J. 2014; 64: 20-28.</t>
  </si>
  <si>
    <t>aci@sund.ku.dk</t>
  </si>
  <si>
    <t>Cinar</t>
  </si>
  <si>
    <t>Outpatient clinics of two hopsitals in Istanbul, Turkey</t>
  </si>
  <si>
    <t>A pharmacist care program: positive impact on cardiac risk in patients with type 2 diabetes.</t>
  </si>
  <si>
    <t>Chan C-W, Siu S-C, Wong CKW, Lee VWY. A pharmacist care program: positive impact on cardiac risk in patients with type 2 diabetes. J Cardiovasc Pharmacol Ther. 2012; 17(1): 57-64.</t>
  </si>
  <si>
    <t>vivianlee@cuhk.edu.hk</t>
  </si>
  <si>
    <t>Lee</t>
  </si>
  <si>
    <t>Hong Kong</t>
  </si>
  <si>
    <t>Diabetes clinic of Tung Wah Eastern Hospital, Hong Kong (public convalescent hospital)</t>
  </si>
  <si>
    <t>Randomized controlled trial of clinical pharmacy management of patients with type 2 diabetes in an outpatient diabetes clinic in Jordan</t>
  </si>
  <si>
    <t>Jarab AS, Alqudah SG, Mukattash TL, Shattat G, Al-Qirim T. Randomized controlled trial of clinical pharmacy management of patients with type 2 diabetes in an outpatient diabetes clinic in Jordan.   J Manage Care Pharm. 2012;18(7):516-26.</t>
  </si>
  <si>
    <t>anansalam10@yahoo.com</t>
  </si>
  <si>
    <t>Jarab</t>
  </si>
  <si>
    <t>Jordan</t>
  </si>
  <si>
    <t>An outpatient diabetes clinic at the Royal Medical Services (RMS) hospital in Jordan.</t>
  </si>
  <si>
    <t>Diabetes self-management smartphone application for adults with type 1 diabetes: randomized controlled trial</t>
  </si>
  <si>
    <t>Kirwan M, Vandelanotte C, Fenning A, Ducan MJ. Diabetes self-management smartphone application for adults with type 1 diabetes: randomized controlled trial. Med Interent Res. 2013; 15(11): e235.</t>
  </si>
  <si>
    <t>m.kirwan@uws.edu.au</t>
  </si>
  <si>
    <t>Kirwan</t>
  </si>
  <si>
    <t>ACTRN12612000132842</t>
  </si>
  <si>
    <t>Patients registered with Diabetes Australia in New South Wales, Queensland, as well as advertisements in a type 1 diabetes national newsletter.</t>
  </si>
  <si>
    <t>Effectiveness of a supportive telephone counseling intervention in type 2 diabetes patients: randomized controlled study</t>
  </si>
  <si>
    <t>Mons U, Raum E, Kramer HU, Ruter G, Rothenbacher D, Rosemann T, Szecsenyi J, Brenner H. Effectiveness of a supportive telephone counseling intervention in type 2 diabetes patients: randomized controlled study. PLOS One. 2013; 8(10): e77954.</t>
  </si>
  <si>
    <t>u.mons@dkfz.de</t>
  </si>
  <si>
    <t>Mons</t>
  </si>
  <si>
    <t>NCT00742547</t>
  </si>
  <si>
    <t>General practices located in the area of Ludwigsburg/Heibronn (SW Germany)</t>
  </si>
  <si>
    <t>Who can provide diabetes self-management support in primary care? Findings from a randomized controlled trial</t>
  </si>
  <si>
    <t>Siminerio L, Ruppert KM, Gabbay RA. Who can provide diabetes self-management support in primary care? Findings from a randomized controlled trial. Diabetes Educ. 2013; 39(5): 705-713.</t>
  </si>
  <si>
    <t>simineriol@upmc.edu</t>
  </si>
  <si>
    <t>Siminerio</t>
  </si>
  <si>
    <t>Program Reinforcement Impacts Self-Management (PRISM)</t>
  </si>
  <si>
    <t>NCT01343056</t>
  </si>
  <si>
    <t>Primary care practices affiliated with health care networks located in 3 Pennsylvania communities, University of Pittsburgh Medical Center Community Medicine, Federally Qualified Health Centers, and Pennsylvania State Univeristy Hershey.</t>
  </si>
  <si>
    <t>Continuous glucose monitoring pilot in low-income type 1 diabetes patients</t>
  </si>
  <si>
    <t>Sequeira PA, Montoya L, Ruelas V, Xing D, Chen V, Beck R, Peters AL. Continuous glucose monitoring pilot in low-income type 1 diabetes patients. Diabetes Technol Ther. 2013; 15(10): 855-857.</t>
  </si>
  <si>
    <t>psequeir@usc.edu</t>
  </si>
  <si>
    <t>Sequeira</t>
  </si>
  <si>
    <t>Endocrine Fellows Diabetes Clinic at the Roybal Comprehensive Health Center in East Los Angeles.</t>
  </si>
  <si>
    <t>Empowered diabetes management: Life coaching and pharmacist counseling for employed adults with diabetes</t>
  </si>
  <si>
    <t>Nishita C, Cardazone G, Uehara DL, Tom T. Empowered diabetes management: Life coaching and pharmacist counseling for employed adults with diabetes. Health Educ Behav. 2012; 40(5): 581-591.</t>
  </si>
  <si>
    <t>cnishita@hawaii.edu</t>
  </si>
  <si>
    <t>Nishita</t>
  </si>
  <si>
    <t>The Hawai'i Demonstration to Maintain Independence and Employment- DMIE</t>
  </si>
  <si>
    <t>Recruitment through community means-newspaper, HR departments, health fairs, etc., intervention took place in public places.</t>
  </si>
  <si>
    <t>Six-month outcomes from Living Well with Diabetes: A randomized trial of a telephone-delivered weight loss and physical activity intervention to improve glycemic control.</t>
  </si>
  <si>
    <t>Eakin EG, Reeves MM, Winkler E, Healy GN, Dunstan DW, Owen N, Marshal AM, Wilkie KC. Six-month outcomes from Living Well with Diabetes: A randomized trial of a telephone-delivered weight loss and physical activity intervention to improve glycemic control. Ann Behav Med. 2013; 46: 193-203.</t>
  </si>
  <si>
    <t>e.eakin@sph.uq.edu.au</t>
  </si>
  <si>
    <t>Eakin</t>
  </si>
  <si>
    <t>Living Well with Diabetes (LWWD)</t>
  </si>
  <si>
    <t xml:space="preserve">ACTRN12608000203358 </t>
  </si>
  <si>
    <t>Recruited from nine general practices in city of Logan, a largely ethnically and socioeconomically diverse community in the state of Queensland.</t>
  </si>
  <si>
    <t>Active assistance technology reduces glycosylated hemoglobing and weight in individuals with type 2 diabetes: results of theory-based randomized trial</t>
  </si>
  <si>
    <t>Orsama A-L, Lahteenmaki J, Harno K, Kuljiu M, Wintergerst E, Schacher H, Stenger P, Leppanen J, Kaijanranta H, Salaspuro V, Fischer WA. Active assistance technology reduces glycosylated hemoglobing and weight in individuals with type 2 diabetes: results of theory-based randomized trial. Diabetes Technol Ther. 2013; 15(8): 662-669.</t>
  </si>
  <si>
    <t>fisher@uwo.ca</t>
  </si>
  <si>
    <t>Fisher</t>
  </si>
  <si>
    <t>Sipoo, Finland, Community Health Centre</t>
  </si>
  <si>
    <t>Impact of the "Diabetes Interactive Diary" telemedicine system on metabolic control, risk of hypoglycemia, and quality of life: a randomized clinical trial in Type 1 diabetes.</t>
  </si>
  <si>
    <t>Rossi MC, Nicolucci A, Lusciasno G, Pellegrini F, Di Bartolo P, Miselli V, Anichini R, Vespasiani G. Impact of the "Diabetes Interactive Diary" telemedicine system on metabolic control, risk of hypoglycemia, and quality of life: a randomized clinical trial in Type 1 diabetes. Diabetes Technol Ther. 2013; 15(8): 670-679.</t>
  </si>
  <si>
    <t>mrossi@negrisud.it</t>
  </si>
  <si>
    <t>Rossi</t>
  </si>
  <si>
    <t>NCT01192711</t>
  </si>
  <si>
    <t>12 Italian diabetes outpatient clinics.</t>
  </si>
  <si>
    <t>Adair R, Wholey DR, Christianson J, Whie KM, Britt H, Lee S. Improving chronic disease care by adding laypersons to the primary care team. A Parallel randomized trial. Ann Intern Med. 2013; 159:176-184.</t>
  </si>
  <si>
    <t>kimberly.radel@allina.com</t>
  </si>
  <si>
    <t>Radel</t>
  </si>
  <si>
    <t>NCT01156974</t>
  </si>
  <si>
    <t>6 primary care clinics in Minnesota.</t>
  </si>
  <si>
    <t>Diabetes Nurse Case Management and Motivational Interviewing for Change (DYNAMIC): Results of a 2-year randomized controlled pragmatic trial</t>
  </si>
  <si>
    <t>Gabbay RA, Anel-Tiangco RM, Dellasega C, Mauger DT, Adelman A, Van Horn DHA. Diabetes Nurse Case Management and Motivational Interviewing for Change (DYNAMIC): Results of a 2-year randomized controlled pragmatic trial. J Diabetes. 2013; 5(3): 349-357.</t>
  </si>
  <si>
    <t>rgabbay@hmc.psu.edu</t>
  </si>
  <si>
    <t>Gabbay</t>
  </si>
  <si>
    <t>Diabetes Nurse Case Management and Motivational Interviewing for Change (DYNAMIC)</t>
  </si>
  <si>
    <t>NCT00308386</t>
  </si>
  <si>
    <t>12 primary care clinics within two health systems in Central Pennsylvania (Penn State Milton S. Hershey Medical Center and Reading Hospital).</t>
  </si>
  <si>
    <t>Usage of glucometer is associated with improved glycaemic control in type 2 diabetes mellitus patients in Malaysian pubilc primary care clinics: an open-label randomised controlled trial.</t>
  </si>
  <si>
    <t>Ismail M, Teng C-L, Omar M, Ho BK, Kusiar Z, Hasim R. Usage of glucometer is associated with improved glycaemic control in type 2 diabetes mellitus patients in Malaysian pubilc primary care clinics: an open-label randomised controlled trial. Singapore Med J. 2013; 54(7): 391-395.</t>
  </si>
  <si>
    <t>drmi68@yahoo.com</t>
  </si>
  <si>
    <t>Ismail</t>
  </si>
  <si>
    <t>Malaysia</t>
  </si>
  <si>
    <t>5 public primary care clinics in Malaysia.</t>
  </si>
  <si>
    <t>The cholesterol, hypertension, and glucose education (CHANGE) study: results from a randomized controlled trial in African Americans with diabetes.</t>
  </si>
  <si>
    <t>Crowley MJ, Powers BJ, Olsen MK, Grubber JM, Koropchak C, Rose CM, Gentry P, Bowlby L, Trujillo G, Maciejewski ML, Bosworth HB. The cholesterol, hypertension, and glucose education (CHANGE) study: results from a randomized controlled trial in African Americans with diabetes. Am Heart J. 2013; 166:179-186.e2.</t>
  </si>
  <si>
    <t>matthew.crowley@dm.duke.edu</t>
  </si>
  <si>
    <t>Crowley</t>
  </si>
  <si>
    <t>The Cholesterol, Hypertension, and Glucose Education (CHANGE) Study</t>
  </si>
  <si>
    <t>NCT00812789</t>
  </si>
  <si>
    <t>2 clinics in Durham, NC</t>
  </si>
  <si>
    <t>Lian 2013</t>
  </si>
  <si>
    <t>Screening for diabetic retinopahty with or without copayment in a randomized controlled trial: influence of the inverse care law</t>
  </si>
  <si>
    <t>Lian JX, McGhee SM, Gangwani RA, Hedley AJ, Lam CLK, Yap MKH, Lai WW, Chu DWS, Wog DSH. Screening for diabetic retinopahty with or without copayment in a randomized controlled trial: influence of the inverse care law. Opthalmology. 2013; 120:1247-1253.</t>
  </si>
  <si>
    <t>smmcghee@hkucc.hku.hk</t>
  </si>
  <si>
    <t>McGhee</t>
  </si>
  <si>
    <t>2 public family medicine clinics operated by the Hong Kong Hopsital Authority (HA) West Cluster</t>
  </si>
  <si>
    <t xml:space="preserve">The relationship between changes in steps/day and health outcoes afer a pedometer-based physical activity intervention with telephone support in type 2 diabetes patients. </t>
  </si>
  <si>
    <t>Van Dyck D, De Greef K, Deforche B, Ruige J, Bouckaert J, Tudor-Locke CE, Kaufman J-M, De Bourdeauhuij I. The relationship between changes in steps/day and health outcoes afer a pedometer-based physical activity intervention with telephone support in type 2 diabetes patients. Health Educ Res. 2013; 28(3): 539-545.</t>
  </si>
  <si>
    <t>delfien.vandyck@ugent.be</t>
  </si>
  <si>
    <t>Van Dyck</t>
  </si>
  <si>
    <t xml:space="preserve">Belgium </t>
  </si>
  <si>
    <t>Endocrinology department of the Ghent University Hospital</t>
  </si>
  <si>
    <t>Impact of remote management of diabetes via computer: The 360 Study- A Proof-of-Concept Randomized Trial</t>
  </si>
  <si>
    <t>Leichter SB, Bowman K, Adkins RA, Jelsovsky Z. Impact of remote management of diabetes via computer: The 360 Study- A Proof-of-Concept Randomized Trial. Diabetes Technol Ther. 2013; 15(5): 434-438.</t>
  </si>
  <si>
    <t>sugardoc6@aol.com</t>
  </si>
  <si>
    <t>Leichter</t>
  </si>
  <si>
    <t>The 360 Study</t>
  </si>
  <si>
    <t>NCT00956800</t>
  </si>
  <si>
    <t>Patients being currently trated at the Center for Diabetes and Metabolism, Columbus, GA.</t>
  </si>
  <si>
    <t>Online disease management of diabetes: Engaging and Motivating Patients Online with Enhanced Resources-Diabets (EMPOWER-D), a randomized controlled trial</t>
  </si>
  <si>
    <t>Tang PC, Overhage JM, Chan AS, Brown NL, Aghighi B, Entwistle MP, Hui SL, Hyde SM, Klieman LH, Mitchell CJ, Perkins AJ, Qureshi LS, Waltimyer TA, Winters LJ, Young CY. Online disease management of diabetes: Engaging and Motivating Patients Online with Enhanced Resources-Diabets (EMPOWER-D), a randomized controlled trial. J Am Med Inform Assoc. 2013; 20: 526-534.</t>
  </si>
  <si>
    <t>tangp@pamf.org</t>
  </si>
  <si>
    <t>Tang</t>
  </si>
  <si>
    <t>Engaging and Motivating Patients Online with Enhanced Resources-Diabetes (EMPOWER-D)</t>
  </si>
  <si>
    <t>NCT00542204</t>
  </si>
  <si>
    <t>A not-for-profit health organization with 1000 multispecialty physicians.</t>
  </si>
  <si>
    <t>Primary Prevention of Macroangiopathy in patients with short-duration of type 2 diabetes by intensified multifactorial intervention</t>
  </si>
  <si>
    <t>Yang Y, Yao J-J, Du J-L, Bai R, Sun L-P, Sun G-H, Song G-R, Cao S-M, Shi, C-H, Ba Y, Xing Q, Zhang X-Y. Primary Prevention of Macroangiopathy in patients with short-duration of type 2 diabetes by intensified multifactorial intervention. Diabetes Care. 2013; 36:978-984.</t>
  </si>
  <si>
    <t>yangyu@medmail.com.cn</t>
  </si>
  <si>
    <t>Du</t>
  </si>
  <si>
    <t>ChiCTR-TRC-00000234</t>
  </si>
  <si>
    <t>Recruited from the First Afflicated Hospital of Dalian Medical University</t>
  </si>
  <si>
    <t>Stepwise self-titration of oral glucose-lowering medication using a mobile telephone-based telehealth platform in type 2 diabetes: a feasibility trial in primary care.</t>
  </si>
  <si>
    <t>Negrebetsky A, Larsen M, Craven A, Turner J, McRobert N, Murray E, Gibson O, Neil A, Tarassenko L, Farmer A. Stepwise self-titration of oral glucose-lowering medication using a mobile telephone-based telehealth platform in type 2 diabetes: a feasibility trial in primary care. J Diabetes Sci Technol. 2013; 7(1): 123-134.</t>
  </si>
  <si>
    <t>andrew.farmer@phc.ox.ac.uk</t>
  </si>
  <si>
    <t>Farmer</t>
  </si>
  <si>
    <t>Seven general practices in Oxfordshire and Buckinghamshire, UK</t>
  </si>
  <si>
    <t>Assessment of barriers to improve diabetes management in older adults.</t>
  </si>
  <si>
    <t>Munshi MN, Segal AR, Suhl E, Ryan C, Sternthal A, Giusti J, Lee Y, Fitzgerald S, Staum E, Bonsignor P, DesRochers L, McCartney R, Weinger K. Assessment of barriers to improve diabetes management in older adults. Diabetes Care. 2013; 36: 543-549.</t>
  </si>
  <si>
    <t>mmunshi@bidmc.harvard.edu</t>
  </si>
  <si>
    <t>Munshi</t>
  </si>
  <si>
    <t>NCT01480804, NCT01486290</t>
  </si>
  <si>
    <t>Recruited from the Joslin Diabetes Center and the Beth Israel Deaconess Medical Center</t>
  </si>
  <si>
    <t>The impact of electronic education on metabolic control indicators in patients with diabetes who neeed insulin: a randomised clinical control trial</t>
  </si>
  <si>
    <t>Moattari M, Hashemi M, Dabbaghmanesh MH.The impact of electronic education on metabolic control indicators in patients with diabetes who neeed insulin: a randomised clinical control trial. J Clin Nurs 2012; 22:32-38.</t>
  </si>
  <si>
    <t>moattarm@sums.ac.ir</t>
  </si>
  <si>
    <t>Moattari</t>
  </si>
  <si>
    <t>52 patients being followed at the Nader Kasemi and Moshir Fatemi Diabetes Centers in Iran.</t>
  </si>
  <si>
    <t>Evaluation of diabetes management program using selected HEDIS measures</t>
  </si>
  <si>
    <t>Planas LG, Crosby KM, Farmer KC, Harrison DL. Evaluation of diabetes management program using selected HEDIS measures. J Am Pharm Assoc 2012; 52: e130-e138.</t>
  </si>
  <si>
    <t>kimberly-crosby@ouhsc.edu</t>
  </si>
  <si>
    <t>Crosby</t>
  </si>
  <si>
    <t>Regional community pharmacy chain in Tulsa, Oklahoma</t>
  </si>
  <si>
    <t>Efficacy of structured education in patients with type 2 diabetes mellitus receivin insulin treatments</t>
  </si>
  <si>
    <t>Guo XH, Ji LN, Lu JM, Liu J, Lou QQ, Liu J, Shen L, Zhang MX, LV XF, Gu MJ.Efficacy of structured education in patients with type 2 diabetes mellitus receivin insulin treatments. J diabetes 2014; 6:290-297.</t>
  </si>
  <si>
    <t>guoxh@medmail.com.cn</t>
  </si>
  <si>
    <t>Guo</t>
  </si>
  <si>
    <t>The Organization Program of DiabEtes INsulIN ManaGement (OPENING)</t>
  </si>
  <si>
    <t>NCT01338376</t>
  </si>
  <si>
    <t>48 centers throughout China</t>
  </si>
  <si>
    <t>Comparison of community health worker-Led diabetes medication decision-making support for low-income Latino and African American adults with diabetes using e-health tools versus print materials</t>
  </si>
  <si>
    <t>Heisler M, Choi H, Palmisano G, Mase R, Richardson C, Fagerlin A, Montori VM, Spencer M, An LC. Comparison of community health worker-Led diabetes medication decision-making support for low-income Latino and African American adults with diabetes using e-health tools versus print materials. Ann Intern Med 2014; 161: S13-S22.</t>
  </si>
  <si>
    <t>NCT01427660</t>
  </si>
  <si>
    <t>Community health center in Detroit, serving Lation and African American low-income</t>
  </si>
  <si>
    <t>Financial incentives for home-based health monitoring: a randomized controlled trial</t>
  </si>
  <si>
    <t>Sen AP, Sewell TB, Riley EB, Stearman B, Bellamy SL, Hu MF, Tao Y, Zhu J, Park JD, Loewenstein G, Asch DA, Volpp KG. Financial incentives for home-based health monitoring: a randomized controlled trial. J Gen Intern Med 2014; 29(5):770-7.</t>
  </si>
  <si>
    <t>Aditisen@wharton.upenn.edu</t>
  </si>
  <si>
    <t>Sen</t>
  </si>
  <si>
    <t>NCT01282957</t>
  </si>
  <si>
    <t>Primary care medical home practice at the University of Penssylvania Health System</t>
  </si>
  <si>
    <t>A community-based pilot study of a diabetes pharmacist inervention in Latinos: impact on weight and hemoglobin A1c</t>
  </si>
  <si>
    <t>Castejon AM, Calderon JL, Perez A, Millar C, McLaughlin-Middlekauff J, Sangasubana N, Alvarez G, Arce L, Hardigan P, Rabionet SE.A community-based pilot study of a diabetes pharmacist inervention in Latinos: impact on weight and hemoglobin A1c. J Health Care Poor Underserved 2013; 24(4): 48-60.</t>
  </si>
  <si>
    <t>castejon@nova.edu</t>
  </si>
  <si>
    <t>Castejon</t>
  </si>
  <si>
    <t>Hispanic Unity of Florida, a community-based organization</t>
  </si>
  <si>
    <t>Stone 2012a* (extenstion to 8019)</t>
  </si>
  <si>
    <t>The diabetes telemonitoring study extension: an exploratory randomized comparison of alternative interventions to maintain glycemic control after withdrawal of diabetes home telemonitoring</t>
  </si>
  <si>
    <t>Stone RA, Sevick MA, Rao RH, Macpherson DS, Cheng C, Kim S, Hough LJ, DeRubertis FR. The diabetes telemonitoring study extension: an exploratory randomized comparison of alternative interventions to maintain glycemic control after withdrawal of diabetes home telemonitoring. J Am Med Inform Assoc. 2012; 19: 973-979.</t>
  </si>
  <si>
    <t>frederick.derubertis@va.gov</t>
  </si>
  <si>
    <t>DeRubertis</t>
  </si>
  <si>
    <t>DiaTel-(Extension)</t>
  </si>
  <si>
    <t>NCT00245882</t>
  </si>
  <si>
    <t>Three VA Pittsburgh Healthcare System hospitals and five affiliated community based outpatient clinics in Pennylvania and Ohio.</t>
  </si>
  <si>
    <t>Stone 2012b* (extenstion to 8019)</t>
  </si>
  <si>
    <t>n/a</t>
  </si>
  <si>
    <t>clustered-RCT</t>
  </si>
  <si>
    <t>Bhattacharyya 2010</t>
  </si>
  <si>
    <t>Controlled trial of an intervention to improve cholesterol management in diabetes patients in remote Aboriginal communities.</t>
  </si>
  <si>
    <t>Bhattacharya O, Harris S, Zwarenstein M, Barnsley J. Controlled trial of an intervention to improve cholesterol management in diabetes patients in remote Aboriginal communities. Int J Circumpolar Health. 2010; 69(4): 333-343.</t>
  </si>
  <si>
    <t>BhattacharyyaO@smh.ca</t>
  </si>
  <si>
    <t>Bhattacharyya</t>
  </si>
  <si>
    <t>clusterd-RCT</t>
  </si>
  <si>
    <t>Four communities in the Sioux Lookout Zone who were in the Diabetes Program registry.</t>
  </si>
  <si>
    <t>Saengtipbovorn 2014</t>
  </si>
  <si>
    <t>Effectiveness of lifestyle change plus dental care (LCDC) program on improving glycemic and periodontal status in the elderly with type 2 diabetes</t>
  </si>
  <si>
    <t>Saengtipbovorn S, Taneepanichuskul S. Effectiveness of lifestyle change plus dental care (LCDC) program on improving glycemic and periodontal status in the elderly with type 2 diabetes. BMC Oral Health. 2014; 14: 72.</t>
  </si>
  <si>
    <t>saruta79@gmail.com</t>
  </si>
  <si>
    <t>Saengtipbovorn</t>
  </si>
  <si>
    <t>TCTR20140602001</t>
  </si>
  <si>
    <t>Thailand</t>
  </si>
  <si>
    <t>Two health centers located in Bangkok, Thailand</t>
  </si>
  <si>
    <t>multiple linear regression</t>
  </si>
  <si>
    <t>Foy 2011</t>
  </si>
  <si>
    <t>ss35@columbia.edu</t>
  </si>
  <si>
    <t>Shea</t>
  </si>
  <si>
    <t>Simmons</t>
  </si>
  <si>
    <t>Ahring 1992</t>
    <phoneticPr fontId="0" type="noConversion"/>
  </si>
  <si>
    <t>Telephone modem access improves diabetes control in those with insulin-requiring diabetes</t>
  </si>
  <si>
    <r>
      <rPr>
        <sz val="10"/>
        <rFont val="Verdana"/>
        <family val="2"/>
      </rPr>
      <t>Ahring KK, Ahring JP, Joyce C, Farid NR.</t>
    </r>
    <r>
      <rPr>
        <sz val="10"/>
        <color indexed="8"/>
        <rFont val="Verdana"/>
        <family val="2"/>
      </rPr>
      <t xml:space="preserve"> Telephone modem access improves diabetes control in those with insulin-requiring diabetes. Diabetes Care. 1992 Aug;15(8):971-5.</t>
    </r>
  </si>
  <si>
    <t>kka@kennedy.dk</t>
  </si>
  <si>
    <t>Ahring</t>
  </si>
  <si>
    <t>Two endo clinics</t>
  </si>
  <si>
    <t>x</t>
    <phoneticPr fontId="0" type="noConversion"/>
  </si>
  <si>
    <t>Aubert 1998</t>
    <phoneticPr fontId="0" type="noConversion"/>
  </si>
  <si>
    <t>Nurse case management to improve glycemic control in diabetic patients in a health maintenance organization: A randomized, controlled trial</t>
  </si>
  <si>
    <t>Aubert RE, Herman WH, Waters J, Moore W, Sutton D, Peterson BL, Bailey CM, Koplan JP. Nurse case management to improve glycemic control in diabetic patients in a health maintenance organization: A randomized, controlled trial. Ann Intern Med. 1998 Oct 15;129(8):605-12.</t>
  </si>
  <si>
    <t>ronald_aubert@medco.com (1); ronald_aubert@medcohealth.com (2)</t>
  </si>
  <si>
    <t>Aubert</t>
  </si>
  <si>
    <t>*</t>
  </si>
  <si>
    <t>Two large clinics within Jacksonville Healthcare group, Florida</t>
  </si>
  <si>
    <t xml:space="preserve">Biermann 2002* </t>
    <phoneticPr fontId="0" type="noConversion"/>
  </si>
  <si>
    <t>Are there time and cost savings by using telemanagement for patients on intensified insulin therapy? A randomised, controlled trial</t>
  </si>
  <si>
    <t>Biermann E, Dietrich W, Rihl J, Standl E. Are there time and cost savings by using telemanagement for patients on intensified insulin therapy? A randomised, controlled trial. Comput Methods Programs Biomed. 2002 Aug;69(2):137-46.</t>
  </si>
  <si>
    <t>eberhard.biermann@lrz.uni-muenchen.de</t>
  </si>
  <si>
    <t>Biermann</t>
  </si>
  <si>
    <t>Outpatient clinic in Germany</t>
    <phoneticPr fontId="0" type="noConversion"/>
  </si>
  <si>
    <t xml:space="preserve">t-test was used for anlysis of HbA1c values; </t>
  </si>
  <si>
    <t>Billiard 1991</t>
  </si>
  <si>
    <t>Telematic transmission of computerized blood glucose profiles for IDDM patients</t>
  </si>
  <si>
    <t>Billiard A, Rohmer V, Roques MA, Joseph MG, Suraniti S, Giraud P, Limal JM, Fressinaud P, Marre M. Telematic transmission of computerized blood glucose profiles for IDDM patients. Diabetes Care. 1991 Feb;14(2):130-4.</t>
  </si>
  <si>
    <t>michel.marre@bch.aphp.fr</t>
  </si>
  <si>
    <t>Marre</t>
  </si>
  <si>
    <t>cross-over RCT</t>
  </si>
  <si>
    <t>two-way repeated analysis of variance was used; non-parametric tests were used for non-Gaussian distribution;</t>
  </si>
  <si>
    <t>Cagliero 1999</t>
    <phoneticPr fontId="0" type="noConversion"/>
  </si>
  <si>
    <t>Immediate feedback of HbA1c levels improves glycemic control in type 1 and insulin-treated type 2 diabetic patients</t>
  </si>
  <si>
    <t>Cagliero E, Levina EV, Nathan DM. Immediate feedback of HbA1c levels improves glycemic control in type 1 and insulin-treated type 2 diabetic patients. Diabetes Care. 1999 Nov;22(11):1785-9.</t>
  </si>
  <si>
    <t>ecagliero@partners.org</t>
  </si>
  <si>
    <t>Cagliero</t>
  </si>
  <si>
    <t>NA</t>
    <phoneticPr fontId="0" type="noConversion"/>
  </si>
  <si>
    <t>Diabetes center at major teaching hospital in Boston, Mass</t>
  </si>
  <si>
    <t>Clancy 2003*</t>
    <phoneticPr fontId="0" type="noConversion"/>
  </si>
  <si>
    <t>Group visits in medically and economically disadvantaged patients with type 2 diabetes and their relationships to clinical outcomes</t>
  </si>
  <si>
    <t>Clancy DE, Brown SB, Magruder KM, Huang P. Group visits in medically and economically disadvantaged patients with type 2 diabetes and their relationships to clinical outcomes. Top Health Inf Manage. 2003 Jan-Mar;24(1):8-14.</t>
  </si>
  <si>
    <t>clancyd@musc.edu</t>
  </si>
  <si>
    <t>Clancy</t>
  </si>
  <si>
    <t>Adult medical care centre at the University of South Carolina</t>
  </si>
  <si>
    <t>Clifford 2002</t>
    <phoneticPr fontId="0" type="noConversion"/>
  </si>
  <si>
    <t>A randomised controlled trial of a pharmaceutical care programme in high-risk diabetic patients in an outpatient clinic</t>
  </si>
  <si>
    <t>Clifford RM, Batty KT, Davis TM, Davis W, Stein G, Stewart G, Plumridge RJ. A randomised controlled trial of a pharmaceutical care programme in high-risk diabetic patients in an outpatient clinic. International Journal of Pharmacy Practice. 2002; 10:85–89.  </t>
  </si>
  <si>
    <t>rhonda.clifford@health.wa.gov.au</t>
  </si>
  <si>
    <t>Clifford</t>
  </si>
  <si>
    <t>Diabetes clinic in Australia</t>
  </si>
  <si>
    <t>Olivarius 2001</t>
    <phoneticPr fontId="0" type="noConversion"/>
  </si>
  <si>
    <t>Randomised controlled trial of structured personal care of type 2 diabetes mellitus</t>
  </si>
  <si>
    <t>Olivarius NF, Beck-Nielsen H, Andreasen AH, Hørder M, Pedersen PA. Randomised controlled trial of structured personal care of type 2 diabetes mellitus. BMJ. 2001 Oct 27;323(7319):970-5.</t>
  </si>
  <si>
    <t>no@gpract.ku.dk</t>
  </si>
  <si>
    <t>Olivarius</t>
  </si>
  <si>
    <t xml:space="preserve">474 doctors including 187 single handed practices and 124 group practices all over Denmark </t>
    <phoneticPr fontId="0" type="noConversion"/>
  </si>
  <si>
    <t>generalized estimating equations methods, logisitc regression analysis, generalized linear mixed model, and Cox regression model were used;</t>
  </si>
  <si>
    <t>Franz 1995</t>
    <phoneticPr fontId="0" type="noConversion"/>
  </si>
  <si>
    <t>Effectiveness of medical nutrition therapy provided by dietitians in the management of non-insulin-dependent diabetes mellitus: a randomized, controlled clinical trial</t>
  </si>
  <si>
    <t>Franz MJ, Monk A, Barry B, McClain K, Weaver T, Cooper N, Upham P, Bergenstal R, Mazze RS. Effectiveness of medical nutrition therapy provided by dietitians in the management of non-insulin-dependent diabetes mellitus: a randomized, controlled clinical trial. J Am Diet Assoc. 1995 Sep;95(9):1009-17.</t>
  </si>
  <si>
    <t>marionfranz@aol.com</t>
  </si>
  <si>
    <t>Franz</t>
  </si>
  <si>
    <t>Diabetes centers in Minnesota, Florida, and Colorado</t>
  </si>
  <si>
    <t>Frijing 2002</t>
    <phoneticPr fontId="0" type="noConversion"/>
  </si>
  <si>
    <t>Multifaceted support to improve clinical decision making in diabetes care: a randomized controlled trial in general practice</t>
  </si>
  <si>
    <t>Frijling BD, Lobo CM, Hulscher ME, Akkermans RP, Braspenning JC, Prins A, van der Wouden JC, Grol RP. Multifaceted support to improve clinical decision making in diabetes care: a randomized controlled trial in general practice. Diabet Med. 2002 Oct;19(10):836-42.</t>
  </si>
  <si>
    <t>frijling@knmg.nl</t>
  </si>
  <si>
    <t>Frijing</t>
  </si>
  <si>
    <t>multilevel logistic regression analysis was used</t>
  </si>
  <si>
    <t>Glasgow 1996</t>
    <phoneticPr fontId="0" type="noConversion"/>
  </si>
  <si>
    <t>Effects of a brief office-based intervention to facilitate diabetes dietary self-management</t>
  </si>
  <si>
    <t>Glasgow RE, Toobert DJ, Hampson SE. Effects of a brief office-based intervention to facilitate diabetes dietary self-management. Diabetes Care. 1996 Aug;19(8):835-42.</t>
  </si>
  <si>
    <t>russ@ori.org</t>
  </si>
  <si>
    <t xml:space="preserve">Diabetic patients in the two offices; one endocrinologist and one internist in Oregon USA  </t>
  </si>
  <si>
    <t>MANCOVA and ANCOVA were used for anaysis; corelational analysis was used to identify possible predicitve variable on outcomes.</t>
  </si>
  <si>
    <t>Groeneveld 2001</t>
    <phoneticPr fontId="0" type="noConversion"/>
  </si>
  <si>
    <t>An assessment of structured care assistance in the management of patients with type 2 diabetes in general practice</t>
  </si>
  <si>
    <t>Groeneveld Y, Petri H, Hermans J, Springer M. An assessment of structured care assistance in the management of patients with type 2 diabetes in general practice. Scand J Prim Health Care. 2001 Mar;19(1):25-30.</t>
  </si>
  <si>
    <t>y.groeneveld@lumc.nl</t>
  </si>
  <si>
    <t>Groeneveld</t>
  </si>
  <si>
    <t>17 GPs in 15 practices in Leiden, The Netherlands</t>
  </si>
  <si>
    <t xml:space="preserve">two-sample t-test for testing difference between groups, qi-square for difference in complications and Mann-Whitney for level of medication were used; </t>
  </si>
  <si>
    <t>Halbert 1999</t>
    <phoneticPr fontId="0" type="noConversion"/>
  </si>
  <si>
    <t>Effect of multiple patient reminders in improving diabetic retinopathy screening. A randomized trial</t>
  </si>
  <si>
    <t>Halbert RJ1, Leung KM, Nichol JM, Legorreta AP. Effect of multiple patient reminders in improving diabetic retinopathy screening. A randomized trial. Diabetes Care. 1999 May;22(5):752-5.</t>
  </si>
  <si>
    <t>alegorreta@fhs.com</t>
  </si>
  <si>
    <t>Legorreta</t>
  </si>
  <si>
    <t>large network-based health maintenance organization</t>
  </si>
  <si>
    <t>Hayes 1984</t>
    <phoneticPr fontId="0" type="noConversion"/>
  </si>
  <si>
    <t>Randomised controlled trial of routine hospital clinic care versus routine general practice care for type II diabetics</t>
  </si>
  <si>
    <t>Hayes TM, Harries J. Randomised controlled trial of routine hospital clinic care versus routine general practice care for type II diabetics. Br Med J (Clin Res Ed). 1984 Sep 22;289(6447):728-30.</t>
  </si>
  <si>
    <t>MISSING</t>
  </si>
  <si>
    <t>Hayes</t>
  </si>
  <si>
    <t>UK</t>
    <phoneticPr fontId="0" type="noConversion"/>
  </si>
  <si>
    <t>Diabetic clinics from a hospital in Wales, UK</t>
    <phoneticPr fontId="0" type="noConversion"/>
  </si>
  <si>
    <t>t-test</t>
  </si>
  <si>
    <t>Hetlevik 2000</t>
    <phoneticPr fontId="0" type="noConversion"/>
  </si>
  <si>
    <t>Evaluation of effort, process, and patient outcome related to implementation of a computer-based decision support system</t>
  </si>
  <si>
    <t>Hetlevik I, Holmen J, Krüger O, Kristensen P, Iversen H, Furuseth K. Implementing clinical guidelines in the treatment of diabetes mellitus in general practice. Evaluation of effort, process, and patient outcome related to implementation of a computer-based decision support system. Int J Technol Assess Health Care. 2000 Winter;16(1):210-27.</t>
  </si>
  <si>
    <t>irene.hetlevik@medisin.ntnu.no</t>
  </si>
  <si>
    <t>Hetlevik</t>
  </si>
  <si>
    <t>General practices in 2 Norwegian counties</t>
  </si>
  <si>
    <t>Student’s t test</t>
  </si>
  <si>
    <t>Hoskins 1993</t>
    <phoneticPr fontId="0" type="noConversion"/>
  </si>
  <si>
    <t>Sharing the care of diabetic patients between hospital and general practitioners: does it work?</t>
  </si>
  <si>
    <t>Hoskins PL, Fowler PM, Constantino M, Forrest J, Yue DK, Turtle JR. Sharing the care of diabetic patients between hospital and general practitioners: does it work? Diabet Med. 1993 Jan-Feb;10(1):81-6.</t>
  </si>
  <si>
    <t>maria.constantino@sswahs.nsw.gov.au</t>
  </si>
  <si>
    <t>Constantino</t>
  </si>
  <si>
    <t>All patients referred by GPs in the Diabetic Clinic at Royal Prince Alfred Hospital in New South Wales, Australia</t>
  </si>
  <si>
    <t>t-test, paired t-test, multiple regression, and discriminant analysis were used as appropriate;</t>
  </si>
  <si>
    <t xml:space="preserve"> Prompting the clinical care of non-insulin dependent (type II) diabetic patients in an inner city area: one model of community care</t>
  </si>
  <si>
    <t>Hurwitz B, Goodman C, Yudkin J. Prompting the clinical care of non-insulin dependent (type II) diabetic patients in an inner city area: one model of community care. BMJ. 1993 Mar 6;306(6878):624-30.</t>
  </si>
  <si>
    <t>b.hurwitz@ic.ac.uk</t>
  </si>
  <si>
    <t xml:space="preserve">two hospital outpatient clinics, 38 general practices, and 11 optometrists in the catchment area of a district general hospital in Islington, UK </t>
  </si>
  <si>
    <t>Jaber 1996</t>
    <phoneticPr fontId="0" type="noConversion"/>
  </si>
  <si>
    <t>Evaluation of a pharmaceutical care model on diabetes management</t>
  </si>
  <si>
    <t>Jaber LA, Halapy H, Fernet M, Tummalapalli S, Diwakaran H. Evaluation of a pharmaceutical care model on diabetes management. Ann Pharmacother. 1996 Mar;30(3):238-43.</t>
  </si>
  <si>
    <t>ljaber@wayne.edu</t>
  </si>
  <si>
    <t>Jaber</t>
  </si>
  <si>
    <t>A university-affiliated internal medicine outpatient clinic</t>
  </si>
  <si>
    <t>t-test and qi-square test were used for analysis of difference between the two groups</t>
  </si>
  <si>
    <t>Kiefe 2001</t>
    <phoneticPr fontId="0" type="noConversion"/>
  </si>
  <si>
    <t>Improving quality improvement using achievable benchmarks for physician feedback: a randomized controlled trial</t>
  </si>
  <si>
    <t>Kiefe CI, Allison JJ, Williams OD, Person SD, Weaver MT, Weissman NW. Improving quality improvement using achievable benchmarks for physician feedback: a randomized controlled trial. JAMA. 2001 Jun 13;285(22):2871-9.</t>
  </si>
  <si>
    <t>ckiefe@uab.edu</t>
  </si>
  <si>
    <t>Kiefe</t>
  </si>
  <si>
    <t xml:space="preserve">70 physicians (family medicine, internal medicine, endocrinology) from three states of Alabama , Iowa and Maryland participated </t>
  </si>
  <si>
    <t>paired t-test and generalized linear model have been used for anlysis the data</t>
  </si>
  <si>
    <t>Kinmonth 1998</t>
    <phoneticPr fontId="0" type="noConversion"/>
  </si>
  <si>
    <t xml:space="preserve"> Randomised controlled trial of patient centred care of diabetes in general practice: impact on current wellbeing and future disease risk. The Diabetes Care From Diagnosis Research Team</t>
  </si>
  <si>
    <t>Kinmonth AL, Woodcock A, Griffin S, Spiegal N, Campbell MJ. Randomised controlled trial of patient centred care of diabetes in general practice: impact on current wellbeing and future disease risk. The Diabetes Care From Diagnosis Research Team. BMJ. 1998 Oct 31;317(7167):1202-8.</t>
  </si>
  <si>
    <t>alk25@medschl.cam.ac.uk</t>
  </si>
  <si>
    <t>Kinmonth</t>
  </si>
  <si>
    <t>41 practices in Wessex, UK</t>
  </si>
  <si>
    <t>multiple or logistic regressions were used for analysis</t>
  </si>
  <si>
    <t>Nutrition Practice Guidelines for Type 1 Diabetes Mellitus positively affect dietitian practices and patient outcomes. The Diabetes Care and Education Dietetic Practice Group</t>
  </si>
  <si>
    <t>Kulkarni K, Castle G, Gregory R, Holmes A, Leontos C, Powers M, Snetselaar L, Splett P, Wylie-Rosett J. Nutrition Practice Guidelines for Type 1 Diabetes Mellitus positively affect dietitian practices and patient outcomes. The Diabetes Care and Education Dietetic Practice Group. J Am Diet Assoc. 1998 Jan;98(1):62-70; quiz 71-2.</t>
  </si>
  <si>
    <t>jwrosett@aecom.yu.edu</t>
  </si>
  <si>
    <t>Wylie-Rosett</t>
  </si>
  <si>
    <t>USA</t>
    <phoneticPr fontId="0" type="noConversion"/>
  </si>
  <si>
    <t>Dieticians across the USA</t>
    <phoneticPr fontId="0" type="noConversion"/>
  </si>
  <si>
    <t>t-test, chi-squared, ANOVA</t>
  </si>
  <si>
    <t>Larsen 1990</t>
    <phoneticPr fontId="0" type="noConversion"/>
  </si>
  <si>
    <t>Effect of long-term monitoring of glycosylated hemoglobin levels in insulin-dependent diabetes mellitus</t>
  </si>
  <si>
    <t>Larsen ML, Hørder M, Mogensen EF. Effect of long-term monitoring of glycosylated hemoglobin levels in insulin-dependent diabetes mellitus. N Engl J Med. 1990 Oct 11;323(15):1021-5.</t>
  </si>
  <si>
    <t>Larsen</t>
  </si>
  <si>
    <t>diabetic clinic in Odense University Hospital, Denmark</t>
  </si>
  <si>
    <t>Mann-Whitney and t-test were used for analysis</t>
  </si>
  <si>
    <t>Levetan 2002</t>
    <phoneticPr fontId="0" type="noConversion"/>
  </si>
  <si>
    <t>Impact of computer-generated personalized goals on HbA(1c)</t>
  </si>
  <si>
    <t>Levetan CS, Dawn KR, Robbins DC, Ratner RE. Impact of computer-generated personalized goals on HbA(1c). Diabetes Care. 2002 Jan;25(1):2-8.</t>
  </si>
  <si>
    <t>levetan@juno.com</t>
  </si>
  <si>
    <t>Levetan</t>
  </si>
  <si>
    <t>Medstar Clinical Research Center,  Washington DC, USA</t>
  </si>
  <si>
    <t>t-test, non-parametric test and analysis of variance were used for analysis</t>
  </si>
  <si>
    <t>Mazzuca 1986</t>
    <phoneticPr fontId="0" type="noConversion"/>
  </si>
  <si>
    <t>The diabetes education study: a controlled trial of the effects of diabetes patient education</t>
  </si>
  <si>
    <t>Mazzuca SA, Moorman NH, Wheeler ML, Norton JA, Fineberg NS, Vinicor F, Cohen SJ, Clark CM Jr. The diabetes education study: a controlled trial of the effects of diabetes patient education. Diabetes Care. 1986 Jan-Feb;9(1):1-10.</t>
  </si>
  <si>
    <t>smazzuca@iupui.edu</t>
  </si>
  <si>
    <t>Mazzuca</t>
  </si>
  <si>
    <t>Diabetic Research and Training Center at the Indiana University School of Medicine</t>
    <phoneticPr fontId="0" type="noConversion"/>
  </si>
  <si>
    <t>ANCOVA and one-way analysis of variance were used for analysis</t>
  </si>
  <si>
    <t>McDermott 2001</t>
    <phoneticPr fontId="0" type="noConversion"/>
  </si>
  <si>
    <t>Improving diabetes care in the primary healthcare setting: a randomised cluster trial in remote Indigenous communities</t>
  </si>
  <si>
    <t>McDermott RA, Schmidt BA, Sinha A, Mills P. Improving diabetes care in the primary healthcare setting: a randomised cluster trial in remote Indigenous communities. Med J Aust. 2001 May 21;174(10):497-502.</t>
  </si>
  <si>
    <t>Robyn_McDermott@health.qld.gov.au</t>
  </si>
  <si>
    <t>McDermott</t>
  </si>
  <si>
    <t>21 primary health care in Torres Strait and Northern Peninsula Area in Qeensland Australia</t>
  </si>
  <si>
    <t>qi-square and relative risk analysis were used</t>
  </si>
  <si>
    <t>Meigs 2003</t>
    <phoneticPr fontId="0" type="noConversion"/>
  </si>
  <si>
    <t>A controlled trial of web-based diabetes disease management: the MGH diabetes primary care improvement project</t>
  </si>
  <si>
    <t>Meigs JB, Cagliero E, Dubey A, Murphy-Sheehy P, Gildesgame C, Chueh H, Barry MJ, Singer DE, Nathan DM. A controlled trial of web-based diabetes disease management: the MGH diabetes primary care improvement project. Diabetes Care. 2003 Mar;26(3):750-7.</t>
  </si>
  <si>
    <t>jmeigs@partners.org</t>
  </si>
  <si>
    <t>Meigs</t>
  </si>
  <si>
    <t xml:space="preserve">39 staff MD and 104 resident MD in the Adult Medicine Clinic in Harvard Medical School in Boston Massachusetts USA </t>
  </si>
  <si>
    <t>Piette 2000</t>
    <phoneticPr fontId="0" type="noConversion"/>
  </si>
  <si>
    <t>Do automated calls with nurse follow-up improve self-care and glycemic control among vulnerable patients with diabetes?</t>
  </si>
  <si>
    <t>Piette JD, Weinberger M, McPhee SJ, Mah CA, Kraemer FB, Crapo LM. Do automated calls with nurse follow-up improve self-care and glycemic control among vulnerable patients with diabetes? Am J Med. 2000 Jan;108(1):20-7.</t>
  </si>
  <si>
    <t>jpiette@stanford.edu</t>
  </si>
  <si>
    <t>2 general medicine clinics of a county health care system</t>
  </si>
  <si>
    <t>Piette 2001</t>
    <phoneticPr fontId="0" type="noConversion"/>
  </si>
  <si>
    <t>Impact of automated calls with nurse follow-up on diabetes treatment outcomes in a Department of Veterans Affairs Health Care System: a randomized controlled trial</t>
  </si>
  <si>
    <t>Piette JD, Weinberger M, Kraemer FB, McPhee SJ. Impact of automated calls with nurse follow-up on diabetes treatment outcomes in a Department of Veterans Affairs Health Care System: a randomized controlled trial. Diabetes Care. 2001 Feb;24(2):202-8.</t>
  </si>
  <si>
    <t>4 university-affiliated Veterans Affairs clinics in northern California</t>
  </si>
  <si>
    <t>Pouwer 2001</t>
    <phoneticPr fontId="0" type="noConversion"/>
  </si>
  <si>
    <t>Monitoring of psychological well-being in outpatients with diabetes: effects on mood, HbA(1c), and the patient's evaluation of the quality of diabetes care: a randomized controlled trial</t>
  </si>
  <si>
    <t>Pouwer F, Snoek FJ, van der Ploeg HM, Adèr HJ, Heine RJ. Monitoring of psychological well-being in outpatients with diabetes: effects on mood, HbA(1c), and the patient's evaluation of the quality of diabetes care: a randomized controlled trial. Diabetes Care. 2001 Nov;24(11):1929-35.</t>
  </si>
  <si>
    <t>f.pouwer.engo@med.vu.nl</t>
  </si>
  <si>
    <t>Pouwer</t>
  </si>
  <si>
    <t>Netherlands</t>
  </si>
  <si>
    <t>Diabetes clinic at university medical center in the Netherlands</t>
  </si>
  <si>
    <t>Clinical application of two computerized diabetes management systems: comparison with the log-book method</t>
  </si>
  <si>
    <t>Ryff-de Lèche A, Engler H, Nützi E, Berger M, Berger W. Clinical application of two computerized diabetes management systems: comparison with the log-book method. Diabetes Res. 1992 Mar;19(3):97-105.</t>
  </si>
  <si>
    <t>Berger</t>
  </si>
  <si>
    <t>21-60</t>
  </si>
  <si>
    <t>outpatient clinic at University Hospital of Basel, Switzerland</t>
    <phoneticPr fontId="0" type="noConversion"/>
  </si>
  <si>
    <t>Sadur 1999</t>
    <phoneticPr fontId="0" type="noConversion"/>
  </si>
  <si>
    <t>Diabetes management in a health maintenance organization. Efficacy of care management using cluster visits</t>
  </si>
  <si>
    <t>Sadur CN, Moline N, Costa M, Michalik D, Mendlowitz D, Roller S, Watson R, Swain BE, Selby JV, Javorski WC. Diabetes management in a health maintenance organization. Efficacy of care management using cluster visits. Diabetes Care. 1999 Dec;22(12):2011-7.</t>
  </si>
  <si>
    <t>Sadur</t>
  </si>
  <si>
    <t>primary care clinics from HMO in california</t>
  </si>
  <si>
    <t>Thompson 1999</t>
    <phoneticPr fontId="0" type="noConversion"/>
  </si>
  <si>
    <t>Insulin adjustment by a diabetes nurse educator improves glucose control in insulin-requiring diabetic patients: a randomized trial</t>
  </si>
  <si>
    <t>Thompson DM, Kozak SE, Sheps S. Insulin adjustment by a diabetes nurse educator improves glucose control in insulin-requiring diabetic patients: a randomized trial. CMAJ. 1999 Oct 19;161(8):959-62.</t>
  </si>
  <si>
    <t>david.thompson@vch.ca</t>
  </si>
  <si>
    <t>Thompson</t>
  </si>
  <si>
    <t>diabetes hospital clinic</t>
    <phoneticPr fontId="0" type="noConversion"/>
  </si>
  <si>
    <t>Wagner 2001</t>
    <phoneticPr fontId="0" type="noConversion"/>
  </si>
  <si>
    <t>Chronic care clinics for diabetes in primary care: a system-wide randomized trial</t>
  </si>
  <si>
    <t>Wagner EH1, Grothaus LC, Sandhu N, Galvin MS, McGregor M, Artz K, Coleman EA. Chronic care clinics for diabetes in primary care: a system-wide randomized trial. Diabetes Care. 2001 Apr;24(4):695-700.</t>
  </si>
  <si>
    <t>wagner.e@ghc.org</t>
  </si>
  <si>
    <t>Wagner</t>
  </si>
  <si>
    <t>primary care clinics in the Group Health Cooperative of Puget Sound in western Washington</t>
  </si>
  <si>
    <t>mixed model analysis of variance or mixed model regression analysis</t>
  </si>
  <si>
    <t>Ward 1996</t>
    <phoneticPr fontId="0" type="noConversion"/>
  </si>
  <si>
    <t>Educational feedback in the management of type 2 diabetes in general practice</t>
  </si>
  <si>
    <t>Ward A, Kamien M, Mansfield F, Fatovich B. Educational feedback in the management of type 2 diabetes in general practice ward. Education for General Practice. 1996 Dec;7:142-50.</t>
  </si>
  <si>
    <t>alison.ward@phc.ox.ac.uk</t>
  </si>
  <si>
    <t>Ward</t>
  </si>
  <si>
    <t>Western Australia metropolitan general practices</t>
  </si>
  <si>
    <t>ANOVA, pairwise t-tests</t>
  </si>
  <si>
    <t>Weinberger 1995</t>
    <phoneticPr fontId="0" type="noConversion"/>
  </si>
  <si>
    <t>A nurse-coordinated intervention for primary care patients with non-insulin-dependent diabetes mellitus: impact on glycemic control and health-related quality of life</t>
  </si>
  <si>
    <t>Weinberger M, Kirkman MS, Samsa GP, Shortliffe EA, Landsman PB, Cowper PA, Simel DL, Feussner JR. A nurse-coordinated intervention for primary care patients with non-insulin-dependent diabetes mellitus: impact on glycemic control and health-related quality of life.</t>
  </si>
  <si>
    <t>mweinber@email.unc.edu</t>
  </si>
  <si>
    <t>Weinberger</t>
  </si>
  <si>
    <t>general medical clinic at the Department of Veterans Affairs Medical Centre in Durham, North Carolina</t>
  </si>
  <si>
    <t>Preliminary Results of a Disease Management Program for Diabetes</t>
  </si>
  <si>
    <t>Ginsberg BH. Preliminary results of a disease management program for diabetes. COM. 1996 Aug; 3(4):45-51.</t>
  </si>
  <si>
    <t>Diabetes_consultants@yahoo.com</t>
  </si>
  <si>
    <t>Ginsberg</t>
  </si>
  <si>
    <t>family practice clinic at a major university</t>
  </si>
  <si>
    <t>Shea, 2009*</t>
    <phoneticPr fontId="0" type="noConversion"/>
  </si>
  <si>
    <t>A randomized trial comparing telemedicine case management with usual care in older, ethnically diverse, medically underserved patients with diabetes mellitus: 5 year results of the IDEATel study</t>
  </si>
  <si>
    <t>Shea S, Weinstock RS, Teresi JA, Palmas W, Starren J, Cimino JJ, Lai AM, Field L, Morin PC, Goland R, Izquierdo RE, Ebner S, Silver S, Petkova E,Kong J, Eimicke JP; IDEATel Consortium. A randomized trial comparing telemedicine case management with usual care in older, ethnically diverse, medically underserved patients with diabetes mellitus: 5 year results of the IDEATel study. J Am Med Inform Assoc. 2009 Jul-Aug;16(4):446-56.</t>
  </si>
  <si>
    <t>primary care practices</t>
  </si>
  <si>
    <t>ANCOVA</t>
  </si>
  <si>
    <t>Chan, 2009*</t>
  </si>
  <si>
    <t>Effects of structured versus usual care on renal endpoint in type 2 diabetes: the SURE study: a randomized multicenter translational study</t>
  </si>
  <si>
    <t>Chan JC, So WY, Yeung CY, Ko GT, Lau IT, Tsang MW, Lau KP, Siu SC, Li JK, Yeung VT, Leung WY, Tong PC; SURE Study Group. Effects of structured versus usual care on renal endpoint in type 2 diabetes: the SURE study: a randomized multicenter translational study. Diabetes Care. 2009 Jun;32(6):977-82.</t>
  </si>
  <si>
    <t>Diabetes Centre</t>
  </si>
  <si>
    <t>An automated telemedicine system improves patient-reported well-being</t>
  </si>
  <si>
    <t>Boaz M, Hellman K, Wainstein J. An automated telemedicine system improves patient-reported well-being. Diabetes Technol Ther. 2009 Mar;11(3):181-6.</t>
  </si>
  <si>
    <t>mboaz@wolfson.health.gov.il</t>
  </si>
  <si>
    <t>Boaz</t>
  </si>
  <si>
    <t>Israel</t>
  </si>
  <si>
    <t>ambulatory diabetes clinic in Holon, Israel</t>
  </si>
  <si>
    <t>McCarrier 2009</t>
    <phoneticPr fontId="0" type="noConversion"/>
  </si>
  <si>
    <t>Web-based collaborative care for type 1 diabetes: a pilot randomized trial</t>
  </si>
  <si>
    <t>McCarrier KP, Ralston JD, Hirsch IB, Lewis G, Martin DP, Zimmerman FJ, Goldberg HI. Web-based collaborative care for type 1 diabetes: a pilot randomized trial. Diabetes Technol Ther. 2009 Apr;11(4):211-7.</t>
  </si>
  <si>
    <t>kpm25@u.washington.edu</t>
  </si>
  <si>
    <t>McCarrier</t>
  </si>
  <si>
    <t>Diabetes Care Centre near University of Washington Medical Centre</t>
    <phoneticPr fontId="0" type="noConversion"/>
  </si>
  <si>
    <t>Individualized electronic decision support and reminders to improve diabetes care in the community: COMPETE II randomized trial</t>
  </si>
  <si>
    <t>Holbrook A, Thabane L, Keshavjee K, Dolovich L, Bernstein B, Chan D, Troyan S, Foster G, Gerstein H; COMPETE II Investigators. Individualized electronic decision support and reminders to improve diabetes care in the community: COMPETE II randomized trial. CMAJ. 2009 Jul 7;181(1-2):37-44.</t>
  </si>
  <si>
    <t xml:space="preserve">46 primary care providers across ontario, Canada </t>
    <phoneticPr fontId="0" type="noConversion"/>
  </si>
  <si>
    <t>Using t test mean improvement of process-of-care composit score was compared between intervention and control group. Using qi-square statistics they assessed the proprotions of pts for whom the composite-score improved or worsened.</t>
  </si>
  <si>
    <t>Powers, 2009</t>
  </si>
  <si>
    <t>The effect of a hypertension self-management intervention on diabetes and cholesterol control</t>
  </si>
  <si>
    <t>Powers BJ, Olsen MK, Oddone EZ, Bosworth HB. The effect of a hypertension self-management intervention on diabetes and cholesterol control. Am J Med. 2009 Jul;122(7):639-46.</t>
  </si>
  <si>
    <t>power017@mc.duke.edu</t>
  </si>
  <si>
    <t>Powers</t>
  </si>
  <si>
    <t>Veterans Study, Durham Medical Centre, Primary Care clinics</t>
  </si>
  <si>
    <t>Correlation, mixed effects models</t>
  </si>
  <si>
    <t>Doucette 2009</t>
    <phoneticPr fontId="0" type="noConversion"/>
  </si>
  <si>
    <t>Community pharmacist-provided extended diabetes care</t>
  </si>
  <si>
    <t>Doucette WR, Witry MJ, Farris KB, McDonough RP. Community pharmacist-provided extended diabetes care. Ann Pharmacother. 2009 May;43(5):882-9.</t>
  </si>
  <si>
    <t>william-doucette@uiowa.edu</t>
  </si>
  <si>
    <t>Doucette</t>
  </si>
  <si>
    <t>adults who had completed 2 diabetes education sessions at a local diabetes education centre</t>
  </si>
  <si>
    <t>Planas, 2009</t>
  </si>
  <si>
    <t>Evaluation of a hypertension medication therapy management program in patients with diabetes</t>
  </si>
  <si>
    <t>Planas LG, Crosby KM, Mitchell KD, Farmer KC. Evaluation of a hypertension medication therapy management program in patients with diabetes. J Am Pharm Assoc (2003). 2009 Mar-Apr;49(2):164-70.</t>
  </si>
  <si>
    <t>lourdes-planas@ouhsc.edu</t>
  </si>
  <si>
    <t>Planas</t>
  </si>
  <si>
    <t>5 pharmacies in Tulsa, OK</t>
  </si>
  <si>
    <t>Telephone peer-delivered intervention for diabetes motivation and support: the telecare exploratory RCT</t>
  </si>
  <si>
    <t>Dale J, Caramlau I, Sturt J, Friede T, Walker R. Telephone peer-delivered intervention for diabetes motivation and support: the telecare exploratory RCT. Patient Educ Couns. 2009 Apr;75(1):91-8.</t>
  </si>
  <si>
    <t>jeremy.dale@warwick.ac.uk</t>
  </si>
  <si>
    <t>Dale</t>
  </si>
  <si>
    <t>United Kingdom</t>
  </si>
  <si>
    <t>*</t>
    <phoneticPr fontId="0" type="noConversion"/>
  </si>
  <si>
    <t>general practice clinics in central England</t>
  </si>
  <si>
    <t>Mobile communication using a mobile phone with a glucometer for glucose control in Type 2 patients with diabetes: as effective as an Internet-based glucose monitoring system</t>
  </si>
  <si>
    <t>Cho JH, Lee HC, Lim DJ, Kwon HS, Yoon KH. Mobile communication using a mobile phone with a glucometer for glucose control in Type 2 patients with diabetes: as effective as an Internet-based glucose monitoring system. J Telemed Telecare. 2009;15(2):77-82.</t>
  </si>
  <si>
    <t>outpatient clinic of the Diabetes Centre in Kangnam St Mary's Hospital</t>
  </si>
  <si>
    <t>Improving Diabetes Care in Practice: findings from the TRANSLATE trial</t>
  </si>
  <si>
    <t>Peterson KA, Radosevich DM, O'Connor PJ, Nyman JA, Prineas RJ, Smith SA, Arneson TJ, Corbett VA, Weinhandl JC, Lange CJ, Hannan PJ. Improving Diabetes Care in Practice: findings from the TRANSLATE trial. Diabetes Care. 2008 Dec;31(12):2238-43.</t>
  </si>
  <si>
    <t>peter223@umn.edu</t>
  </si>
  <si>
    <t>Peterson</t>
  </si>
  <si>
    <t>community care practices</t>
  </si>
  <si>
    <t>general linear mixed model procedure for continuous outcomes; generalized linear mixed model for categorical and count outcomes</t>
  </si>
  <si>
    <t>Combined task delegation, computerized decision support, and feedback improve cardiovascular risk for type 2 diabetic patients: a cluster randomized trial in primary care</t>
  </si>
  <si>
    <t>Cleveringa FG, Gorter KJ, van den Donk M, Rutten GE. Combined task delegation, computerized decision support, and feedback improve cardiovascular risk for type 2 diabetic patients: a cluster randomized trial in primary care. Diabetes Care. 2008 Dec;31(12):2273-5.</t>
  </si>
  <si>
    <t>f.g.w.cleveringa@umcutrecht.nl</t>
  </si>
  <si>
    <t>Cleveringa</t>
  </si>
  <si>
    <t>primary care practices throughout The Netherlands</t>
  </si>
  <si>
    <t>Web-based collaborative care for type 2 diabetes: a pilot randomized trial</t>
  </si>
  <si>
    <t>Ralston JD, Hirsch IB, Hoath J, Mullen M, Cheadle A, Goldberg HI. Web-based collaborative care for type 2 diabetes: a pilot randomized trial. Diabetes Care. 2009 Feb;32(2):234-9.</t>
  </si>
  <si>
    <t>ralston.j@ghc.org</t>
  </si>
  <si>
    <t>Ralston</t>
  </si>
  <si>
    <t>University of Washing General Internal Medicine Clinic</t>
  </si>
  <si>
    <t>Intensive management program to improve glycosylated hemoglobin levels and adherence to diet in patients with type 2 diabetes</t>
  </si>
  <si>
    <t>Song MS, Kim HS. Intensive management program to improve glycosylated hemoglobin levels and adherence to diet in patients with type 2 diabetes. Appl Nurs Res. 2009 Feb;22(1):42-7.</t>
  </si>
  <si>
    <t>hees@catholic.ac.kr</t>
  </si>
  <si>
    <t>university-affiliated diabetes centre</t>
  </si>
  <si>
    <t>Trento 2008</t>
    <phoneticPr fontId="0" type="noConversion"/>
  </si>
  <si>
    <t>A randomised controlled clinical trial of nurse-, dietitian- and pedagogist-led Group Care for the management of Type 2 diabetes.</t>
  </si>
  <si>
    <t>Trento M, Basile M, Borgo E, Grassi G, Scuntero P, Trinetta A, Cavallo F, Porta M. A randomised controlled clinical trial of nurse-, dietitian- and pedagogist-led Group Care for the management of Type 2 diabetes. J Endocrinol Invest. 2008 Nov;31(11):1038-42.</t>
  </si>
  <si>
    <t>marina.trento@unito.it</t>
  </si>
  <si>
    <t>Trento</t>
  </si>
  <si>
    <t>Implementation of locally adapted guidelines on type 2 diabetes</t>
  </si>
  <si>
    <t>van Bruggen R, Gorter KJ, Stolk RP, Verhoeven RP, Rutten GE. Implementation of locally adapted guidelines on type 2 diabetes. Fam Pract. 2008 Dec;25(6):430-7.</t>
  </si>
  <si>
    <t>j.a.r.vanbruggen@umcutrecht.nl</t>
  </si>
  <si>
    <t>Bruggen</t>
  </si>
  <si>
    <t>Apeldoorn, The Netherlands</t>
  </si>
  <si>
    <t>generalized estimating equations models used to construct multivariate regression models</t>
  </si>
  <si>
    <t>An integrated intervention program to control diabetes in overweight Chinese women and men with type 2 diabetes</t>
  </si>
  <si>
    <t>Sun J, Wang Y, Chen X, Chen Y, Feng Y, Zhang X, Pan Y, Hu T, Xu J, Du L, Zhou W, Zhao H, Riley RE, Mustad VA. An integrated intervention program to control diabetes in overweight Chinese women and men with type 2 diabetes. Asia Pac J Clin Nutr. 2008;17(3):514-24.</t>
  </si>
  <si>
    <t>jianqins@gmail.com; sunjq@sh163b.sta.net.cn</t>
  </si>
  <si>
    <t>Sun</t>
  </si>
  <si>
    <t>employees of Shanghai Turbine Company, Electric Machinery Company, and Huadong Hospital, all in Shanghai, China</t>
  </si>
  <si>
    <t>Effects of the pharmacist's input on glycaemic control and cardiovascular risks in Muslim diabetes</t>
  </si>
  <si>
    <t>Phumipamorn S, Pongwecharak J, Soorapan S, Pattharachayakul S. Effects of the pharmacist's input on glycaemic control and cardiovascular risks in Muslim diabetes. Prim Care Diabetes. 2008 Feb;2(1):31-7.</t>
  </si>
  <si>
    <t>pjurapor@pharmacy.psu.ac.th; pjurapor@yahoo.com</t>
  </si>
  <si>
    <t>Pongwecharak</t>
  </si>
  <si>
    <t>community hospital in Krabi Province, mid-south Thailand</t>
  </si>
  <si>
    <t xml:space="preserve"> Practice-linked online personal health records for type 2 diabetes mellitus: a randomized controlled trial</t>
  </si>
  <si>
    <t>Grant RW, Wald JS, Schnipper JL, Gandhi TK, Poon EG, Orav EJ, Williams DH, Volk LA, Middleton B. Practice-linked online personal health records for type 2 diabetes mellitus: a randomized controlled trial. Arch Intern Med. 2008 Sep 8;168(16):1776-82.</t>
  </si>
  <si>
    <t>Rgrant@partners.org</t>
  </si>
  <si>
    <t>Grant</t>
  </si>
  <si>
    <t>primary care practices in hospital- and community-based settings in eastern Massachusetts</t>
  </si>
  <si>
    <t>Chronic care model and shared care in diabetes: randomized trial of an electronic decision support system</t>
  </si>
  <si>
    <t>Smith SA, Shah ND, Bryant SC, Christianson TJ, Bjornsen SS, Giesler PD, Krause K, Erwin PJ, Montori VM; Evidens Research Group. Chronic care model and shared care in diabetes: randomized trial of an electronic decision support system. Mayo Clin Proc. 2008 Jul;83(7):747-57.</t>
  </si>
  <si>
    <t>smith.steven@mayo.edu</t>
  </si>
  <si>
    <t>Smith</t>
  </si>
  <si>
    <t>22-92</t>
  </si>
  <si>
    <t>primary care practices affiliated with Mayo Clinic in Rochester, MN</t>
  </si>
  <si>
    <t>Evaluating the impact of mobile telephone technology on type 2 diabetic patients' self-management: the NICHE pilot study</t>
  </si>
  <si>
    <t xml:space="preserve">Faridi Z, Liberti L, Shuval K, Northrup V, Ali A, Katz DL. Evaluating the impact of mobile telephone technology on type 2 diabetic patients' self-management: the NICHE pilot study. J Eval Clin Pract. 2008 Jun;14(3):465-9. </t>
  </si>
  <si>
    <t>zubaida.faridi@yalegriffinprc.org</t>
  </si>
  <si>
    <t>Faridi</t>
  </si>
  <si>
    <t>2 community health centres, Connecticut</t>
  </si>
  <si>
    <t>Persell 2008</t>
  </si>
  <si>
    <t>Patient-directed intervention versus clinician reminders alone to improve aspirin use in diabetes: a cluster randomized trial</t>
  </si>
  <si>
    <t>Persell SD, Denecke-Dattalo TA, Dunham DP, Baker DW. Patient-directed intervention versus clinician reminders alone to improve aspirin use in diabetes: a cluster randomized trial. Jt Comm J Qual Patient Saf. 2008 Feb;34(2):98-105.</t>
  </si>
  <si>
    <t>spersell@nmff.org</t>
  </si>
  <si>
    <t>Persell</t>
  </si>
  <si>
    <t>group practice affiliated with an academic medical centre</t>
  </si>
  <si>
    <t>bivariable logistic regression with generalized estimating equation</t>
  </si>
  <si>
    <t>Gaede 2008*</t>
    <phoneticPr fontId="0" type="noConversion"/>
  </si>
  <si>
    <t>Effect of a multifactorial intervention on mortality in type 2 diabetes</t>
  </si>
  <si>
    <t>Gaede P, Lund-Andersen H, Parving HH, Pedersen O. Effect of a multifactorial intervention on mortality in type 2 diabetes. N Engl J Med. 2008 Feb 7;358(6):580-91.</t>
  </si>
  <si>
    <t>oluf@steno.dk.</t>
  </si>
  <si>
    <t>Pedersen</t>
  </si>
  <si>
    <t>Diabetes clinics in Denmark</t>
  </si>
  <si>
    <t>A short message service by cellular phone in type 2 diabetic patients for 12 months</t>
  </si>
  <si>
    <t>Yoon KH, Kim HS. A short message service by cellular phone in type 2 diabetic patients for 12 months. Diabetes Res Clin Pract. 2008 Feb;79(2):256-61.</t>
  </si>
  <si>
    <t>endocrinology outpatient department of a tertiary care hospital in urban city of South Korea</t>
  </si>
  <si>
    <t>Clinic-based support to help overweight patients with type 2 diabetes increase physical activity and lose weight</t>
  </si>
  <si>
    <t>Christian JG, Bessesen DH, Byers TE, Christian KK, Goldstein MG, Bock BC. Clinic-based support to help overweight patients with type 2 diabetes increase physical activity and lose weight. Arch Intern Med. 2008 Jan 28;168(2):141-6.</t>
  </si>
  <si>
    <t>jim@phcclp.com</t>
  </si>
  <si>
    <t>Christian</t>
  </si>
  <si>
    <t>large urban based community health centres</t>
  </si>
  <si>
    <t>Dijkstra, 2008</t>
  </si>
  <si>
    <t>Implementing diabetes passports to focus practice reorganization on improving diabetes care</t>
  </si>
  <si>
    <t>Dijkstra R, Braspenning J, Grol R. Implementing diabetes passports to focus practice reorganization on improving diabetes care. Int J Qual Health Care. 2008 Feb;20(1):72-7.</t>
  </si>
  <si>
    <t>r.dijkstra@kwazo.umcn.nl</t>
  </si>
  <si>
    <t>Dijkstra</t>
  </si>
  <si>
    <t>practices in the middle and south regions of The Netherlands</t>
  </si>
  <si>
    <t>multi-level, mixed model analysis</t>
  </si>
  <si>
    <t>Use of a registry-generated audit, feedback, and patient reminder intervention in an internal medicine resident clinic--a randomized trial</t>
  </si>
  <si>
    <t>Thomas KG, Thomas MR, Stroebel RJ, McDonald FS, Hanson GJ, Naessens JM, Huschka TR, Kolars JC. Use of a registry-generated audit, feedback, and patient reminder intervention in an internal medicine resident clinic--a randomized trial. J Gen Intern Med. 2007 Dec;22(12):1740-4.</t>
  </si>
  <si>
    <t>thomas.kris@mayo.edu</t>
  </si>
  <si>
    <t>Thomas</t>
  </si>
  <si>
    <t>resident continuity clinic</t>
  </si>
  <si>
    <t>generalized estimating equations</t>
  </si>
  <si>
    <t>Outpatient assessment of Karlsburg Diabetes Management System-based decision support</t>
  </si>
  <si>
    <t>Augstein P, Vogt L, Kohnert KD, Freyse EJ, Heinke P, Salzsieder E. Outpatient assessment of Karlsburg Diabetes Management System-based decision support. Diabetes Care. 2007 Jul;30(7):1704-8.</t>
  </si>
  <si>
    <t>augstein@diabetes-karlsburg.de</t>
  </si>
  <si>
    <t>Augstein</t>
  </si>
  <si>
    <t>Nurse care manager collaboration with community-based physicians providing diabetes care: a randomized controlled trial</t>
  </si>
  <si>
    <t>Hiss RG, Armbruster BA, Gillard ML, McClure LA. Nurse care manager collaboration with community-based physicians providing diabetes care: a randomized controlled trial. Diabetes Educ. 2007 May-Jun;33(3):493-502.</t>
  </si>
  <si>
    <t>redhiss@umich.edu</t>
  </si>
  <si>
    <t>Hiss</t>
  </si>
  <si>
    <t>general population of a large metropolitan area</t>
  </si>
  <si>
    <t>Benhamou 2007</t>
    <phoneticPr fontId="0" type="noConversion"/>
  </si>
  <si>
    <t>One-year efficacy and safety of Web-based follow-up using cellular phone in type 1 diabetic patients under insulin pump therapy: the PumpNet study</t>
  </si>
  <si>
    <t>Benhamou PY, Melki V, Boizel R, Perreal F, Quesada JL, Bessieres-Lacombe S, Bosson JL, Halimi S, Hanaire H. One-year efficacy and safety of Web-based follow-up using cellular phone in type 1 diabetic patients under insulin pump therapy: the PumpNet study. Diabetes Metab. 2007 Jun;33(3):220-6.</t>
  </si>
  <si>
    <t>pierre-yves.benhamou@wanadoo.fr</t>
  </si>
  <si>
    <t>Benhamou</t>
  </si>
  <si>
    <t>diabetology clinic outpatients at a clinic from Grenoble and Toulouse, France</t>
    <phoneticPr fontId="0" type="noConversion"/>
  </si>
  <si>
    <t>Group visits: promoting adherence to diabetes guidelines</t>
  </si>
  <si>
    <t>Clancy DE, Huang P, Okonofua E, Yeager D, Magruder KM. Group visits: promoting adherence to diabetes guidelines. J Gen Intern Med. 2007 May;22(5):620-4.</t>
  </si>
  <si>
    <t>Adult Primary Care Centre, Medical University of South Carolina</t>
  </si>
  <si>
    <t>Assessment of two culturally competent diabetes education methods: individual versus individual plus group education in Canadian Portuguese adults with type 2 diabetes</t>
  </si>
  <si>
    <t>Gucciardi E, Demelo M, Lee RN, Grace SL. Assessment of two culturally competent diabetes education methods: individual versus individual plus group education in Canadian Portuguese adults with type 2 diabetes. Ethn Health. 2007 Apr;12(2):163-87.</t>
  </si>
  <si>
    <t>enza.gucciardi@uhn.on.ca</t>
  </si>
  <si>
    <t>Gucciardi</t>
  </si>
  <si>
    <t>Diabetes Education Centre, Toronto, ON</t>
  </si>
  <si>
    <t>The effects of a web-based intervention on the physical outcomes associated with diabetes among adults age 60 and older: a randomized trial</t>
  </si>
  <si>
    <t>Bond GE, Burr R, Wolf FM, Price M, McCurry SM, Teri L. The effects of a web-based intervention on the physical outcomes associated with diabetes among adults age 60 and older: a randomized trial. Diabetes Technol Ther. 2007 Feb;9(1):52-9.</t>
  </si>
  <si>
    <t>gbond@u.washington.edu</t>
  </si>
  <si>
    <t>Bond</t>
  </si>
  <si>
    <t>University of Washington Diabetes Centre and local diabetes fairs in greater Seattle area</t>
  </si>
  <si>
    <t>Long-term effect of the Internet-based glucose monitoring system on HbA1c reduction and glucose stability: a 30-month follow-up study for diabetes management with a ubiquitous medical care system</t>
  </si>
  <si>
    <t>Cho JH, Chang SA, Kwon HS, Choi YH, Ko SH, Moon SD, Yoo SJ, Song KH, Son HS, Kim HS, Lee WC, Cha BY, Son HY, Yoon KH. Long-term effect of the Internet-based glucose monitoring system on HbA1c reduction and glucose stability: a 30-month follow-up study for diabetes management with a ubiquitous medical care system. Diabetes Care. 2006 Dec;29(12):2625-31.</t>
  </si>
  <si>
    <t>Kangnam St Mary's Hospital Diabetes Centre</t>
  </si>
  <si>
    <t>Jansa 2006</t>
    <phoneticPr fontId="0" type="noConversion"/>
  </si>
  <si>
    <t>Telecare in a structured therapeutic education programme addressed to patients with type 1 diabetes and poor metabolic control</t>
  </si>
  <si>
    <t>Jansà M, Vidal M, Viaplana J, Levy I, Conget I, Gomis R, Esmatjes E. Telecare in a structured therapeutic education programme addressed to patients with type 1 diabetes and poor metabolic control. Diabetes Res Clin Pract. 2006 Oct;74(1):26-32.</t>
  </si>
  <si>
    <t>mjansa@clinic.ub.es</t>
  </si>
  <si>
    <t>Jansà</t>
  </si>
  <si>
    <t>Diabetes Unit of the Hospital Clinic Barcelona, Spain</t>
    <phoneticPr fontId="0" type="noConversion"/>
  </si>
  <si>
    <t>Managing diabetes care using an integrated regional e-health approach</t>
  </si>
  <si>
    <t>Harno K, Kauppinen-Mäkelin R, Syrjäläinen J. Managing diabetes care using an integrated regional e-health approach.  Telemed Telecare. 2006;12 Suppl 1:13-5.</t>
  </si>
  <si>
    <t>kari.harno@hus.fi</t>
  </si>
  <si>
    <t>Harno</t>
  </si>
  <si>
    <t>primary care and university hospital outpatient clinics</t>
  </si>
  <si>
    <t>Piatt, 2006*</t>
  </si>
  <si>
    <t>Translating the chronic care model into the community: results from a randomized controlled trial of a multifaceted diabetes care intervention</t>
  </si>
  <si>
    <t>Piatt GA, Orchard TJ, Emerson S, Simmons D, Songer TJ, Brooks MM, Korytkowski M, Siminerio LM, Ahmad U, Zgibor JC. Translating the chronic care model into the community: results from a randomized controlled trial of a multifaceted diabetes care intervention. Diabetes Care. 2006 Apr;29(4):811-7.</t>
  </si>
  <si>
    <t>piattg@upmc.edu</t>
  </si>
  <si>
    <t>Piatt</t>
  </si>
  <si>
    <t>underserved urban suburb Pittsburgh, PA</t>
  </si>
  <si>
    <t>???</t>
  </si>
  <si>
    <t>Nurse case management improves blood pressure, emotional distress and diabetes complication screening</t>
  </si>
  <si>
    <t>Gabbay RA, Lendel I, Saleem TM, Shaeffer G, Adelman AM, Mauger DT, Collins M, Polomano RC. Nurse case management improves blood pressure, emotional distress and diabetes complication screening. Diabetes Res Clin Pract. 2006 Jan;71(1):28-35.</t>
  </si>
  <si>
    <t>rgabbay@psu.edu</t>
  </si>
  <si>
    <t>two primary care clinics of Penn State Hershey Medical Centre</t>
  </si>
  <si>
    <t>Farmer 2005</t>
    <phoneticPr fontId="0" type="noConversion"/>
  </si>
  <si>
    <t>A randomized controlled trial of the effect of real-time telemedicine support on glycemic control in young adults with type 1 diabetes (ISRCTN 46889446)</t>
  </si>
  <si>
    <t>Farmer AJ, Gibson OJ, Dudley C, Bryden K, Hayton PM, Tarassenko L, Neil A. A randomized controlled trial of the effect of real-time telemedicine support on glycemic control in young adults with type 1 diabetes (ISRCTN 46889446). Diabetes Care. 2005 Nov;28(11):2697-702.</t>
  </si>
  <si>
    <t>andrew.farmer@dphpc.ox.ac.uk</t>
  </si>
  <si>
    <t>patients registered with Pediatric Transition Clinic or Young Adult Diabetes Clinic in Oxford, UK</t>
  </si>
  <si>
    <t>An endocrinologist-supported intervention aimed at providers improves diabetes management in a primary care site: improving primary care of African Americans with diabetes (IPCAAD) 7</t>
  </si>
  <si>
    <t>Phillips LS, Ziemer DC, Doyle JP, Barnes CS, Kolm P, Branch WT, Caudle JM, Cook CB, Dunbar VG, El-Kebbi IM, Gallina DL, Hayes RP, Miller CD,Rhee MK, Thompson DM, Watkins C. An endocrinologist-supported intervention aimed at providers improves diabetes management in a primary care site: improving primary care of African Americans with diabetes (IPCAAD) 7. Diabetes Care. 2005 Oct;28(10):2352-60.</t>
  </si>
  <si>
    <t>medlsp@emory.edu</t>
  </si>
  <si>
    <t>Phillips</t>
  </si>
  <si>
    <t>Grady Medical Clinic, Emory University, Atlanta, GA</t>
  </si>
  <si>
    <t>linear mixed model multivariable regression analyses, generalized estimating equation</t>
  </si>
  <si>
    <t>Harris 2005</t>
    <phoneticPr fontId="0" type="noConversion"/>
  </si>
  <si>
    <t>Teleconferenced educational detailing: diabetes education for primary care physicians</t>
  </si>
  <si>
    <t>Harris SB, Leiter LA, Webster-Bogaert S, Van DM, O'Neill C. Teleconferenced educational detailing: diabetes education for primary care physicians. J Contin Educ Health Prof. 2005 Spring;25(2):87-97.</t>
  </si>
  <si>
    <t>sharris1@uwo.ca</t>
  </si>
  <si>
    <t>Harris</t>
  </si>
  <si>
    <t>Canada</t>
    <phoneticPr fontId="0" type="noConversion"/>
  </si>
  <si>
    <t>Family physician clinics from 8 geographic regions in Canada</t>
    <phoneticPr fontId="0" type="noConversion"/>
  </si>
  <si>
    <t>O'Connor 2005</t>
    <phoneticPr fontId="0" type="noConversion"/>
  </si>
  <si>
    <t>Randomized trial of quality improvement intervention to improve diabetes care in primary care settings</t>
  </si>
  <si>
    <t>O'Connor PJ, Desai J, Solberg LI, Reger LA, Crain AL, Asche SE, Pearson TL, Clark CK, Rush WA, Cherney LM, Sperl-Hillen JM, Bishop DB. Randomized trial of quality improvement intervention to improve diabetes care in primary care settings. Diabetes Care. 2005 Aug;28(8):1890-7.</t>
  </si>
  <si>
    <t>patrick.j.oconnor@healthpartners.com</t>
  </si>
  <si>
    <t>primary care medical practices in Minnesota</t>
  </si>
  <si>
    <t>mixed model nested analyses</t>
  </si>
  <si>
    <t>Web-based care management in patients with poorly controlled diabetes</t>
  </si>
  <si>
    <t>McMahon GT, Gomes HE, Hickson Hohne S, Hu TM, Levine BA, Conlin PR. Web-based care management in patients with poorly controlled diabetes. Diabetes Care. 2005 Jul;28(7):1624-9.</t>
  </si>
  <si>
    <t>paul.conlin@med.va.gov</t>
  </si>
  <si>
    <t>Conlin</t>
  </si>
  <si>
    <t>Four hospital-based and 10 community-based Veterans Affairs clinics in Boston, Mass</t>
  </si>
  <si>
    <t>Dijkstra 2005*</t>
  </si>
  <si>
    <t>Introduction of diabetes passports involving both patients and professionals to improve hospital outpatient diabetes care</t>
  </si>
  <si>
    <t>Dijkstra RF, Braspenning JC, Huijsmans Z, Akkermans RP, van Ballegooie E, ten Have P, Casparie T, Grol RP. Introduction of diabetes passports involving both patients and professionals to improve hospital outpatient diabetes care. Diabetes Res Clin Pract. 2005 May;68(2):126-34.</t>
  </si>
  <si>
    <t>r.dijkstra@wok.umcn.nl</t>
  </si>
  <si>
    <t>The netherlands</t>
  </si>
  <si>
    <t xml:space="preserve">9 dutch general hospitals </t>
    <phoneticPr fontId="0" type="noConversion"/>
  </si>
  <si>
    <t>Multilevel (hospital-physician-patient) logistic regression analysis was used.</t>
  </si>
  <si>
    <t>Impact of modem-transferred blood glucose data on clinician work efficiency and patient glycemic control</t>
  </si>
  <si>
    <t>Bergenstal RM, Anderson RL, Bina DM, Johnson ML, Davidson JL, Solarz-Johnson B, Kendall DM. Impact of modem-transferred blood glucose data on clinician work efficiency and patient glycemic control. Diabetes Technol Ther. 2005 Apr;7(2):241-7.</t>
  </si>
  <si>
    <t>anderro@parknicollet.com</t>
  </si>
  <si>
    <t>self-management education program</t>
  </si>
  <si>
    <t>Effects of nurse-coordinated intervention on patients with type 2 diabetes in Korea</t>
  </si>
  <si>
    <t>Kim HS, Oh JA, Lee HO. Effects of nurse-coordinated intervention on patients with type 2 diabetes in Korea. J Nurs Care Qual. 2005 Apr-Jun;20(2):154-60.</t>
  </si>
  <si>
    <t>joanne@catholic.ac.kr</t>
  </si>
  <si>
    <t>Oh</t>
  </si>
  <si>
    <t>Proactive case management of high-risk patients with type 2 diabetes mellitus by a clinical pharmacist: a randomized controlled trial</t>
  </si>
  <si>
    <t>Choe HM, Mitrovich S, Dubay D, Hayward RA, Krein SL, Vijan S. Proactive case management of high-risk patients with type 2 diabetes mellitus by a clinical pharmacist: a randomized controlled trial. Am J Manag Care. 2005 Apr;11(4):253-60.</t>
  </si>
  <si>
    <t>svijan@umich.edu</t>
  </si>
  <si>
    <t>Vijan</t>
  </si>
  <si>
    <t>university affiliated primary care internal medicine clinic</t>
  </si>
  <si>
    <t>Rothman 2005*</t>
    <phoneticPr fontId="0" type="noConversion"/>
  </si>
  <si>
    <t>A randomized trial of a primary care-based disease management program to improve cardiovascular risk factors and glycated hemoglobin levels in patients with diabetes</t>
  </si>
  <si>
    <t>Rothman RL, Malone R, Bryant B, Shintani AK, Crigler B, Dewalt DA, Dittus RS, Weinberger M, Pignone MP. A randomized trial of a primary care-based disease management program to improve cardiovascular risk factors and glycated hemoglobin levels in patients with diabetes. Am J Med. 2005 Mar;118(3):276-84.</t>
  </si>
  <si>
    <t>russell.rothman@vanderbilt.edu</t>
  </si>
  <si>
    <t>Rothman</t>
  </si>
  <si>
    <t>primary care based</t>
  </si>
  <si>
    <t>Odegard 2005</t>
    <phoneticPr fontId="0" type="noConversion"/>
  </si>
  <si>
    <t>Caring for poorly controlled diabetes mellitus: a randomized pharmacist intervention</t>
  </si>
  <si>
    <t>Odegard PS, Goo A, Hummel J, Williams KL, Gray SL. Caring for poorly controlled diabetes mellitus: a randomized pharmacist intervention. Ann Pharmacother. 2005 Mar;39(3):433-40.</t>
  </si>
  <si>
    <t>podegard@u.washington.edu</t>
  </si>
  <si>
    <t>Odegard</t>
  </si>
  <si>
    <t>University of Washington Medicine Neighbourhood Clinics</t>
  </si>
  <si>
    <t>Intensive telephone follow-up to a hospital-based disease management model for patients with diabetes mellitus</t>
  </si>
  <si>
    <t>Maljanian R, Grey N, Staff I, Conroy L. Intensive telephone follow-up to a hospital-based disease management model for patients with diabetes mellitus. Dis Manag. 2005 Feb;8(1):15-25.</t>
  </si>
  <si>
    <t>istaff@harthosp.org</t>
  </si>
  <si>
    <t>Staff</t>
  </si>
  <si>
    <t>patients referred to hospital-based disease management program</t>
  </si>
  <si>
    <t>Glasgow 2005*</t>
    <phoneticPr fontId="0" type="noConversion"/>
  </si>
  <si>
    <t>Randomized effectiveness trial of a computer-assisted intervention to improve diabetes care</t>
  </si>
  <si>
    <t>Glasgow RE, Nutting PA, King DK, Nelson CC, Cutter G, Gaglio B, Rahm AK, Whitesides H. Randomized effectiveness trial of a computer-assisted intervention to improve diabetes care. Diabetes Care. 2005 Jan;28(1):33-9.</t>
  </si>
  <si>
    <t>russg@ris.net</t>
  </si>
  <si>
    <t>family physicians and general internists insured by Sopic Insurance Co in Colorado</t>
  </si>
  <si>
    <t>generalized regression model using a random effect for the physician</t>
  </si>
  <si>
    <t>Promoting health in type 2 diabetes: nurse-physician collaboration in primary care</t>
  </si>
  <si>
    <t>Taylor KI, Oberle KM, Crutcher RA, Norton PG. Promoting health in type 2 diabetes: nurse-physician collaboration in primary care. Biol Res Nurs. 2005 Jan;6(3):207-15.</t>
  </si>
  <si>
    <t>oberle@ucalgary.ca</t>
  </si>
  <si>
    <t>Oberle</t>
  </si>
  <si>
    <t>family practice clinic</t>
  </si>
  <si>
    <t>Goldberg 2004</t>
    <phoneticPr fontId="0" type="noConversion"/>
  </si>
  <si>
    <t>Self-management support in a web-based medical record: a pilot randomized controlled trial</t>
  </si>
  <si>
    <t>Goldberg HI, Lessler DS, Mertens K, Eytan TA, Cheadle AD. Self-management support in a web-based medical record: a pilot randomized controlled trial. Jt Comm J Qual Saf. 2004 Nov;30(11):629-35, 589.</t>
  </si>
  <si>
    <t>hig@u.washington.edu</t>
  </si>
  <si>
    <t>Goldberg</t>
  </si>
  <si>
    <t>Quasi-RCT</t>
    <phoneticPr fontId="0" type="noConversion"/>
  </si>
  <si>
    <t>2 primary care clinics at Haborview Medical Centre, University of Washington</t>
  </si>
  <si>
    <t>New, 2004</t>
    <phoneticPr fontId="0" type="noConversion"/>
  </si>
  <si>
    <t>Educational outreach in diabetes to encourage practice nurses to use primary care hypertension and hyperlipidaemia guidelines (EDEN): a randomized controlled trial</t>
  </si>
  <si>
    <t>New JP, Mason JM, Freemantle N, Teasdale S, Wong L, Bruce NJ, Burns JA, Gibson JM. Educational outreach in diabetes to encourage practice nurses to use primary care hypertension and hyperlipidaemia guidelines (EDEN): a randomized controlled trial. Diabet Med. 2004 Jun;21(6):599-603.</t>
  </si>
  <si>
    <t>john.new@man.ac.uk</t>
  </si>
  <si>
    <t>New</t>
  </si>
  <si>
    <t>n/r</t>
  </si>
  <si>
    <t>44 primary care practices within Salford, UK</t>
  </si>
  <si>
    <t>logit link and binomial error</t>
  </si>
  <si>
    <t>Case management for patients with poorly controlled diabetes: a randomized trial</t>
  </si>
  <si>
    <t>Krein SL, Klamerus ML, Vijan S, Lee JL, Fitzgerald JT, Pawlow A, Reeves P, Hayward RA. Case management for patients with poorly controlled diabetes: a randomized trial. Am J Med. 2004 Jun 1;116(11):732-9.</t>
  </si>
  <si>
    <t>sarah.krein@med.va.gov</t>
  </si>
  <si>
    <t>Krein</t>
  </si>
  <si>
    <t>Department of Veterans Affairs Medical Centres</t>
  </si>
  <si>
    <t>Montori 2004</t>
    <phoneticPr fontId="0" type="noConversion"/>
  </si>
  <si>
    <t>Telecare for patients with type 1 diabetes and inadequate glycemic control: a randomized controlled trial and meta-analysis</t>
  </si>
  <si>
    <t>Montori VM, Helgemoe PK, Guyatt GH, Dean DS, Leung TW, Smith SA, Kudva YC. Telecare for patients with type 1 diabetes and inadequate glycemic control: a randomized controlled trial and meta-analysis. Diabetes Care. 2004 May;27(5):1088-94.</t>
  </si>
  <si>
    <t>yogish@mayo.edu</t>
  </si>
  <si>
    <t>Kudva</t>
  </si>
  <si>
    <t>24.4-52.7</t>
  </si>
  <si>
    <t>The North Dublin randomized controlled trial of structured diabetes shared care</t>
  </si>
  <si>
    <t>Smith S, Bury G, O'Leary M, Shannon W, Tynan A, Staines A, Thompson C. The North Dublin randomized controlled trial of structured diabetes shared care. Fam Pract. 2004 Feb;21(1):39-45.</t>
  </si>
  <si>
    <t>susmith@tcd.ie</t>
  </si>
  <si>
    <t>general practices in Ireland</t>
  </si>
  <si>
    <t>calculating summary statistics for each cluster and more complex patient level models using svy procedures in Stata</t>
  </si>
  <si>
    <t>Establishment of blood glucose monitoring system using the internet</t>
  </si>
  <si>
    <t>Kwon HS, Cho JH, Kim HS, Song BR, Ko SH, Lee JM, Kim SR, Chang SA, Kim HS, Cha BY, Lee KW, Son HY, Lee JH, Lee WC, Yoon KH. Establishment of blood glucose monitoring system using the internet. Diabetes Care. 2004 Feb;27(2):478-83.</t>
  </si>
  <si>
    <t>outpatient clinic at Kangnam St Mary's Hospital</t>
  </si>
  <si>
    <t>Closing the gap: effect of diabetes case management on glycemic control among low-income ethnic minority populations: the California Medi-Cal type 2 diabetes study</t>
  </si>
  <si>
    <t>California Medi-Cal Type 2 Diabetes Study Group. Closing the gap: effect of diabetes case management on glycemic control among low-income ethnic minority populations: the California Medi-Cal type 2 diabetes study. Diabetes Care. 2004 Jan;27(1):95-103.</t>
  </si>
  <si>
    <t>ljovanovic@sansum.org</t>
  </si>
  <si>
    <t>Jovanovic</t>
  </si>
  <si>
    <t>clinical sites in Santa Barbara, San Diego, Los Angeles serving racial/ethnic minority, low income Medi-Cal populations</t>
  </si>
  <si>
    <t>McClellan, 2003</t>
  </si>
  <si>
    <t>Improved diabetes care by primary care physicians: results of a group-randomized evaluation of the Medicare Health Care Quality Improvement Program (HCQIP)</t>
  </si>
  <si>
    <t>McClellan WM, Millman L, Presley R, Couzins J, Flanders WD. Improved diabetes care by primary care physicians: results of a group-randomized evaluation of the Medicare Health Care Quality Improvement Program (HCQIP). J Clin Epidemiol. 2003 Dec;56(12):1210-7.</t>
  </si>
  <si>
    <t>bmcclell@gmcf.org</t>
  </si>
  <si>
    <t>McClellan</t>
  </si>
  <si>
    <t>primary care physicians in a Southern State treating Medicare beneficiaries</t>
  </si>
  <si>
    <t>see page 1213 of article; a lot of information</t>
  </si>
  <si>
    <t>Integrating medical management with diabetes self-management training: a randomized control trial of the Diabetes Outpatient Intensive Treatment program</t>
  </si>
  <si>
    <t>Polonsky WH1, Earles J, Smith S, Pease DJ, Macmillan M, Christensen R, Taylor T, Dickert J, Jackson RA. Integrating medical management with diabetes self-management training: a randomized control trial of the Diabetes Outpatient Intensive Treatment program. Diabetes Care. 2003 Nov;26(11):3048-53.</t>
  </si>
  <si>
    <t>richard.jackson@joslin.harvard.edu</t>
  </si>
  <si>
    <t>Jackson</t>
  </si>
  <si>
    <t>Large hospital providing in and outpatient care</t>
  </si>
  <si>
    <t>Ilag 2003</t>
  </si>
  <si>
    <t>Improving diabetes processes of care in managed care</t>
  </si>
  <si>
    <t>Ilag LL, Martin CL, Tabaei BP, Isaman DJ, Burke R, Greene DA, Herman WH. Improving diabetes processes of care in managed care. Diabetes Care. 2003 Oct;26(10):2722-7.</t>
  </si>
  <si>
    <t>lilag@umich.edu</t>
  </si>
  <si>
    <t>Ilag</t>
  </si>
  <si>
    <t>university-affiliated primary care internal medicine practices affiliated with a managed care organization</t>
  </si>
  <si>
    <t>hierarchical linear mixed models for continuous variables and hierarchical logistic mixed models for categorical variables</t>
  </si>
  <si>
    <t>Davis 2003</t>
  </si>
  <si>
    <t>Telemedicine improves eye examination rates in individuals with diabetes: a model for eye-care delivery in underserved communities</t>
  </si>
  <si>
    <t>Davis RM, Fowler S, Bellis K, Pockl J, Al Pakalnis V, Woldorf A. Telemedicine improves eye examination rates in individuals with diabetes: a model for eye-care delivery in underserved communities. Diabetes Care. 2003 Aug;26(8):2476.</t>
  </si>
  <si>
    <t>rdavis@medpark.sc.edu</t>
  </si>
  <si>
    <t>rural, federally funded, primary care practice</t>
  </si>
  <si>
    <t>Physician - nurse practitioner teams in chronic disease management: the impact on costs, clinical effectiveness, and patients' perception of care</t>
  </si>
  <si>
    <t>Litaker D, Mion L, Planavsky L, Kippes C, Mehta N, Frolkis J. Physician - nurse practitioner teams in chronic disease management: the impact on costs, clinical effectiveness, and patients' perception of care. J Interprof Care. 2003 Aug;17(3):223-37.</t>
  </si>
  <si>
    <t>dxl25@cwru.edu</t>
  </si>
  <si>
    <t>Litaker</t>
  </si>
  <si>
    <t>Department of General Internal Medicine at the Cleveland Clinic Foundation, Ohio</t>
  </si>
  <si>
    <t>Gary 2003</t>
    <phoneticPr fontId="0" type="noConversion"/>
  </si>
  <si>
    <t>Randomized controlled trial of the effects of nurse case manager and community health worker interventions on risk factors for diabetes-related complications in urban African Americans</t>
  </si>
  <si>
    <t>Gary TL, Bone LR, Hill MN, Levine DM, McGuire M, Saudek C, Brancati FL. Randomized controlled trial of the effects of nurse case manager and community health worker interventions on risk factors for diabetes-related complications in urban African Americans. Prev Med. 2003 Jul;37(1):23-32.</t>
  </si>
  <si>
    <t>tgary@jhsph.edu</t>
  </si>
  <si>
    <t>Gary</t>
  </si>
  <si>
    <t>University ambulatory clinic serving inner-city population in Baltimore, Md</t>
  </si>
  <si>
    <t>Evaluation of a nurse-care management system to improve outcomes in patients with complicated diabetes</t>
  </si>
  <si>
    <t>Taylor CB, Miller NH, Reilly KR, Greenwald G, Cunning D, Deeter A, Abascal L. Evaluation of a nurse-care management system to improve outcomes in patients with complicated diabetes. Diabetes Care. 2003 Apr;26(4):1058-63.</t>
  </si>
  <si>
    <t>btaylor@stanford.edu</t>
  </si>
  <si>
    <t>Taylor</t>
  </si>
  <si>
    <t>a medical center in Santa Clara, CA USA</t>
  </si>
  <si>
    <t>group were compared using t-test and qi-square test; ANCOVA was used to compare change scores between groups; Cohen-effect sizes were computed on the difference in the means between intervention and usual care using the pooled baseline SD.</t>
  </si>
  <si>
    <t>Bebb, 2007</t>
  </si>
  <si>
    <t>A cluster randomised controlled trial of the effect of a treatment algorithm for hypertension in patients with type 2 diabetes</t>
  </si>
  <si>
    <t>Bebb C, Kendrick D, Coupland C, Madeley R, Stewart J, Brown K, Burden R, Sturrock N. A cluster randomised controlled trial of the effect of a treatment algorithm for hypertension in patients with type 2 diabetes. Br J Gen Pract. 2007 Feb;57(535):136-43.</t>
  </si>
  <si>
    <t>charlotte.bebb@nuh.nhs.uk</t>
  </si>
  <si>
    <t>Bebb</t>
  </si>
  <si>
    <t>practices in Nottingham, UK</t>
  </si>
  <si>
    <t>random effects models, logistic models, ICC</t>
  </si>
  <si>
    <t>Bellary, 2008</t>
  </si>
  <si>
    <t>Enhanced diabetes care to patients of south Asian ethnic origin (the United Kingdom Asian Diabetes Study): a cluster randomised controlled trial</t>
  </si>
  <si>
    <t>Bellary S, O'Hare JP, Raymond NT, Gumber A, Mughal S, Szczepura A, Kumar S, Barnett AH; UKADS Study Group. Enhanced diabetes care to patients of south Asian ethnic origin (the United Kingdom Asian Diabetes Study): a cluster randomised controlled trial. Lancet. 2008 May 24;371(9626):1769-76.</t>
  </si>
  <si>
    <t>anthony.barnett@heartofengland.nhs.uk</t>
  </si>
  <si>
    <t>Barnett</t>
  </si>
  <si>
    <t>inner-city practices in the UK</t>
  </si>
  <si>
    <t>ICC, SAS PROC Mixed procedure used to fit hierarchical, combined fixed and random effects models</t>
  </si>
  <si>
    <t>Effect of a pharmaceutical care program on vascular risk factors in type 2 diabetes: the Fremantle Diabetes Study</t>
  </si>
  <si>
    <t>Clifford RM, Davis WA, Batty KT, Davis TM; Fremantle Diabetes Study. Effect of a pharmaceutical care program on vascular risk factors in type 2 diabetes: the Fremantle Diabetes Study. Diabetes Care. 2005 Apr;28(4):771-6.</t>
  </si>
  <si>
    <t>tdavis@cyllene.uwa.edu.au</t>
  </si>
  <si>
    <t>adults from the Fremantle Diabetes Study</t>
  </si>
  <si>
    <t>A pharmacotherapy follow-up program in patients with type-2 diabetes in community pharmacies in Spain</t>
  </si>
  <si>
    <t>Fornos JA, Andrés NF, Andrés JC, Guerra MM, Egea B. A pharmacotherapy follow-up program in patients with type-2 diabetes in community pharmacies in Spain. Pharm World Sci. 2006 Apr;28(2):65-72.</t>
  </si>
  <si>
    <t>nicanorfloroandres@redfarma.org</t>
  </si>
  <si>
    <t>Andrés</t>
  </si>
  <si>
    <t>community pharmacies in Pontevedra, Spain</t>
  </si>
  <si>
    <t>Effects of structured hospital-based care compared with standard care for Type 2 diabetes-The Asker and Baerum Cardiovascular Diabetes Study, a randomized trial</t>
  </si>
  <si>
    <t xml:space="preserve">Johansen OE, Gullestad L, Blaasaas KG, Orvik E, Birkeland KI. Effects of structured hospital-based care compared with standard care for Type 2 diabetes-The Asker and Baerum Cardiovascular Diabetes Study, a randomized trial. Diabet Med. 2007 Sep;24(9):1019-27. </t>
  </si>
  <si>
    <t>odd.erik.johansen@broadpark.no</t>
  </si>
  <si>
    <t>Johansen</t>
  </si>
  <si>
    <t>Asker and Baerum Hospital, Rud, Norway</t>
  </si>
  <si>
    <t>The Pharmacy Diabetes Care Program: assessment of a community pharmacy diabetes service model in Australia</t>
  </si>
  <si>
    <t>Krass I, Armour CL, Mitchell B, Brillant M, Dienaar R, Hughes J, Lau P, Peterson G, Stewart K, Taylor S, Wilkinson J. The Pharmacy Diabetes Care Program: assessment of a community pharmacy diabetes service model in Australia. Diabet Med. 2007 Jun;24(6):677-83.</t>
  </si>
  <si>
    <t>inesk@pharm.usyd.edu.au</t>
  </si>
  <si>
    <t>Krass</t>
  </si>
  <si>
    <t>community pharmacies in Australia (New South Wales, Victoria, Tasmania and Western Australia)</t>
  </si>
  <si>
    <t>McLean, 2008</t>
  </si>
  <si>
    <t>A randomized trial of the effect of community pharmacist and nurse care on improving blood pressure management in patients with diabetes mellitus: study of cardiovascular risk intervention by pharmacists-hypertension (SCRIP-HTN)</t>
  </si>
  <si>
    <t>McLean DL, McAlister FA, Johnson JA, King KM, Makowsky MJ, Jones CA, Tsuyuki RT; SCRIP-HTN Investigators. A randomized trial of the effect of community pharmacist and nurse care on improving blood pressure management in patients with diabetes mellitus: study of cardiovascular risk intervention by pharmacists-hypertension (SCRIP-HTN). Arch Intern Med. 2008 Nov 24;168(21):2355-61.</t>
  </si>
  <si>
    <t>ross.tsuyuki@ualberta.ca</t>
  </si>
  <si>
    <t>Tsuyuki</t>
  </si>
  <si>
    <t>community pharmacies in Edmonton, AB</t>
  </si>
  <si>
    <t>New, 2003</t>
  </si>
  <si>
    <t>Specialist nurse-led intervention to treat and control hypertension and hyperlipidemia in diabetes (SPLINT): a randomized controlled trial</t>
  </si>
  <si>
    <t>New JP, Mason JM, Freemantle N, Teasdale S, Wong LM, Bruce NJ, Burns JA, Gibson JM. Specialist nurse-led intervention to treat and control hypertension and hyperlipidemia in diabetes (SPLINT): a randomized controlled trial. Diabetes Care. 2003 Aug;26(8):2250-5.</t>
  </si>
  <si>
    <t>55.4-72.1</t>
  </si>
  <si>
    <t>Hope Hospital, Salford, UK</t>
  </si>
  <si>
    <t>Evaluation of delivery of enhanced diabetes care to patients of South Asian ethnicity: the United Kingdom Asian Diabetes Study (UKADS)</t>
  </si>
  <si>
    <t>O'Hare JP, Raymond NT, Mughal S, Dodd L, Hanif W, Ahmad Y, Mishra K, Jones A, Kumar S, Szczepura A, Hillhouse EW, Barnett AH; UKADS StudyGroup. Evaluation of delivery of enhanced diabetes care to patients of South Asian ethnicity: the United Kingdom Asian Diabetes Study (UKADS). Diabet Med. 2004 Dec;21(12):1357-65.</t>
  </si>
  <si>
    <t>neil.raymond@warwick.ac.uk</t>
  </si>
  <si>
    <t>Raymond</t>
  </si>
  <si>
    <t>West Midlands general practices</t>
  </si>
  <si>
    <t>didn't adjust for cluster effects because low number of clusters</t>
  </si>
  <si>
    <t>Perria, 2007</t>
  </si>
  <si>
    <t>Implementing a guideline for the treatment of type 2 diabetics: results of a cluster-randomized controlled trial (C-RCT)</t>
  </si>
  <si>
    <t>Perria C, Mandolini D, Guerrera C, Jefferson T, Billi P, Calzini V, Fiorillo A, Grasso G, Leotta S, Marrocco W, Suraci C, Pasquarella A. Implementing a guideline for the treatment of type 2 diabetics: results of a cluster-randomized controlled trial (C-RCT). BMC Health Serv Res. 2007 Jun 4;7:79.</t>
  </si>
  <si>
    <t>perria@asplazio.it</t>
  </si>
  <si>
    <t>Perria</t>
  </si>
  <si>
    <t>primary care setting of Italian National Health Service in Lazio region of Central Italy</t>
  </si>
  <si>
    <t>generalised estimating equation</t>
  </si>
  <si>
    <t>WellDoc mobile diabetes management randomized controlled trial: change in clinical and behavioral outcomes and patient and physician satisfaction</t>
  </si>
  <si>
    <t>Quinn CC, Clough SS, Minor JM, Lender D, Okafor MC, Gruber-Baldini A. WellDoc mobile diabetes management randomized controlled trial: change in clinical and behavioral outcomes and patient and physician satisfaction. Diabetes Technol Ther. 2008 Jun;10(3):160-8.</t>
  </si>
  <si>
    <t>three community physician practices</t>
  </si>
  <si>
    <t>Reiber, 2004</t>
  </si>
  <si>
    <t>Diabetes quality improvement in Department of Veterans Affairs Ambulatory Care Clinics: a group-randomized clinical trial</t>
  </si>
  <si>
    <t>Reiber GE, Au D, McDonell M, Fihn SD. Diabetes quality improvement in Department of Veterans Affairs Ambulatory Care Clinics: a group-randomized clinical trial. Diabetes Care. 2004 May;27 Suppl 2:B61-8.</t>
  </si>
  <si>
    <t>greiber@u.washington.edu</t>
  </si>
  <si>
    <t>Reiber</t>
  </si>
  <si>
    <t>general internal medicine clinics at Department of Veterans Affairs Medical Centres</t>
  </si>
  <si>
    <t xml:space="preserve"> Outcomes of pharmacist-managed diabetes care services in a community health center</t>
  </si>
  <si>
    <t>Scott DM, Boyd ST, Stephan M, Augustine SC, Reardon TP. Outcomes of pharmacist-managed diabetes care services in a community health center. Am J Health Syst Pharm. 2006 Nov 1;63(21):2116-22.</t>
  </si>
  <si>
    <t>david.scott@ndsu.edu</t>
  </si>
  <si>
    <t>Scott</t>
  </si>
  <si>
    <t>Siouxland Community Health Center, Sioux City, Iowa</t>
  </si>
  <si>
    <t>Effect of nurse-directed hypertension treatment among First Nations people with existing hypertension and diabetes mellitus: the Diabetes Risk Evaluation and Microalbuminuria (DREAM 3) randomized controlled trial</t>
  </si>
  <si>
    <t>Tobe SW, Pylypchuk G, Wentworth J, Kiss A, Szalai JP, Perkins N, Hartman S, Ironstand L, Hoppe J. Effect of nurse-directed hypertension treatment among First Nations people with existing hypertension and diabetes mellitus: the Diabetes Risk Evaluation and Microalbuminuria (DREAM 3) randomized controlled trial. CMAJ. 2006 Apr 25;174(9):1267-71.</t>
  </si>
  <si>
    <t>sheldon.tobe@sw.ca</t>
  </si>
  <si>
    <t>Tobe</t>
  </si>
  <si>
    <t>Battlefords Tribal Council Indian Health Services</t>
  </si>
  <si>
    <t>Integrated care for diabetes: clinical, psychosocial, and economic evaluation</t>
  </si>
  <si>
    <t>Naji S. Integrated care for diabetes: clinical, psychosocial, and economic evaluation. Diabetes Integrated Care Evaluation Team. BMJ. 1994 May 7;308(6938):1208-12.</t>
  </si>
  <si>
    <t>sme076@abdn.ac.uk</t>
  </si>
  <si>
    <t>Naji</t>
  </si>
  <si>
    <t>General pratice</t>
  </si>
  <si>
    <t>A pragmatic cluster randomised controlled trial of a Diabetes REcall And Management system: the DREAM trial</t>
  </si>
  <si>
    <t>Eccles MP, Whitty PM, Speed C, Steen IN, Vanoli A, Hawthorne GC, Grimshaw JM, Wood LJ, McDowell D. A pragmatic cluster randomised controlled trial of a Diabetes REcall And Management system: the DREAM trial. Implement Sci. 2007 Feb 16;2:6.</t>
  </si>
  <si>
    <t>martin.eccles@ncl.ac.uk</t>
  </si>
  <si>
    <t>Eccles</t>
  </si>
  <si>
    <t xml:space="preserve">3 Primary Care Trusts in the northeast of England </t>
  </si>
  <si>
    <t>the effect of intervention was estimated using generalised linear model with an appropriate error structure (binomial for binary data, normal for continuous, and negative binomial for count data) and link function (logit for binary data, identity for continuous data, and log for count data). to allow for clustering the patients within practices, population averaged models were estimated using generalized estimating equations.</t>
  </si>
  <si>
    <t>Customized feedback to patients and providers failed to improve safety or quality of diabetes care: a randomized trial</t>
  </si>
  <si>
    <t>O'Connor PJ, Sperl-Hillen J, Johnson PE, Rush WA, Crain AL. Customized feedback to patients and providers failed to improve safety or quality of diabetes care: a randomized trial. Diabetes Care. 2009 Jul;32(7):1158-63.</t>
  </si>
  <si>
    <t>patrick.j.oconnor@healthparnters.com</t>
  </si>
  <si>
    <t>Health Partners Medical Group, Minnesota</t>
  </si>
  <si>
    <t>generalized linear mixed regression models</t>
  </si>
  <si>
    <t>Goderis 2010*</t>
  </si>
  <si>
    <t>Start improving the quality of care for people with type 2 diabetes through a general practice support program: a cluster randomized trial</t>
  </si>
  <si>
    <t>Goderis G, Borgermans L, Grol R, Van Den Broeke C, Boland B, Verbeke G, Carbonez A, Mathieu C, Heyrman J. Start improving the quality of care for people with type 2 diabetes through a general practice support program: a cluster randomized trial. Diabetes Res Clin Pract. 2010 Apr;88(1):56-64.</t>
  </si>
  <si>
    <t>geert.goderis@skynet.be</t>
  </si>
  <si>
    <t>Goderis</t>
  </si>
  <si>
    <t>Primary care practices in Leuven Belgium</t>
  </si>
  <si>
    <t>patient level (GEE)</t>
  </si>
  <si>
    <t>Pharmacist collaborative management of poorly controlled diabetes mellitus: a randomized controlled trial</t>
  </si>
  <si>
    <t>Jameson JP, Baty PJ. Pharmacist collaborative management of poorly controlled diabetes mellitus: a randomized controlled trial. Am J Manag Care. 2010 Apr;16(4):250-5.</t>
  </si>
  <si>
    <t>john@profjameson.com</t>
  </si>
  <si>
    <t>Jameson</t>
  </si>
  <si>
    <t>thirteen primary care offices</t>
  </si>
  <si>
    <t>chi squared</t>
  </si>
  <si>
    <t>Medical clinics versus usual care for patients with both diabetes and hypertension: a randomized trial</t>
  </si>
  <si>
    <t>Edelman D, Fredrickson SK, Melnyk SD, Coffman CJ, Jeffreys AS, Datta S, Jackson GL, Harris AC, Hamilton NS, Stewart H, Stein J, Weinberger M. Medical clinics versus usual care for patients with both diabetes and hypertension: a randomized trial. Ann Intern Med. 2010 Jun 1;152(11):689-96.</t>
  </si>
  <si>
    <t>dedelman@duke.edu</t>
  </si>
  <si>
    <t>Edelman</t>
  </si>
  <si>
    <t>two veteran's primary care centers</t>
  </si>
  <si>
    <t>Active care management supported by home telemonitoring in veterans with type 2 diabetes: the DiaTel randomized controlled trial</t>
  </si>
  <si>
    <t>Stone RA, Rao RH, Sevick MA, Cheng C, Hough LJ, Macpherson DS, Franko CM, Anglin RA, Obrosky DS, Derubertis FR. Active care management supported by home telemonitoring in veterans with type 2 diabetes: the DiaTel randomized controlled trial. Diabetes Care. 2010 Mar;33(3):478-84.</t>
  </si>
  <si>
    <t>Derubertis</t>
  </si>
  <si>
    <t>VA clinics in Pittsburgh, USA</t>
  </si>
  <si>
    <t>A Ubiquitous Chronic Disease Care system using cellular phones and the internet</t>
  </si>
  <si>
    <t>Yoo HJ, Park MS, Kim TN, Yang SJ, Cho GJ, Hwang TG, Baik SH, Choi DS, Park GH, Choi KM. A Ubiquitous Chronic Disease Care system using cellular phones and the internet. Diabet Med. 2009 Jun;26(6):628-35.</t>
  </si>
  <si>
    <t>medica7@korea.ac.kr</t>
  </si>
  <si>
    <t>Choi</t>
  </si>
  <si>
    <t>one university hospital and one public health centre</t>
  </si>
  <si>
    <t>A community-based, culturally tailored behavioral intervention for Korean Americans with type 2 diabetes</t>
  </si>
  <si>
    <t>Kim MT, Han HR, Song HJ, Lee JE, Kim J, Ryu JP, Kim KB. A community-based, culturally tailored behavioral intervention for Korean Americans with type 2 diabetes. Diabetes Educ. 2009 Nov-Dec;35(6):986-94.</t>
  </si>
  <si>
    <t>mkim@son.jhmi.edu</t>
  </si>
  <si>
    <t>Korean Resource Center in Baltimore</t>
  </si>
  <si>
    <t>ancova</t>
  </si>
  <si>
    <t>Diabetes specialist nurse as main care provider for patients with type 2 diabetes</t>
  </si>
  <si>
    <t>Houweling ST, Kleefstra N, van Hateren KJ, Kooy A, Groenier KH, Ten Vergert E, Meyboom-de Jong B, Bilo HJ; Langerhans Medical Research Group. Diabetes specialist nurse as main care provider for patients with type 2 diabetes. Neth J Med. 2009 Jul-Aug;67(7):279-84.</t>
  </si>
  <si>
    <t>The Netherlands</t>
    <phoneticPr fontId="0" type="noConversion"/>
  </si>
  <si>
    <t>diabetes outpatient clinics at two hospitals in Netherlands</t>
  </si>
  <si>
    <t>glm</t>
  </si>
  <si>
    <t>The effects of a nurse case manager and a community health worker team on diabetic control, emergency department visits, and hospitalizations among urban African Americans with type 2 diabetes mellitus: a randomized controlled trial</t>
  </si>
  <si>
    <t>Gary TL, Batts-Turner M, Yeh HC, Hill-Briggs F, Bone LR, Wang NY, Levine DM, Powe NR, Saudek CD, Hill MN, McGuire M, Brancati FL. The effects of a nurse case manager and a community health worker team on diabetic control, emergency department visits, and hospitalizations among urban African Americans with type 2 diabetes mellitus: a randomized controlled trial. Arch Intern Med. 2009 Oct 26;169(19):1788-94.</t>
  </si>
  <si>
    <t>university affiliated managed care organization with 5 sites in underserviced areas of Baltimore</t>
  </si>
  <si>
    <t>Istepanian 2009*</t>
    <phoneticPr fontId="0" type="noConversion"/>
  </si>
  <si>
    <t>Evaluation of a mobile phone telemonitoring system for glycaemic control in patients with diabetes</t>
  </si>
  <si>
    <t>Istepanian RS, Zitouni K, Harry D, Moutosammy N, Sungoor A, Tang B, Earle KA. Evaluation of a mobile phone telemonitoring system for glycaemic control in patients with diabetes. J Telemed Telecare. 2009;15(3):125-8.</t>
  </si>
  <si>
    <t>k.earle@sgul.ac.uk</t>
  </si>
  <si>
    <t>Earle</t>
  </si>
  <si>
    <t>university-associated, inner city diabetes clinic in London</t>
  </si>
  <si>
    <t>Taviera 2009</t>
    <phoneticPr fontId="0" type="noConversion"/>
  </si>
  <si>
    <t>Pharmacist-led group medical appointment model in type 2 diabetes</t>
  </si>
  <si>
    <t>Taveira TH, Friedmann PD, Cohen LB, Dooley AG, Khatana SA, Pirraglia PA, Wu WC. Pharmacist-led group medical appointment model in type 2 diabetes. Diabetes Educ. 2010 Jan-Feb;36(1):109-17.</t>
  </si>
  <si>
    <t>VA Medical Center’s electronic medical
record system</t>
    <phoneticPr fontId="0" type="noConversion"/>
  </si>
  <si>
    <t>Rashid 2009</t>
    <phoneticPr fontId="0" type="noConversion"/>
  </si>
  <si>
    <t>Influence of pharmaceutical care on health outcomes in patients with Type 2 diabetes mellitus</t>
  </si>
  <si>
    <t>Al Mazroui NR, Kamal MM, Ghabash NM, Yacout TA, Kole PL, McElnay JC. Influence of pharmaceutical care on health outcomes in patients with Type 2 diabetes mellitus. Br J Clin Pharmacol. 2009 May;67(5):547-57.</t>
  </si>
  <si>
    <t>j.mcelnay@qub.ac.uk</t>
  </si>
  <si>
    <t>McElnay</t>
  </si>
  <si>
    <t>UAE</t>
    <phoneticPr fontId="0" type="noConversion"/>
  </si>
  <si>
    <t>Endocrinology and medical outpatient clinic of Zayed Military Hospital, UAE, a 400-bed facility</t>
    <phoneticPr fontId="0" type="noConversion"/>
  </si>
  <si>
    <t>Duran 2008</t>
    <phoneticPr fontId="0" type="noConversion"/>
  </si>
  <si>
    <t>Family physician and endocrinologist coordination as the basis for diabetes care in clinical practice</t>
  </si>
  <si>
    <t>Duran A, Runkle I, Matía P, de Miguel MP, Garrido S, Cervera E, Fernandez MD, Torres P, Lillo T, Martin P, Cabrerizo L, de la Torre NG, Calle JR,Ibarra J, Charro AL, Calle-Pascual AL. Family physician and endocrinologist coordination as the basis for diabetes care in clinical practice. BMC Endocr Disord. 2008 Jul 31;8:9.</t>
  </si>
  <si>
    <t>aduranh@hotmail.com</t>
  </si>
  <si>
    <t>Duran</t>
  </si>
  <si>
    <t>Spain</t>
    <phoneticPr fontId="0" type="noConversion"/>
  </si>
  <si>
    <t>57-76</t>
    <phoneticPr fontId="0" type="noConversion"/>
  </si>
  <si>
    <t>St Carlos Hospital, Spain</t>
    <phoneticPr fontId="0" type="noConversion"/>
  </si>
  <si>
    <t>Huang 2010</t>
    <phoneticPr fontId="0" type="noConversion"/>
  </si>
  <si>
    <t>Prospective randomized controlled trial to evaluate effectiveness of registered dietitian-led diabetes management on glycemic and diet control in a primary care setting in Taiwan</t>
  </si>
  <si>
    <t>Huang MC, Hsu CC, Wang HS, Shin SJ. Prospective randomized controlled trial to evaluate effectiveness of registered dietitian-led diabetes management on glycemic and diet control in a primary care setting in Taiwan. Diabetes Care. 2010 Feb;33(2):233-9.</t>
  </si>
  <si>
    <t>sjshin@kmu.edu.tw</t>
  </si>
  <si>
    <t>Shin</t>
  </si>
  <si>
    <t>Taiwan</t>
    <phoneticPr fontId="0" type="noConversion"/>
  </si>
  <si>
    <t>Public health clinics in Koahsiung, Taiwan</t>
    <phoneticPr fontId="0" type="noConversion"/>
  </si>
  <si>
    <t>Ma 2009</t>
    <phoneticPr fontId="0" type="noConversion"/>
  </si>
  <si>
    <t>Case management to reduce risk of cardiovascular disease in a county health care system</t>
  </si>
  <si>
    <t>Ma J, Berra K, Haskell WL, Klieman L, Hyde S, Smith MW, Xiao L, Stafford RS. Case management to reduce risk of cardiovascular disease in a county health care system. Arch Intern Med. 2009 Nov 23;169(21):1988-95.</t>
  </si>
  <si>
    <t>rstafford@stanford.edu</t>
  </si>
  <si>
    <t>Stafford</t>
  </si>
  <si>
    <t>4 San Mateo Medical Center outpatient clinics</t>
    <phoneticPr fontId="0" type="noConversion"/>
  </si>
  <si>
    <t>Newman 2009</t>
    <phoneticPr fontId="0" type="noConversion"/>
  </si>
  <si>
    <t xml:space="preserve"> A randomised controlled trial to compare minimally invasive glucose monitoring devices with conventional monitoring in the management of insulin-treated diabetes mellitus (MITRE)</t>
  </si>
  <si>
    <t>Newman SP, Cooke D, Casbard A, Walker S, Meredith S, Nunn A, Steed L, Manca A, Sculpher M, Barnard M, Kerr D, Weaver J, Ahlquist J, Hurel SJ. A randomised controlled trial to compare minimally invasive glucose monitoring devices with conventional monitoring in the management of insulin-treated diabetes mellitus (MITRE). Health Technol Assess. 2009 May;13(28):iii-iv, ix-xi, 1-194.</t>
  </si>
  <si>
    <t>s.newman@ucl.ac.uk</t>
  </si>
  <si>
    <t>Newman</t>
  </si>
  <si>
    <t>41-63</t>
    <phoneticPr fontId="0" type="noConversion"/>
  </si>
  <si>
    <t>Secondary care diabetes clinics in 4 hospitals in England</t>
    <phoneticPr fontId="0" type="noConversion"/>
  </si>
  <si>
    <t>A Pilot Study to Evaluate the Impact of Pharmacists as Certified Diabetes Educators on the Clinical and Humanistic Outcomes of People with Diabetes</t>
  </si>
  <si>
    <t>Guirguis L, Johnson J, Farris K, Tsuyuki R, Toth E. A Pilot Study to Evaluate the Impact of Pharmacists as Certified Diabetes Educators on the Clinical and Humanistic Outcomes of People with Diabetes. Can J Diabetes Care. 2001;25(4):266-76.</t>
  </si>
  <si>
    <t>jeff.johnson@ualberta.ca</t>
  </si>
  <si>
    <t>Johnson</t>
  </si>
  <si>
    <t>Residents of the Edmonton area</t>
    <phoneticPr fontId="0" type="noConversion"/>
  </si>
  <si>
    <t>Simmons 2004</t>
    <phoneticPr fontId="0" type="noConversion"/>
  </si>
  <si>
    <t>The New Zealand Diabetes Passport Study: a randomized controlled trial of the impact of a diabetes passport on risk factors for diabetes-related complications</t>
  </si>
  <si>
    <t>Simmons D, Gamble GD, Foote S, Cole DR, Coster  G; New Zealand Diabetes Passport Study. The New Zealand Diabetes Passport Study: a randomized controlled trial of the impact of a diabetes passport on risk factors for diabetes-related complications. Diabet Med. 2004 Mar;21(3):214-7.</t>
  </si>
  <si>
    <t>simmonsd@waikatodhb.govt.nz</t>
  </si>
  <si>
    <t>New Zealand</t>
    <phoneticPr fontId="0" type="noConversion"/>
  </si>
  <si>
    <t>Practices in Auckland, Hawkes Bay and Ashburton, New Zealand
New Zealand</t>
    <phoneticPr fontId="0" type="noConversion"/>
  </si>
  <si>
    <t>Menard 2005</t>
    <phoneticPr fontId="0" type="noConversion"/>
  </si>
  <si>
    <t>Efficacy of intensive multitherapy for patients with type 2 diabetes mellitus: a randomized controlled trial</t>
  </si>
  <si>
    <t>Ménard J, Payette H, Baillargeon JP, Maheux P, Lepage S, Tessier D, Ardilouze JL. Efficacy of intensive multitherapy for patients with type 2 diabetes mellitus: a randomized controlled trial. CMAJ. 2005 Dec 6;173(12):1457-66.</t>
  </si>
  <si>
    <t>julie.menard@chus.qc.ca</t>
  </si>
  <si>
    <t>Ménard</t>
  </si>
  <si>
    <t>Diabetes Daycare Centre at hospital in Quebec</t>
    <phoneticPr fontId="0" type="noConversion"/>
  </si>
  <si>
    <t>Reduction of lower extremity clinical abnormalities in patients with non-insulin-dependent diabetes mellitus. A randomized, controlled trial</t>
  </si>
  <si>
    <t>Litzelman DK, Slemenda CW, Langefeld CD, Hays LM, Welch MA, Bild DE, Ford ES, Vinicor F. Reduction of lower extremity clinical abnormalities in patients with non-insulin-dependent diabetes mellitus. A randomized, controlled trial. Ann Intern Med. 1993 Jul 1;119(1):36-41.</t>
  </si>
  <si>
    <t>dklitzel@iupui.edu</t>
  </si>
  <si>
    <t>Litzelman</t>
  </si>
  <si>
    <t>12 to 24 (3-6 for each team)</t>
    <phoneticPr fontId="0" type="noConversion"/>
  </si>
  <si>
    <t>April 1989 to March 1991</t>
  </si>
  <si>
    <t>Academic general medicine practice of the Regenstrief Health Center in Idianapolis, Indiana, USA</t>
  </si>
  <si>
    <t xml:space="preserve">analysis of covariance, logistic regression, qi-sqare, and fisher exact tests were used; methods of Zeger and Liang were also used; </t>
  </si>
  <si>
    <t>Improving care of patients with diabetes and CKD: a pilot study for a cluster-randomized trial</t>
  </si>
  <si>
    <t>Cortés-Sanabria L, Cabrera-Pivaral CE, Cueto-Manzano AM, Rojas-Campos E, Barragán G, Hernández-Anaya M, Martínez-Ramírez HR. Improving care of patients with diabetes and CKD: a pilot study for a cluster-randomized trial. Am J Kidney Dis. 2008 May;51(5):777-88.</t>
  </si>
  <si>
    <t>a_cueto_manzano@hotmail.com</t>
  </si>
  <si>
    <t>Cueto-Manzano</t>
  </si>
  <si>
    <t>July 05-July 06</t>
  </si>
  <si>
    <t>2 primary health care units of the Mexican Institute of Social Security, Guadalajara, Mexico</t>
  </si>
  <si>
    <t>calculation of adjustments to Pearson X2 was performed as recommended for randomized cluster trials</t>
  </si>
  <si>
    <t>Multidisciplinary approach to patients with poorly controlled type 2 diabetes mellitus: a prospective, randomized study</t>
  </si>
  <si>
    <t>Maislos M, Weisman D. Multidisciplinary approach to patients with poorly controlled type 2 diabetes mellitus: a prospective, randomized study. Acta Diabetol. 2004 Jun;41(2):44-8.</t>
  </si>
  <si>
    <t>max@bgumail.bgu.ac.il</t>
  </si>
  <si>
    <t>Maislos</t>
  </si>
  <si>
    <t>primary care clinics in the Western Negev, Israel</t>
  </si>
  <si>
    <t>paired and group t-tests</t>
  </si>
  <si>
    <t>Improving combined diabetes outcomes by adding a simple patient intervention to physician feedback: a cluster randomized trial</t>
  </si>
  <si>
    <t>Weitzman S, Greenfield S, Billimek J, Hava T, Schvartzman P, Yehiel E, Tandeter H, Eilat-Tsanani S, Kaplan SH. Improving combined diabetes outcomes by adding a simple patient intervention to physician feedback: a cluster randomized trial. Isr Med Assoc J. 2009 Dec;11(12):719-24.</t>
  </si>
  <si>
    <t>weitzman@bgu.ac.il</t>
  </si>
  <si>
    <t>Weitzman</t>
  </si>
  <si>
    <t>Jan 2000 to Sept 2003</t>
  </si>
  <si>
    <t>two clinics in the south and two in the north of Israel</t>
  </si>
  <si>
    <t>regression</t>
  </si>
  <si>
    <t>Excluded post Lancet</t>
  </si>
  <si>
    <t>Bridging the quality gap in diabetic hyperlipidemia: a practice-based intervention</t>
  </si>
  <si>
    <t>Mehler PS, Krantz MJ, Lundgren RA, Estacio RO, MacKenzie TD, Petralia L, Hiatt WR. Bridging the quality gap in diabetic hyperlipidemia: a practice-based intervention. Am J Med. 2005 Dec;118(12):1414.</t>
  </si>
  <si>
    <t>pmehler@dhha.org</t>
  </si>
  <si>
    <t>Mehler</t>
  </si>
  <si>
    <t>Denver-Metro area</t>
  </si>
  <si>
    <t>Companion reports (from Lancet):</t>
  </si>
  <si>
    <t>Biermann 2000 (co to 390)</t>
    <phoneticPr fontId="0" type="noConversion"/>
  </si>
  <si>
    <t>Gaede 1999 (co to 5357)</t>
    <phoneticPr fontId="0" type="noConversion"/>
  </si>
  <si>
    <t>Gaede 2003 (co to 5357)</t>
    <phoneticPr fontId="0" type="noConversion"/>
  </si>
  <si>
    <t>Shea, 2007 (co to 5807, 5024)</t>
    <phoneticPr fontId="0" type="noConversion"/>
  </si>
  <si>
    <t>Rothman 2006 (co to 5972)</t>
    <phoneticPr fontId="0" type="noConversion"/>
  </si>
  <si>
    <t>Dijkstra, 2006 (co to 5941)</t>
    <phoneticPr fontId="0" type="noConversion"/>
  </si>
  <si>
    <t>Shea 2006 (co to 5024, 5386)</t>
    <phoneticPr fontId="0" type="noConversion"/>
  </si>
  <si>
    <t>Glasgow 2004 (co to 5996)</t>
    <phoneticPr fontId="0" type="noConversion"/>
  </si>
  <si>
    <t>Rothman, 2004 (co to 5972)</t>
    <phoneticPr fontId="0" type="noConversion"/>
  </si>
  <si>
    <t>Clancy, 2003 (co to 687)</t>
    <phoneticPr fontId="0" type="noConversion"/>
  </si>
  <si>
    <t>Oh 2003</t>
    <phoneticPr fontId="0" type="noConversion"/>
  </si>
  <si>
    <t xml:space="preserve">Kim, 2008 </t>
  </si>
  <si>
    <t>Kim, 2007*</t>
  </si>
  <si>
    <t>Kim 2003</t>
  </si>
  <si>
    <t>Kim 2007 (co 5514, 5531)</t>
  </si>
  <si>
    <t>Kim, 2007 (co 5531, 5512)</t>
    <phoneticPr fontId="0" type="noConversion"/>
  </si>
  <si>
    <t>Cleveringa 2010 (co to 5119)</t>
    <phoneticPr fontId="0" type="noConversion"/>
  </si>
  <si>
    <t>Istepanian 2009 (co to 8164)</t>
    <phoneticPr fontId="0" type="noConversion"/>
  </si>
  <si>
    <t>Kim 2006 (co to 5360)</t>
    <phoneticPr fontId="0" type="noConversion"/>
  </si>
  <si>
    <t>Bosworth (co to 5055)</t>
  </si>
  <si>
    <t>Copub - included</t>
  </si>
  <si>
    <t>Von Korf 2011 (co to 9017)</t>
  </si>
  <si>
    <t>Lin 2012 (co to 9017)</t>
  </si>
  <si>
    <t>Luchsinger 2011 (co to 5024)</t>
  </si>
  <si>
    <t>Fisher 2012 (co to 10385)</t>
  </si>
  <si>
    <t>Piatt 2011 (co to 5774)</t>
  </si>
  <si>
    <t>Weinstock 2011 (co to 5024)</t>
  </si>
  <si>
    <t>Weinstock 2011b (co to 5024)</t>
  </si>
  <si>
    <t>Polonsky 2011b (co to 10385)</t>
  </si>
  <si>
    <t>Obreli-Neto 2011b (co to 10203)</t>
  </si>
  <si>
    <t>Billue 2012 (co to 10171)</t>
  </si>
  <si>
    <t>Glasgow 2010 (co to 10069)</t>
  </si>
  <si>
    <t>Sandbaek 2014 (co to 11241); other copubs: 10796, 12534, 12548 (subgroup)</t>
  </si>
  <si>
    <t>Gilani 2013 (co to 10379)</t>
  </si>
  <si>
    <t>Copub - excluded</t>
  </si>
  <si>
    <t>Borgermans 2009 (co 8004)</t>
  </si>
  <si>
    <t>no RCT (Level 2); secondary analysis of users to non-users breaking randomization</t>
  </si>
  <si>
    <t>Katon 2012 (co to 9017)</t>
  </si>
  <si>
    <t>mixed (Level 5)</t>
  </si>
  <si>
    <t>Vadstrup 2011 (co to 10239)</t>
  </si>
  <si>
    <t>no outcomes (Level 2)</t>
  </si>
  <si>
    <t>Ko 2011 (co 5045)</t>
  </si>
  <si>
    <t>Hamid 2014 (co to 12388)</t>
  </si>
  <si>
    <t>no RCT (Level 2); secondary analysis</t>
  </si>
  <si>
    <t>Effect of an intervention to improve the management of patients with diabetes in primary care practice</t>
  </si>
  <si>
    <t>Alfadda AA, Bin-Abdulrahman KA, Saad HA, Mendoza CDO, Angkaya-Bagayawa FF, Yale JF. Effect of an intervention to improve the management of patients with diabetes in primary care practice. Saudi Med J. 2011; 32(1): 36-40.</t>
  </si>
  <si>
    <t>aalfadda@ksu.edu.sa</t>
  </si>
  <si>
    <t>Alfadda</t>
  </si>
  <si>
    <t>Saudi Arabia</t>
  </si>
  <si>
    <t>Primary care clnic at King Khalid University Hospital in Riyadh</t>
  </si>
  <si>
    <t>Paired t-test and fischer's exact test</t>
  </si>
  <si>
    <t>patient RCT</t>
  </si>
  <si>
    <t>.</t>
  </si>
  <si>
    <t>Frequency</t>
  </si>
  <si>
    <t>Baseline N analyzed - Group 1</t>
  </si>
  <si>
    <t>Baseline N analyzed - Group 2</t>
  </si>
  <si>
    <t>Baseline N analyzed - Group 3</t>
  </si>
  <si>
    <t>Baseline N analyzed - Group 4</t>
  </si>
  <si>
    <t>Post N ASA Group 1</t>
  </si>
  <si>
    <t>Post N ASA Group 2</t>
  </si>
  <si>
    <t>Post N ASA Group 2 Median</t>
  </si>
  <si>
    <t>Post N ASA Group 2 IQR</t>
  </si>
  <si>
    <t>Comparison? (within/between group)</t>
  </si>
  <si>
    <t>Longest follow-up duration</t>
  </si>
  <si>
    <t>ICC Group 1</t>
    <phoneticPr fontId="9" type="noConversion"/>
  </si>
  <si>
    <t>ICC Group 2</t>
    <phoneticPr fontId="9" type="noConversion"/>
  </si>
  <si>
    <t>ICC Group 3</t>
    <phoneticPr fontId="9" type="noConversion"/>
  </si>
  <si>
    <t>ICC Group 4</t>
    <phoneticPr fontId="9" type="noConversion"/>
  </si>
  <si>
    <t>Goderis 2010</t>
  </si>
  <si>
    <t>Griffin 2011</t>
  </si>
  <si>
    <t>Pre N statin Group 1 Median</t>
  </si>
  <si>
    <t>Pre N statin Group 1 IQR</t>
  </si>
  <si>
    <t>Pre N statin Group 2 Median</t>
  </si>
  <si>
    <t>Pre N statin Group 2 IQR</t>
  </si>
  <si>
    <t>Pre N statin Group 3 Median</t>
  </si>
  <si>
    <t>Pre N statin Group 3 IQR</t>
  </si>
  <si>
    <t>Pre N statin Group 4 Median</t>
  </si>
  <si>
    <t>Pre N statin Group 4 IQR</t>
  </si>
  <si>
    <t>Post N statin Group 1</t>
  </si>
  <si>
    <t>Post N statin Group 1 Median</t>
  </si>
  <si>
    <t>Post N statin Group 1 IQR</t>
  </si>
  <si>
    <t>Post N statin Group 2</t>
  </si>
  <si>
    <t>Post N statin Group 2 Median</t>
  </si>
  <si>
    <t>Post N statin Group 2 IQR</t>
  </si>
  <si>
    <t>Post N statin Group 3 Median</t>
  </si>
  <si>
    <t>Post N statin Group 3 IQR</t>
  </si>
  <si>
    <t>Post N statin Group 4 Median</t>
  </si>
  <si>
    <t>Post N statin Group 4 IQR</t>
  </si>
  <si>
    <t>Post N anti-hyp Group 1</t>
  </si>
  <si>
    <t>Post N anti-hyp Group 1 Median</t>
  </si>
  <si>
    <t>Post N anti-hyp Group 1 IQR</t>
  </si>
  <si>
    <t>Post N anti-hyp Group 2</t>
  </si>
  <si>
    <t>Post N anti-hyp Group 2 Median</t>
  </si>
  <si>
    <t>Post N anti-hyp Group 2 IQR</t>
  </si>
  <si>
    <t>Post N anti-hyp Group 3 Median</t>
  </si>
  <si>
    <t>Post N anti-hyp Group 3 IQR</t>
  </si>
  <si>
    <t>Post N anti-hyp Group 4 Median</t>
  </si>
  <si>
    <t>Post N anti-hyp Group 4 IQR</t>
  </si>
  <si>
    <t>Other data that does not fit</t>
    <phoneticPr fontId="10" type="noConversion"/>
  </si>
  <si>
    <t>McDermott 2001</t>
  </si>
  <si>
    <t>Baseline screening interval</t>
  </si>
  <si>
    <t>Pre N screened Group 1</t>
  </si>
  <si>
    <t>Pre N screened Group 1 Median</t>
  </si>
  <si>
    <t>Pre N screened Group 1 IQR</t>
  </si>
  <si>
    <t>Pre N screened Group 2</t>
  </si>
  <si>
    <t>Pre N screened Group 2 Median</t>
  </si>
  <si>
    <t>Pre N screened Group 2 IQR</t>
  </si>
  <si>
    <t>Pre N screened Group 3</t>
  </si>
  <si>
    <t>Pre N screened Group 3 Median</t>
  </si>
  <si>
    <t>Pre N screened Group 3 IQR</t>
  </si>
  <si>
    <t>Pre N screened Group 4 Median</t>
  </si>
  <si>
    <t>Pre N screened Group 4 IQR</t>
  </si>
  <si>
    <t>Post N screened Group 1</t>
  </si>
  <si>
    <t>Post N screened Group 1 Median</t>
  </si>
  <si>
    <t>Post N screened Group 1 IQR</t>
  </si>
  <si>
    <t>Post N screened Group 2</t>
  </si>
  <si>
    <t>Post N screened Group 2 Median</t>
  </si>
  <si>
    <t>Post N screened Group 2 IQR</t>
  </si>
  <si>
    <t>Post N screened Group 3</t>
  </si>
  <si>
    <t>Post N screened Group 3 Median</t>
  </si>
  <si>
    <t>Post N screened Group 3 IQR</t>
  </si>
  <si>
    <t>Post N screened Group 4 Median</t>
  </si>
  <si>
    <t>Post N screened Group 4 IQR</t>
  </si>
  <si>
    <t>Halbert 1999</t>
  </si>
  <si>
    <t>Frijing 2002</t>
  </si>
  <si>
    <t>Ward 1996</t>
  </si>
  <si>
    <t>Kiefe 2001</t>
  </si>
  <si>
    <t>Pre mean LDL Group 1</t>
  </si>
  <si>
    <t>Pre mean LDL Group 2</t>
  </si>
  <si>
    <t>Post mean LDL Group 1</t>
  </si>
  <si>
    <t>WITHIN Group 1 LDL mean difference</t>
  </si>
  <si>
    <t>WITHIN Group 1 LDL mean difference SD</t>
  </si>
  <si>
    <t>WITHIN Group 1 LDL mean difference SE</t>
  </si>
  <si>
    <t>Post mean LDL Group 2</t>
  </si>
  <si>
    <t>WITHIN Group 2 LDL mean difference</t>
  </si>
  <si>
    <t>WITHIN Group 2 LDL mean difference SD</t>
  </si>
  <si>
    <t>WITHIN Group 2 LDL mean difference SE</t>
  </si>
  <si>
    <t>WITHIN Group 3 LDL mean difference</t>
  </si>
  <si>
    <t>WITHIN Group 4 LDL mean difference</t>
  </si>
  <si>
    <t>WITHIN Group 4 LDL mean difference SD</t>
  </si>
  <si>
    <t>WITHIN Group 4 LDL mean difference SE</t>
  </si>
  <si>
    <t>Chan, 2009</t>
  </si>
  <si>
    <t>ICC Group 3</t>
  </si>
  <si>
    <t>ICC Group 4</t>
  </si>
  <si>
    <t>Pre mean SBP Group 1</t>
  </si>
  <si>
    <t>Pre mean SBP Group 2</t>
  </si>
  <si>
    <t>Post mean SBP Group 1</t>
  </si>
  <si>
    <t>Post mean SBP Group 2</t>
  </si>
  <si>
    <t>WITHIN Group 2 SBP mean difference</t>
  </si>
  <si>
    <t>WITHIN Group 2 SBP mean difference SD</t>
  </si>
  <si>
    <t>WITHIN Group 3 SBP mean difference</t>
  </si>
  <si>
    <t>WITHIN Group 3 SBP mean difference SD</t>
  </si>
  <si>
    <t>WITHIN Group 4 SBP mean difference</t>
  </si>
  <si>
    <t>WITHIN Group 4 SBP mean difference SD</t>
  </si>
  <si>
    <t>Mazzuca 1986</t>
  </si>
  <si>
    <t>Pre mean DBP Group 1</t>
  </si>
  <si>
    <t>Pre mean DBP Group 2</t>
  </si>
  <si>
    <t>Post mean DBP Group 1</t>
  </si>
  <si>
    <t>Post mean DBP Group 2</t>
  </si>
  <si>
    <t>WITHIN Group 4 DBP mean difference</t>
  </si>
  <si>
    <t>WITHIN Group 4 DBP mean difference SD</t>
  </si>
  <si>
    <t>Pre N hyper control Group 1</t>
  </si>
  <si>
    <t>Pre N hyper control Group 1 Median</t>
  </si>
  <si>
    <t>Pre N hyper control Group 2</t>
  </si>
  <si>
    <t>Pre N hyper control Group 2 Median</t>
  </si>
  <si>
    <t>Pre N hyper control Group 2 IQR</t>
  </si>
  <si>
    <t>Pre N hyper control Group 3 Median</t>
  </si>
  <si>
    <t>Pre N hyper control Group 3 IQR</t>
  </si>
  <si>
    <t>Pre N hyper control Group 4 Median</t>
  </si>
  <si>
    <t>Pre N hyper control Group 4 IQR</t>
  </si>
  <si>
    <t>Post N hyper control Group 1</t>
  </si>
  <si>
    <t>Post N hyper control Group 1 Median</t>
  </si>
  <si>
    <t>Post N hyper control Group 1 IQR</t>
  </si>
  <si>
    <t>Post N hyper control Group 2</t>
  </si>
  <si>
    <t>Post N hyper control Group 2 Median</t>
  </si>
  <si>
    <t>Post N hyper control Group 3 Median</t>
  </si>
  <si>
    <t>Post N hyper control Group 3 IQR</t>
  </si>
  <si>
    <t>Post N hyper control Group 4 Median</t>
  </si>
  <si>
    <t>Post N hyper control Group 4 IQR</t>
  </si>
  <si>
    <t>New, 2004</t>
  </si>
  <si>
    <t>Type of harm</t>
  </si>
  <si>
    <t>Pre N harms Group 1 Median</t>
  </si>
  <si>
    <t>Pre N harms Group 1 IQR</t>
  </si>
  <si>
    <t>Pre N harms Group 2</t>
  </si>
  <si>
    <t>Pre N harms Group 2 Median</t>
  </si>
  <si>
    <t>Pre N harms Group 2 IQR</t>
  </si>
  <si>
    <t>Pre N harms Group 3</t>
  </si>
  <si>
    <t>Pre N harms Group 3 Median</t>
  </si>
  <si>
    <t>Pre N harms Group 3 IQR</t>
  </si>
  <si>
    <t>Pre N harms Group 4</t>
  </si>
  <si>
    <t>Pre N harms Group 4 Median</t>
  </si>
  <si>
    <t>Pre N harms Group 4 IQR</t>
  </si>
  <si>
    <t>Post N harms Group 1</t>
  </si>
  <si>
    <t>Post N harms Group 1 Median</t>
  </si>
  <si>
    <t>Post N harms Group 1 IQR</t>
  </si>
  <si>
    <t>Post N harms Group 2</t>
  </si>
  <si>
    <t>Post N harms Group 2 Median</t>
  </si>
  <si>
    <t>Post N harms Group 2 IQR</t>
  </si>
  <si>
    <t>Post N harms Group 3</t>
  </si>
  <si>
    <t>Post N harms Group 3 Median</t>
  </si>
  <si>
    <t>Post N harms Group 3 IQR</t>
  </si>
  <si>
    <t>Study-level variables</t>
  </si>
  <si>
    <t>ASA:</t>
  </si>
  <si>
    <t>Statins</t>
  </si>
  <si>
    <t>Anti-hypertensives:</t>
  </si>
  <si>
    <t>Retinopathy screening:</t>
  </si>
  <si>
    <t>Foot screening</t>
  </si>
  <si>
    <t>Renal screening:</t>
  </si>
  <si>
    <t>HBA1c:</t>
  </si>
  <si>
    <t>LDL:</t>
  </si>
  <si>
    <t>SBP:</t>
  </si>
  <si>
    <t>DBP:</t>
  </si>
  <si>
    <t>Hypertension control:</t>
  </si>
  <si>
    <t>Quit smoking:</t>
  </si>
  <si>
    <t>Harms:</t>
  </si>
  <si>
    <t>First author</t>
  </si>
  <si>
    <t>---</t>
  </si>
  <si>
    <t xml:space="preserve">Type of anti-hypertensive </t>
  </si>
  <si>
    <t>Type of screen</t>
  </si>
  <si>
    <t>Type of foot exam</t>
  </si>
  <si>
    <t xml:space="preserve">Type of screening </t>
  </si>
  <si>
    <t>Definition hyper control</t>
  </si>
  <si>
    <t xml:space="preserve">Details </t>
  </si>
  <si>
    <t>RefID</t>
    <phoneticPr fontId="9" type="noConversion"/>
  </si>
  <si>
    <t>Dose (mg)</t>
  </si>
  <si>
    <t xml:space="preserve">Baseline screening interval </t>
  </si>
  <si>
    <t>Smoking counselor</t>
  </si>
  <si>
    <t xml:space="preserve">Intervention screening interval </t>
  </si>
  <si>
    <t>Interventional screening interval</t>
  </si>
  <si>
    <t>Analysis/Allocation</t>
  </si>
  <si>
    <t>Analysis/allocation</t>
  </si>
  <si>
    <t>ICC Group 1</t>
  </si>
  <si>
    <t>ICC Group 2</t>
  </si>
  <si>
    <t>Primary purpose</t>
  </si>
  <si>
    <t xml:space="preserve">Study design  </t>
  </si>
  <si>
    <t xml:space="preserve">No. clusters </t>
  </si>
  <si>
    <t xml:space="preserve">No. providers </t>
  </si>
  <si>
    <t xml:space="preserve">Year </t>
  </si>
  <si>
    <t xml:space="preserve">Country </t>
  </si>
  <si>
    <t>Mean age</t>
  </si>
  <si>
    <t>Pre N ASA Group 1</t>
  </si>
  <si>
    <t>Pre N statin Group 1</t>
  </si>
  <si>
    <t>Pre N anti-hypertensive Group 1</t>
  </si>
  <si>
    <t>Pre N Smokers Group 1</t>
  </si>
  <si>
    <t>Pre N harms Group 1</t>
  </si>
  <si>
    <t>Pre N ASA Group 1 SD</t>
  </si>
  <si>
    <t>Pre N statin Group 1 SD</t>
  </si>
  <si>
    <t>Pre N anti-hypertensive Group 1 SD</t>
  </si>
  <si>
    <t>Pre N screened Group 1 SD</t>
  </si>
  <si>
    <t>Pre  HbA1c  Group 1 SD</t>
  </si>
  <si>
    <t>Pre mean LDL Group 1 SD</t>
  </si>
  <si>
    <t>Pre mean SBP Group 1 SD</t>
  </si>
  <si>
    <t>Pre mean DBP Group 1 SD</t>
  </si>
  <si>
    <t>Pre N hyper control Group 1 SD</t>
  </si>
  <si>
    <t>Pre N Smokers Group 1 SD</t>
  </si>
  <si>
    <t>Pre N harms Group 1 SD</t>
  </si>
  <si>
    <t>% male</t>
  </si>
  <si>
    <t>Pre  HbA1c Group 1 SE</t>
  </si>
  <si>
    <t>Pre mean LDL Group 1 SE</t>
  </si>
  <si>
    <t>Pre mean SBP Group 1 SE</t>
  </si>
  <si>
    <t>Pre mean DBP Group 1 SE</t>
  </si>
  <si>
    <t xml:space="preserve">Setting </t>
  </si>
  <si>
    <t>Pre N ASA Group 1 Median</t>
  </si>
  <si>
    <t>Pre N anti-hypertensive Group 1 Median</t>
  </si>
  <si>
    <t>Pre  HbA1c  Group 1 Median</t>
  </si>
  <si>
    <t>Pre mean LDL Group 1 Median</t>
  </si>
  <si>
    <t>Pre mean SBP Group 1 Median</t>
  </si>
  <si>
    <t>Pre mean DBP Group 1 Median</t>
  </si>
  <si>
    <t>Pre N Smokers Group 1 Median</t>
  </si>
  <si>
    <t xml:space="preserve">Diabetes type </t>
  </si>
  <si>
    <t>Pre N ASA Group 1 IQR</t>
  </si>
  <si>
    <t>Pre N anti-hypertensive Group 1 IQR</t>
  </si>
  <si>
    <t>Pre  HbA1c  Group 1 IQR</t>
  </si>
  <si>
    <t>Pre mean LDL Group 1 IQR</t>
  </si>
  <si>
    <t>Pre mean SBP Group 1 IQR</t>
  </si>
  <si>
    <t>Pre mean DBP Group 1 IQR</t>
  </si>
  <si>
    <t>Pre N hyper control Group 1 IQR</t>
  </si>
  <si>
    <t>Pre N Smokers Group 1 IQR</t>
  </si>
  <si>
    <t>Total N</t>
  </si>
  <si>
    <t>Pre N ASA Group 2</t>
  </si>
  <si>
    <t>Pre N statin Group 2</t>
  </si>
  <si>
    <t>Pre N anti-hypertensive Group 2</t>
  </si>
  <si>
    <t>Pre N Smokers Group 2</t>
  </si>
  <si>
    <t>No. arms</t>
  </si>
  <si>
    <t>Pre N ASA Group 2 SD</t>
  </si>
  <si>
    <t>Pre N statin Group 2 SD</t>
  </si>
  <si>
    <t>Pre N anti-hypertensive Group 2 SD</t>
  </si>
  <si>
    <t>Pre N screened Group 2 SD</t>
  </si>
  <si>
    <t>Pre  HbA1c Group 2 SD</t>
  </si>
  <si>
    <t>Pre mean LDL Group 2 SD</t>
  </si>
  <si>
    <t>Pre mean SBP Group 2 SD</t>
  </si>
  <si>
    <t>Pre mean DBP Group 2 SD</t>
  </si>
  <si>
    <t>Pre N hyper control Group 2 SD</t>
  </si>
  <si>
    <t>Pre N Smokers Group 2 SD</t>
  </si>
  <si>
    <t>Pre N harms Group 2 SD</t>
  </si>
  <si>
    <t>Pre  HbA1c Group 2 SE</t>
  </si>
  <si>
    <t>Pre mean LDL Group 2 SE</t>
  </si>
  <si>
    <t>Pre mean SBP Group 2 SE</t>
  </si>
  <si>
    <t>Pre mean DBP Group 2 SE</t>
  </si>
  <si>
    <t>Pre N ASA Group 2 Median</t>
  </si>
  <si>
    <t>Pre N anti-hypertensive Group 2 Median</t>
  </si>
  <si>
    <t>Pre  HbA1c Group 2 Median</t>
  </si>
  <si>
    <t>Pre mean LDL Group 2 Median</t>
  </si>
  <si>
    <t>Pre mean SBP Group 2 Median</t>
  </si>
  <si>
    <t>Pre mean DBP Group 2 Median</t>
  </si>
  <si>
    <t>Pre N Smokers Group 2 Median</t>
  </si>
  <si>
    <t>Pre N ASA Group 2 IQR</t>
  </si>
  <si>
    <t>Pre N anti-hypertensive Group 2 IQR</t>
  </si>
  <si>
    <t xml:space="preserve"> Pre N screened Group 2 IQR</t>
  </si>
  <si>
    <t>Pre  HbA1c Group 2 IQR</t>
  </si>
  <si>
    <t>Pre mean LDL Group 2 IQR</t>
  </si>
  <si>
    <t>Pre mean SBP Group 2 IQR</t>
  </si>
  <si>
    <t>Pre mean DBP Group 2 IQR</t>
  </si>
  <si>
    <t>Pre N Smokers Group 2 IQR</t>
  </si>
  <si>
    <t>Pre N ASA Group 3</t>
  </si>
  <si>
    <t>Pre N statin Group 3</t>
  </si>
  <si>
    <t>Pre N anti-hypertensive Group 3</t>
  </si>
  <si>
    <t xml:space="preserve">Pre N screened Group 3 </t>
  </si>
  <si>
    <t>Pre mean LDL Group 3</t>
  </si>
  <si>
    <t>Pre mean SBP Group 3</t>
  </si>
  <si>
    <t>Pre mean DBP Group 3</t>
  </si>
  <si>
    <t>Pre N hyper control Group 3</t>
  </si>
  <si>
    <t>Pre N Smokers Group 3</t>
  </si>
  <si>
    <t xml:space="preserve">Patients blinded </t>
  </si>
  <si>
    <t>Pre N ASA Group 3 SD</t>
  </si>
  <si>
    <t>Pre N statin Group 3 SD</t>
  </si>
  <si>
    <t>Pre N anti-hypertensive Group 3 SD</t>
  </si>
  <si>
    <t>Pre N screened Group 3 SD</t>
  </si>
  <si>
    <t>Pre  HbA1c Group 3 SD</t>
  </si>
  <si>
    <t>Pre mean LDL Group 3 SD</t>
  </si>
  <si>
    <t>Pre mean SBP Group 3 SD</t>
  </si>
  <si>
    <t>Pre mean DBP Group 3 SD</t>
  </si>
  <si>
    <t>Pre N hyper control Group 3 SD</t>
  </si>
  <si>
    <t>Pre N Smokers Group 3 SD</t>
  </si>
  <si>
    <t>Pre N harms Group 3 SD</t>
  </si>
  <si>
    <t xml:space="preserve">Assessors blinded </t>
  </si>
  <si>
    <t>Pre  HbA1c Group 3 SE</t>
  </si>
  <si>
    <t>Pre mean LDL Group 3 SE</t>
  </si>
  <si>
    <t>Pre mean SBP Group 3 SE</t>
  </si>
  <si>
    <t>Pre mean DBP Group 3 SE</t>
  </si>
  <si>
    <t xml:space="preserve">Physicians/organizations blinded </t>
  </si>
  <si>
    <t>Pre N ASA Group 3 Median</t>
  </si>
  <si>
    <t>Pre N anti-hypertensive Group 3 Median</t>
  </si>
  <si>
    <t>Pre N screened Group 3  Median</t>
  </si>
  <si>
    <t>Pre  HbA1c Group 3 Median</t>
  </si>
  <si>
    <t>Pre mean LDL Group 3 Median</t>
  </si>
  <si>
    <t>Pre mean SBP Group 3 Median</t>
  </si>
  <si>
    <t>Pre mean DBP Group 3 Median</t>
  </si>
  <si>
    <t>Pre N Smokers Group 3 Median</t>
  </si>
  <si>
    <t xml:space="preserve">Duration of intervention </t>
  </si>
  <si>
    <t>Pre N ASA Group 3 IQR</t>
  </si>
  <si>
    <t>Pre N anti-hypertensive Group 3 IQR</t>
  </si>
  <si>
    <t>Pre  HbA1c Group 3 IQR</t>
  </si>
  <si>
    <t>Pre mean LDL Group 3 IQR</t>
  </si>
  <si>
    <t>Pre mean SBP Group 3 IQR</t>
  </si>
  <si>
    <t>Pre mean DBP Group 3 IQR</t>
  </si>
  <si>
    <t>Pre N Smokers Group 3 IQR</t>
  </si>
  <si>
    <t>Pre N ASA Group 4</t>
  </si>
  <si>
    <t>Pre N statin Group 4</t>
  </si>
  <si>
    <t>Pre N anti-hypertensive Group 4</t>
  </si>
  <si>
    <t>Pre N screened Group 4</t>
  </si>
  <si>
    <t>Pre mean LDL Group 4</t>
  </si>
  <si>
    <t>Pre mean SBP Group 4</t>
  </si>
  <si>
    <t>Pre mean DBP Group 4</t>
  </si>
  <si>
    <t>Pre N hyper control Group 4</t>
  </si>
  <si>
    <t>Pre N Smokers Group 4</t>
  </si>
  <si>
    <t xml:space="preserve"> Type of Analysis</t>
  </si>
  <si>
    <t>Pre N ASA Group 4 SD</t>
  </si>
  <si>
    <t>Pre N statin Group 4 SD</t>
  </si>
  <si>
    <t>Pre N anti-hypertensive Group 4 SD</t>
  </si>
  <si>
    <t>Pre N screened Group 4 SD</t>
  </si>
  <si>
    <t>Pre  HbA1c  Group 4 SD</t>
  </si>
  <si>
    <t>Pre mean LDL Group 4 SD</t>
  </si>
  <si>
    <t>Pre mean SBP Group 4 SD</t>
  </si>
  <si>
    <t>Pre mean DBP Group 4 SD</t>
  </si>
  <si>
    <t>Pre N hyper control Group 4 SD</t>
  </si>
  <si>
    <t>Pre N Smokers Group 4 SD</t>
  </si>
  <si>
    <t>Pre N harms Group 4 SD</t>
  </si>
  <si>
    <t xml:space="preserve">Longest follow-up duration </t>
  </si>
  <si>
    <t>Pre  HbA1c Group 4 SE</t>
  </si>
  <si>
    <t>Pre mean LDL Group 4 SE</t>
  </si>
  <si>
    <t>Pre mean SBP Group 4 SE</t>
  </si>
  <si>
    <t>Pre mean DBP Group 4 SE</t>
  </si>
  <si>
    <t>Type of analysis</t>
    <phoneticPr fontId="9" type="noConversion"/>
  </si>
  <si>
    <t>Pre N ASA Group 4 Median</t>
  </si>
  <si>
    <t>Pre N anti-hypertensive Group 4 Median</t>
  </si>
  <si>
    <t>Pre  HbA1c Group 4 Median</t>
  </si>
  <si>
    <t>Pre mean LDL Group 4 Median</t>
  </si>
  <si>
    <t>Pre mean SBP Group 4 Median</t>
  </si>
  <si>
    <t>Pre mean DBP Group 4 Median</t>
  </si>
  <si>
    <t>Pre N Smokers Group 4 Median</t>
  </si>
  <si>
    <t>ROB</t>
    <phoneticPr fontId="9" type="noConversion"/>
  </si>
  <si>
    <t>Pre N ASA Group 4 IQR</t>
  </si>
  <si>
    <t>Pre N anti-hypertensive Group 4 IQR</t>
  </si>
  <si>
    <t>Pre  HbA1c Group 4 IQR</t>
  </si>
  <si>
    <t>Pre mean LDL Group 4 IQR</t>
  </si>
  <si>
    <t>Pre mean SBP Group 4 IQR</t>
  </si>
  <si>
    <t>Pre mean DBP Group 4 IQR</t>
  </si>
  <si>
    <t>Pre N Smokers Group 4 IQR</t>
  </si>
  <si>
    <t>QI</t>
    <phoneticPr fontId="9" type="noConversion"/>
  </si>
  <si>
    <t>p-value BETWEEN group comparison #1 (pre)</t>
  </si>
  <si>
    <t>Outcomes - presence or absence of outcomes</t>
  </si>
  <si>
    <t>p-value BETWEEN group comparison #2 (pre)</t>
  </si>
  <si>
    <t>p-value BETWEEN group comparison #3 (pre)</t>
  </si>
  <si>
    <t>Post N group 1</t>
  </si>
  <si>
    <t>Post N group 2</t>
  </si>
  <si>
    <t>Post N group 3</t>
  </si>
  <si>
    <t>Post N group 4</t>
  </si>
  <si>
    <t>Post N Smokers Group 1</t>
  </si>
  <si>
    <t>Post N ASA Group 1 SD</t>
  </si>
  <si>
    <t>Post N statin Group 1 SD</t>
  </si>
  <si>
    <t>Post N anti-hyp Group 1 SD</t>
  </si>
  <si>
    <t>Post N screened Group 1 SD</t>
  </si>
  <si>
    <t>Post HbA1c  Group 1 SD</t>
  </si>
  <si>
    <t>Post mean LDL Group 1 SD</t>
  </si>
  <si>
    <t>Post mean SBP Group 1 SD</t>
  </si>
  <si>
    <t>Post mean DBP Group 1 SD</t>
  </si>
  <si>
    <t>Post N hyper control Group 1 SD</t>
  </si>
  <si>
    <t>Post N Smokers Group 1 SD</t>
  </si>
  <si>
    <t>Post N harms Group 1 SD</t>
  </si>
  <si>
    <t>Post HbA1c  Group 1 SE</t>
  </si>
  <si>
    <t>Post mean LDL Group 1 SE</t>
  </si>
  <si>
    <t>Post mean SBP Group 1 SE</t>
  </si>
  <si>
    <t>Post mean DBP Group 1 SE</t>
  </si>
  <si>
    <t>Post N ASA Group 1 Median</t>
  </si>
  <si>
    <t>Post HbA1c  Group 1 Median</t>
  </si>
  <si>
    <t>Post mean LDL Group 1 Median</t>
  </si>
  <si>
    <t>Post mean SBP Group 1 Median</t>
  </si>
  <si>
    <t>Post mean DBP Group 1 Median</t>
  </si>
  <si>
    <t>Post N Smokers Group 1 Median</t>
  </si>
  <si>
    <t>Post N ASA Group 1 IQR</t>
  </si>
  <si>
    <t>Post HbA1c  Group 1 IQR</t>
  </si>
  <si>
    <t>Post mean LDL Group 1 IQR</t>
  </si>
  <si>
    <t>Post mean SBP Group 1 IQR</t>
  </si>
  <si>
    <t>Post mean DBP Group 1 IQR</t>
  </si>
  <si>
    <t>Post N Smokers Group 1 IQR</t>
  </si>
  <si>
    <t>WITHIN Group 1 HbA1c mean (%) difference</t>
  </si>
  <si>
    <t>WITHIN Group 1 SBP  mean difference</t>
  </si>
  <si>
    <t>WITHIN Group 1 DBP  mean difference</t>
  </si>
  <si>
    <t>WITHIN Group 1 HbA1c mean (%) difference SD</t>
  </si>
  <si>
    <t>WITHIN Group 1 SBP  mean difference SD</t>
  </si>
  <si>
    <t>WITHIN Group 1 DBP  mean difference SD</t>
  </si>
  <si>
    <t>WITHIN Group 1 SBP  mean difference SE</t>
  </si>
  <si>
    <t>WITHIN Group 1 DBP  mean difference SE</t>
  </si>
  <si>
    <t>WITHIN Group 1 LDL mean difference Lower confidence limit</t>
  </si>
  <si>
    <t>WITHIN Group 1 SBP  mean difference Lower confidence limit</t>
  </si>
  <si>
    <t>WITHIN Group 1 DBP  mean difference Lower confidence limit</t>
  </si>
  <si>
    <t>WITHIN Group 1 LDL mean difference Upper confidence limit</t>
  </si>
  <si>
    <t>WITHIN Group 1 SBP  mean difference Upper confidence limit</t>
  </si>
  <si>
    <t>WITHIN Group 1 DBP  mean difference Upper confidence limit</t>
  </si>
  <si>
    <t>WITHIN Group 1 p-value</t>
  </si>
  <si>
    <t>Post N Smokers Group 2</t>
  </si>
  <si>
    <t>Post N ASA Group 2 SD</t>
  </si>
  <si>
    <t>Post N statin Group 2 SD</t>
  </si>
  <si>
    <t>Post N anti-hyp Group 2 SD</t>
  </si>
  <si>
    <t>Post N screened Group 2 SD</t>
  </si>
  <si>
    <t>Post HbA1c  Group 2 SD</t>
  </si>
  <si>
    <t>Post mean LDL Group 2 SD</t>
  </si>
  <si>
    <t>Post mean SBP Group 2 SD</t>
  </si>
  <si>
    <t>Post mean DBP Group 2 SD</t>
  </si>
  <si>
    <t>Post N hyper control Group 2 SD</t>
  </si>
  <si>
    <t>Post N Smokers Group 2 SD</t>
  </si>
  <si>
    <t>Post N harms Group 2 SD</t>
  </si>
  <si>
    <t>Post HbA1c  Group 2 SE</t>
  </si>
  <si>
    <t>Post mean LDL Group 2 SE</t>
  </si>
  <si>
    <t>Post mean SBP Group 2 SE</t>
  </si>
  <si>
    <t>Post mean DBP Group 2 SE</t>
  </si>
  <si>
    <t>Post HbA1c  Group 2 Median</t>
  </si>
  <si>
    <t>Post mean LDL Group 2 Median</t>
  </si>
  <si>
    <t>Post mean SBP Group 2 Median</t>
  </si>
  <si>
    <t>Post mean DBP Group 2 Median</t>
  </si>
  <si>
    <t>Post N Smokers Group 2 Median</t>
  </si>
  <si>
    <t>Post HbA1c  Group 2 IQR</t>
  </si>
  <si>
    <t>Post mean LDL Group 2 IQR</t>
  </si>
  <si>
    <t>Post mean SBP Group 2 IQR</t>
  </si>
  <si>
    <t>Post mean DBP Group 2 IQR</t>
  </si>
  <si>
    <t xml:space="preserve"> Post N hyper control Group 2 IQR</t>
  </si>
  <si>
    <t xml:space="preserve"> Post N Smokers Group 2 IQR</t>
  </si>
  <si>
    <t>WITHIN Group 2 HbA1c mean (%) difference</t>
  </si>
  <si>
    <t>WITHIN Group 2 DBP  mean difference</t>
  </si>
  <si>
    <t>WITHIN Group 2 HbA1c mean (%) difference SD</t>
  </si>
  <si>
    <t>WITHIN Group 2 DBP  mean difference SD</t>
  </si>
  <si>
    <t>WITHIN Group 2 SBP mean difference SE</t>
  </si>
  <si>
    <t>WITHIN Group 2 DBP  mean difference SE</t>
  </si>
  <si>
    <t>WITHIN Group 2 LDL mean difference Lower confidence limit</t>
  </si>
  <si>
    <t>WITHIN Group 2 SBP mean difference Lower confidence limit</t>
  </si>
  <si>
    <t>WITHIN Group 2 DBP  mean difference Lower confidence limit</t>
  </si>
  <si>
    <t>WITHIN Group 2 LDL mean difference Upper confidence limit</t>
  </si>
  <si>
    <t>WITHIN Group 2 SBP mean difference Upper confidence limit</t>
  </si>
  <si>
    <t>WITHIN Group 2 DBP  mean difference Upper confidence limit</t>
  </si>
  <si>
    <t>WITHIN Group 2 p-value</t>
  </si>
  <si>
    <t>Post N ASA Group 3</t>
  </si>
  <si>
    <t>Post N statin Group 3</t>
  </si>
  <si>
    <t>Post N anti-hyp Group 3</t>
  </si>
  <si>
    <t>Post mean LDL Group 3</t>
  </si>
  <si>
    <t>Post mean SBP Group 3</t>
  </si>
  <si>
    <t>Post mean DBP Group 3</t>
  </si>
  <si>
    <t>Post N hyper control Group 3</t>
  </si>
  <si>
    <t>Post N Smokers Group 3</t>
  </si>
  <si>
    <t>Post N ASA Group 3 SD</t>
  </si>
  <si>
    <t>Post N statin Group 3 SD</t>
  </si>
  <si>
    <t>Post N anti-hyp Group 3 SD</t>
  </si>
  <si>
    <t>Post N screened Group 3 SD</t>
  </si>
  <si>
    <t>Post HbA1c  Group 3 SD</t>
  </si>
  <si>
    <t>Post mean LDL Group 3 SD</t>
  </si>
  <si>
    <t>Post mean SBP Group 3 SD</t>
  </si>
  <si>
    <t>Post mean DBP Group 3 SD</t>
  </si>
  <si>
    <t>Post N hyper control Group 3 SD</t>
  </si>
  <si>
    <t>Post N Smokers Group 3 SD</t>
  </si>
  <si>
    <t>Post N harms Group 3 SD</t>
  </si>
  <si>
    <t>Post HbA1c  Group 3 SE</t>
  </si>
  <si>
    <t>Post mean LDL Group 3 SE</t>
  </si>
  <si>
    <t>Post mean SBP Group 3 SE</t>
  </si>
  <si>
    <t>Post mean DBP Group 3 SE</t>
  </si>
  <si>
    <t>Post N ASA Group 3 Median</t>
  </si>
  <si>
    <t>Post HbA1c  Group 3 Median</t>
  </si>
  <si>
    <t>Post mean LDL Group 3 Median</t>
  </si>
  <si>
    <t xml:space="preserve"> Post mean SBP Group 3 Median</t>
  </si>
  <si>
    <t>Post mean DBP Group 3 Median</t>
  </si>
  <si>
    <t>Post N Smokers Group 3 Median</t>
  </si>
  <si>
    <t>Post N ASA Group 3 IQR</t>
  </si>
  <si>
    <t>Post HbA1c  Group 3 IQR</t>
  </si>
  <si>
    <t>Post mean LDL Group 3 IQR</t>
  </si>
  <si>
    <t>Post mean SBP Group 3 IQR</t>
  </si>
  <si>
    <t>Post mean DBP Group 3 IQR</t>
  </si>
  <si>
    <t>Post N Smokers Group 3 IQR</t>
  </si>
  <si>
    <t>WITHIN Group 3 HbA1c mean (%) difference</t>
  </si>
  <si>
    <t>WITHIN Group 3 DBP  mean difference</t>
  </si>
  <si>
    <t>WITHIN Group 3 HbA1c mean (%) difference SD</t>
  </si>
  <si>
    <t>WITHIN Group 3 SBP mean difference SE</t>
  </si>
  <si>
    <t>WITHIN Group 3 SBP mean difference Lower confidence limit</t>
  </si>
  <si>
    <t>WITHIN Group 3 SBP mean difference Upper confidence limit</t>
  </si>
  <si>
    <t>WITHIN Group 3 p-value</t>
  </si>
  <si>
    <t>Post N ASA Group 4</t>
  </si>
  <si>
    <t>Post N statin Group 4</t>
  </si>
  <si>
    <t>Post N anti-hyp Group 4</t>
  </si>
  <si>
    <t>Post N screened Group 4</t>
  </si>
  <si>
    <t>Post mean LDL Group 4</t>
  </si>
  <si>
    <t>Post mean SBP Group 4</t>
  </si>
  <si>
    <t>Post mean DBP Group 4</t>
  </si>
  <si>
    <t>Post N hyper control Group 4</t>
  </si>
  <si>
    <t>Post N Smokers Group 4</t>
  </si>
  <si>
    <t xml:space="preserve">Post N harms Group 4 </t>
  </si>
  <si>
    <t>Post N ASA Group 4 SD</t>
  </si>
  <si>
    <t>Post N statin Group 4 SD</t>
  </si>
  <si>
    <t>Post N anti-hyp Group 4 SD</t>
  </si>
  <si>
    <t>Post N screened Group 4 SD</t>
  </si>
  <si>
    <t>Post HbA1c  Group 4 SD</t>
  </si>
  <si>
    <t>Post mean LDL Group 4 SD</t>
  </si>
  <si>
    <t>Post mean SBP Group 4 SD</t>
  </si>
  <si>
    <t>Post mean DBP Group 4 SD</t>
  </si>
  <si>
    <t>Post N hyper control Group 4 SD</t>
  </si>
  <si>
    <t>Post N Smokers Group 4SD</t>
  </si>
  <si>
    <t>Post N harms Group 4 SD</t>
  </si>
  <si>
    <t>Post HbA1c  Group 4 SE</t>
  </si>
  <si>
    <t>Post mean LDL Group 4 SE</t>
  </si>
  <si>
    <t>Post mean SBP Group 4 SE</t>
  </si>
  <si>
    <t>Post mean DBP Group 4 SE</t>
  </si>
  <si>
    <t>Post N ASA Group 4 Median</t>
  </si>
  <si>
    <t>Post HbA1c  Group 4 Median</t>
  </si>
  <si>
    <t>Post mean LDL Group 4 Median</t>
  </si>
  <si>
    <t>Post mean SBP Group 4 Median</t>
  </si>
  <si>
    <t>Post mean DBP Group 4 Median</t>
  </si>
  <si>
    <t>Post N Smokers Group 4 Median</t>
  </si>
  <si>
    <t>Post N harms Group 4  Median</t>
  </si>
  <si>
    <t>Post N ASA Group 4 IQR</t>
  </si>
  <si>
    <t>Post HbA1c  Group 4 IQR</t>
  </si>
  <si>
    <t>Post mean LDL Group 4 IQR</t>
  </si>
  <si>
    <t>Post mean SBP Group 4 IQR</t>
  </si>
  <si>
    <t>Post mean DBP Group 4 IQR</t>
  </si>
  <si>
    <t>Post N Smokers Group 4 IQR</t>
  </si>
  <si>
    <t>Post N harms Group 4  IQR</t>
  </si>
  <si>
    <t>WITHIN Group 4 HbA1c mean (%) difference</t>
  </si>
  <si>
    <t>WITHIN Group 4 HbA1c mean (%) difference SD</t>
  </si>
  <si>
    <t>WITHIN Group 4 SBP mean difference SE</t>
  </si>
  <si>
    <t>WITHIN Group 4 DBP mean difference SE</t>
  </si>
  <si>
    <t>WITHIN Group 4 LDL mean difference Lower confidence limit</t>
  </si>
  <si>
    <t>WITHIN Group 4 SBP mean difference Lower confidence limit</t>
  </si>
  <si>
    <t>WITHIN Group 4 DBP mean difference Lower confidence limit</t>
  </si>
  <si>
    <t>WITHIN Group 4 LDL mean difference Upper confidence limit</t>
  </si>
  <si>
    <t>WITHIN Group 4 SBP mean difference Upper confidence limit</t>
  </si>
  <si>
    <t>WITHIN Group 4 DBP mean difference Upper confidence limit</t>
  </si>
  <si>
    <t>WITHIN Group 4 p-value</t>
  </si>
  <si>
    <t>BETWEEN group HbA1c mean (%) difference #1  (post)</t>
  </si>
  <si>
    <t>BETWEEN group LDL  mean difference #1  (post)</t>
  </si>
  <si>
    <t>BETWEEN group SBP  mean difference #1  (post)</t>
  </si>
  <si>
    <t>BETWEEN group DBP  mean difference #1  (post)</t>
  </si>
  <si>
    <t>p-value BETWEEN group comparison #1 (post)</t>
  </si>
  <si>
    <t>p-value BETWEEN group comparison #1  (post)</t>
  </si>
  <si>
    <t>Which groups? (post)</t>
  </si>
  <si>
    <t>BETWEEN group HbA1c mean (%) difference #2  (post)</t>
  </si>
  <si>
    <t>BETWEEN group LDL  mean difference #2  (post)</t>
  </si>
  <si>
    <t>BETWEEN group SBP  mean difference #2 (post)</t>
  </si>
  <si>
    <t>BETWEEN group DBP  mean difference #2 (post)</t>
  </si>
  <si>
    <t>p-value BETWEEN group comparison #2 (post)</t>
  </si>
  <si>
    <t>BETWEEN group HbA1c mean (%) difference #3  (post)</t>
  </si>
  <si>
    <t>BETWEEN group LDL  mean difference #3  (post)</t>
  </si>
  <si>
    <t>BETWEEN group SBP  mean difference #3  (post)</t>
  </si>
  <si>
    <t>BETWEEN group DBP  mean difference #3  (post)</t>
  </si>
  <si>
    <t>p-value BETWEEN group comparison #3 (post)</t>
  </si>
  <si>
    <t>Longest duratio of follow-up</t>
  </si>
  <si>
    <t xml:space="preserve">Other data that does not fit </t>
  </si>
  <si>
    <t xml:space="preserve">Other data that doesn’t fit </t>
  </si>
  <si>
    <t>If other data reported doesn't fit</t>
  </si>
  <si>
    <t>Other data that does not fit</t>
  </si>
  <si>
    <t>Abbreviations</t>
    <phoneticPr fontId="10" type="noConversion"/>
  </si>
  <si>
    <t>Guidance relevant to all extractions or other notes</t>
    <phoneticPr fontId="10" type="noConversion"/>
  </si>
  <si>
    <t>Admin: administrator</t>
    <phoneticPr fontId="10" type="noConversion"/>
  </si>
  <si>
    <t>Anti-hyp: anti-hypertensive</t>
    <phoneticPr fontId="10" type="noConversion"/>
  </si>
  <si>
    <t>General notes</t>
    <phoneticPr fontId="10" type="noConversion"/>
  </si>
  <si>
    <t>ASA: aspirin</t>
    <phoneticPr fontId="10" type="noConversion"/>
  </si>
  <si>
    <t>1) Is this study relevant? Please first check to see that you agree with the study being included - we are including RCTs or quasi-RCTs examining QI interventions for adult outpatients with type 1 or type 2 diabetes</t>
    <phoneticPr fontId="10" type="noConversion"/>
  </si>
  <si>
    <t>DBP: diastolic blood pressure</t>
    <phoneticPr fontId="10" type="noConversion"/>
  </si>
  <si>
    <r>
      <rPr>
        <sz val="10"/>
        <rFont val="Verdana"/>
        <family val="2"/>
      </rPr>
      <t>2</t>
    </r>
    <r>
      <rPr>
        <sz val="10"/>
        <rFont val="Verdana"/>
        <family val="2"/>
      </rPr>
      <t>) If it is not applicable (i.e., asking for cluster data but not a cluster-RCT) please put NA</t>
    </r>
  </si>
  <si>
    <t>LDL: low-density lipoprotein</t>
    <phoneticPr fontId="10" type="noConversion"/>
  </si>
  <si>
    <r>
      <rPr>
        <sz val="10"/>
        <rFont val="Verdana"/>
        <family val="2"/>
      </rPr>
      <t>3</t>
    </r>
    <r>
      <rPr>
        <sz val="10"/>
        <rFont val="Verdana"/>
        <family val="2"/>
      </rPr>
      <t>) Group 1 should be the reference group (i.e., the control group)</t>
    </r>
    <r>
      <rPr>
        <sz val="10"/>
        <rFont val="Verdana"/>
        <family val="2"/>
      </rPr>
      <t>; remaining arms are placed in order of increasing level of intervention intensity</t>
    </r>
  </si>
  <si>
    <t>N: number of patients</t>
    <phoneticPr fontId="10" type="noConversion"/>
  </si>
  <si>
    <r>
      <rPr>
        <sz val="10"/>
        <rFont val="Verdana"/>
        <family val="2"/>
      </rPr>
      <t>4</t>
    </r>
    <r>
      <rPr>
        <sz val="10"/>
        <rFont val="Verdana"/>
        <family val="2"/>
      </rPr>
      <t xml:space="preserve">) Post N = # participants after the intervention. If they used an intention-to-treat analysis, use the #s that they report but if the sample size at the end of the study is not reported and it's an intention-to-treat analysis, use the same # of particpants as reported at baseline. </t>
    </r>
  </si>
  <si>
    <t>NS: not significant (for p-values)</t>
    <phoneticPr fontId="10" type="noConversion"/>
  </si>
  <si>
    <r>
      <rPr>
        <sz val="10"/>
        <rFont val="Verdana"/>
        <family val="2"/>
      </rPr>
      <t>5</t>
    </r>
    <r>
      <rPr>
        <sz val="10"/>
        <rFont val="Verdana"/>
        <family val="2"/>
      </rPr>
      <t>) Follow-up duration= This is the amount of time that the participants were followed, including the duration of the intervention. For example, if the intervention was 3 months and the follow-up period was 10 months after intervention, the follow-up duration is 13 months</t>
    </r>
  </si>
  <si>
    <t>QI: quality improvement</t>
    <phoneticPr fontId="10" type="noConversion"/>
  </si>
  <si>
    <r>
      <rPr>
        <sz val="10"/>
        <rFont val="Verdana"/>
        <family val="2"/>
      </rPr>
      <t>6</t>
    </r>
    <r>
      <rPr>
        <sz val="10"/>
        <rFont val="Verdana"/>
        <family val="2"/>
      </rPr>
      <t>) For crossover trials, please only abstract data from the first time period comparison (i.e., before the groups crossed over)</t>
    </r>
  </si>
  <si>
    <t>QoL: Quality of life</t>
    <phoneticPr fontId="10" type="noConversion"/>
  </si>
  <si>
    <t>Retin: retinopathy</t>
    <phoneticPr fontId="10" type="noConversion"/>
  </si>
  <si>
    <t>SBP: systolic blood pressure</t>
    <phoneticPr fontId="10" type="noConversion"/>
  </si>
  <si>
    <t>Excel specific notes (not relevant to DSR):</t>
    <phoneticPr fontId="10" type="noConversion"/>
  </si>
  <si>
    <t>SD: standard deviation</t>
    <phoneticPr fontId="10" type="noConversion"/>
  </si>
  <si>
    <r>
      <rPr>
        <sz val="10"/>
        <rFont val="Verdana"/>
        <family val="2"/>
      </rPr>
      <t>7</t>
    </r>
    <r>
      <rPr>
        <sz val="10"/>
        <rFont val="Verdana"/>
        <family val="2"/>
      </rPr>
      <t xml:space="preserve">) Pink colour = study is a companion report and the other study is the major publication. Longest duration of follow-up used to determine primary report. Earlier paper would be companion report. </t>
    </r>
  </si>
  <si>
    <t>SE: standard error</t>
    <phoneticPr fontId="10" type="noConversion"/>
  </si>
  <si>
    <r>
      <rPr>
        <sz val="10"/>
        <rFont val="Verdana"/>
        <family val="2"/>
      </rPr>
      <t>8</t>
    </r>
    <r>
      <rPr>
        <sz val="10"/>
        <rFont val="Verdana"/>
        <family val="2"/>
      </rPr>
      <t>) Salmon colour = not included in original analysis (b/c no difference between arms with respect to QIs coded, but will be included now)</t>
    </r>
  </si>
  <si>
    <t>Answers for study quality</t>
    <phoneticPr fontId="10" type="noConversion"/>
  </si>
  <si>
    <t>Yes</t>
    <phoneticPr fontId="10" type="noConversion"/>
  </si>
  <si>
    <t>No</t>
    <phoneticPr fontId="10" type="noConversion"/>
  </si>
  <si>
    <t>Unclear</t>
    <phoneticPr fontId="10" type="noConversion"/>
  </si>
  <si>
    <t>Study Comparision numbers</t>
  </si>
  <si>
    <t>1=usual care, 2=enhanced usual care (pt-mediated), 3=control received subset of intervention, 4=head-to-head</t>
  </si>
  <si>
    <t>Variables</t>
    <phoneticPr fontId="10" type="noConversion"/>
  </si>
  <si>
    <t>Definition</t>
  </si>
  <si>
    <t>Study-level variables</t>
    <phoneticPr fontId="10" type="noConversion"/>
  </si>
  <si>
    <t>First author of MAJOR publication. If it is a companion report, please indicate (e.g., co to RefID) and only abstract data from the MAJOR publication, unless other outcomes are only reported in companion reports</t>
  </si>
  <si>
    <t>RefID</t>
    <phoneticPr fontId="10" type="noConversion"/>
  </si>
  <si>
    <t>From Distiller</t>
    <phoneticPr fontId="10" type="noConversion"/>
  </si>
  <si>
    <t>To be extracted by Mostafa for survey</t>
  </si>
  <si>
    <t>RCT, clustered-RCT, cross-over RCT, quasi-RCT; ensure to double-check this data</t>
  </si>
  <si>
    <r>
      <t xml:space="preserve">For cluster-RCTs only: </t>
    </r>
    <r>
      <rPr>
        <sz val="12"/>
        <color theme="1"/>
        <rFont val="Calibri"/>
        <family val="2"/>
        <scheme val="minor"/>
      </rPr>
      <t>Number of clusters reported for the study</t>
    </r>
  </si>
  <si>
    <r>
      <t>For cluster-RCTs only</t>
    </r>
    <r>
      <rPr>
        <sz val="12"/>
        <color theme="1"/>
        <rFont val="Calibri"/>
        <family val="2"/>
        <scheme val="minor"/>
      </rPr>
      <t>: Total # healthcare providers at baseline for cluster-RCTs</t>
    </r>
  </si>
  <si>
    <t xml:space="preserve">Most recent year of study conduct  (If not reported, use year of publication and indicate so with a comment) </t>
  </si>
  <si>
    <t>Country in which study was conducted (primary country if more then one country listed)</t>
  </si>
  <si>
    <t>Mean age of patients</t>
  </si>
  <si>
    <t>SD of patients age</t>
  </si>
  <si>
    <t>% male of patients</t>
  </si>
  <si>
    <t>Brief description of the setting in which the intervention was delivered</t>
  </si>
  <si>
    <t>T1D vs T2D (use code); Type 1 diabetes=1; Type 2 diabetes=2; Type 1+2 diabetes=3; Unclear/not reported=4</t>
    <phoneticPr fontId="10" type="noConversion"/>
  </si>
  <si>
    <t>Total # patients at baseline</t>
  </si>
  <si>
    <t>Number of arms</t>
  </si>
  <si>
    <t>Total number of comparison groups in the study (including control/reference group)</t>
    <phoneticPr fontId="10" type="noConversion"/>
  </si>
  <si>
    <t>Sample size for intervention groups at baseline. Look for # randomized to groups. If # randomized not reported, take the next available number (i.e. number randomized after drop outs) but indicate what was extracted using a comment</t>
  </si>
  <si>
    <t>Were patients blind to treatment allocation? Yes=1; No or unclear=0</t>
    <phoneticPr fontId="10" type="noConversion"/>
  </si>
  <si>
    <t>Were assessors blind to treatment allocation? Yes=1; No or unclear=0</t>
    <phoneticPr fontId="10" type="noConversion"/>
  </si>
  <si>
    <r>
      <t>For cluster-RCTs only:</t>
    </r>
    <r>
      <rPr>
        <sz val="12"/>
        <color theme="1"/>
        <rFont val="Calibri"/>
        <family val="2"/>
        <scheme val="minor"/>
      </rPr>
      <t xml:space="preserve">
Were subjects who received the intervention (physician or organization) blind to  treatment allocation?
Yes: 1; No or unclear: 0</t>
    </r>
  </si>
  <si>
    <t xml:space="preserve"> </t>
    <phoneticPr fontId="10" type="noConversion"/>
  </si>
  <si>
    <t>This is the amount of time (in months) that participants received the intervention (excluding follow-up)</t>
  </si>
  <si>
    <t>This is the amount of time (in months) that the participants were followed, including the duration of the intervention</t>
  </si>
  <si>
    <t>Type of analysis</t>
    <phoneticPr fontId="10" type="noConversion"/>
  </si>
  <si>
    <t>For cluster-RCTs only (patient-level data analysis)</t>
    <phoneticPr fontId="10" type="noConversion"/>
  </si>
  <si>
    <t>ROB</t>
    <phoneticPr fontId="10" type="noConversion"/>
  </si>
  <si>
    <t>ROB assessment completed?</t>
    <phoneticPr fontId="10" type="noConversion"/>
  </si>
  <si>
    <t>QI</t>
    <phoneticPr fontId="10" type="noConversion"/>
  </si>
  <si>
    <t>QI coding completed?</t>
    <phoneticPr fontId="10" type="noConversion"/>
  </si>
  <si>
    <t>ASA; statins; anti-hypertensives; retinopathy screening; foot screening; renal screening; hypertension control; quit smoking; harms; Hb1Ac; LDL; SBP; DBP</t>
  </si>
  <si>
    <t>Adequate adjustment</t>
  </si>
  <si>
    <r>
      <rPr>
        <sz val="10"/>
        <rFont val="Verdana"/>
        <family val="2"/>
      </rPr>
      <t>Are the extracted values adjusted for clustering (in particular, SDs)</t>
    </r>
    <r>
      <rPr>
        <sz val="10"/>
        <rFont val="Verdana"/>
        <family val="2"/>
      </rPr>
      <t>? Yes: 1; No or unclear: 0</t>
    </r>
  </si>
  <si>
    <r>
      <t>ICC</t>
    </r>
    <r>
      <rPr>
        <sz val="10"/>
        <rFont val="Verdana"/>
        <family val="2"/>
      </rPr>
      <t xml:space="preserve"> Group 1</t>
    </r>
  </si>
  <si>
    <t>For cluster-RCTs only.</t>
  </si>
  <si>
    <r>
      <t>ICC</t>
    </r>
    <r>
      <rPr>
        <sz val="10"/>
        <rFont val="Verdana"/>
        <family val="2"/>
      </rPr>
      <t xml:space="preserve"> Group 2</t>
    </r>
  </si>
  <si>
    <t xml:space="preserve">For cluster-RCTs only. </t>
  </si>
  <si>
    <r>
      <t>ICC</t>
    </r>
    <r>
      <rPr>
        <sz val="10"/>
        <rFont val="Verdana"/>
        <family val="2"/>
      </rPr>
      <t xml:space="preserve"> Group 3</t>
    </r>
  </si>
  <si>
    <t># participants analyzed at baseline</t>
  </si>
  <si>
    <t># participants on ASA at baseline in groups 1</t>
  </si>
  <si>
    <t>SD of participants on ASA at baseline in groups 1</t>
  </si>
  <si>
    <t>Median of participants on ASA at baseline in groups 1</t>
  </si>
  <si>
    <t>IQR of participants on ASA at baseline in groups 1</t>
  </si>
  <si>
    <t># participants on ASA at baseline in groups 2</t>
  </si>
  <si>
    <t>SD of participants on ASA at baseline in groups 2</t>
  </si>
  <si>
    <t>Median of participants on ASA at baseline in groups 2</t>
  </si>
  <si>
    <t>IQR of participants on ASA at baseline in groups 2</t>
  </si>
  <si>
    <t># participants on ASA at baseline in groups 3</t>
  </si>
  <si>
    <t>SD of participants on ASA at baseline in groups 3</t>
  </si>
  <si>
    <t>Median of participants on ASA at baseline in groups 3</t>
  </si>
  <si>
    <t>IQR of participants on ASA at baseline in groups 3</t>
  </si>
  <si>
    <t># participants on ASA at baseline in groups 4</t>
  </si>
  <si>
    <t>SD of participants on ASA at baseline in groups 4</t>
  </si>
  <si>
    <t>Median of participants on ASA at baseline in groups 4</t>
  </si>
  <si>
    <t>IQR of participants on ASA at baseline in groups 4</t>
  </si>
  <si>
    <t>Sample size analzed for this outcome. (If they use intention-to-treat analysis, use the #s that they report for analyzed for that outcome, but if the sample size at the end of the study is not reported and it's an intention-to-treat analysis, use the same # of particpants as reported at baseline)</t>
  </si>
  <si>
    <t># participants on ASA at follow-up in groups 1</t>
  </si>
  <si>
    <t>SD of participants on ASA at follow-up in groups 1</t>
  </si>
  <si>
    <t>Median of participants on ASA at follow-up in groups 1</t>
  </si>
  <si>
    <t>IQR of participants on ASA at follow-up in groups 1</t>
  </si>
  <si>
    <t># participants on ASA at follow-up in groups 2</t>
  </si>
  <si>
    <t>SD of participants on ASA at follow-up in groups 2</t>
  </si>
  <si>
    <t>Median of participants on ASA at follow-up in groups 2</t>
  </si>
  <si>
    <t>IQR of participants on ASA at follow-up in groups 2</t>
  </si>
  <si>
    <t># participants on ASA at follow-up in groups 3</t>
  </si>
  <si>
    <t>SD of participants on ASA at follow-up in groups 3</t>
  </si>
  <si>
    <t>Median of participants on ASA at follow-up in groups 3</t>
  </si>
  <si>
    <t>IQR of participants on ASA at follow-up in groups 3</t>
  </si>
  <si>
    <t># participants on ASA at follow-up in groups 4</t>
  </si>
  <si>
    <t>SD of participants on ASA at follow-up in groups 4</t>
  </si>
  <si>
    <t>Median of participants on ASA at follow-up in groups 4</t>
  </si>
  <si>
    <t>IQR of participants on ASA at follow-up in groups 4</t>
  </si>
  <si>
    <t>Extract reported p-value if any, priortize between group comparison at follow-up</t>
  </si>
  <si>
    <t>Note whether within/between group comparison for p-value extracted</t>
  </si>
  <si>
    <t>In months; please use data from the longest follow-up for all post-intervention values</t>
  </si>
  <si>
    <t>If other data reported that doesn't fit, please report at the end of the sheet</t>
  </si>
  <si>
    <t xml:space="preserve">NB: lower cholesterol; lipid lowering, etc. </t>
  </si>
  <si>
    <t>ICC Groups 1-4</t>
  </si>
  <si>
    <t>Pre N statin Groups 1-4</t>
  </si>
  <si>
    <t># participants on statin at baseline in groups 1-4</t>
  </si>
  <si>
    <t>Pre N statin SD Groups 1-4</t>
  </si>
  <si>
    <t>SD of participants on statin at baseline in groups 1-4</t>
  </si>
  <si>
    <t>Pre N statin Median Groups 1-4</t>
  </si>
  <si>
    <t>Median of participants on statin at baseline in groups 1-4</t>
  </si>
  <si>
    <t>Pre N statin IQR Groups 1-4</t>
  </si>
  <si>
    <t>IQR of participants on statin at baseline in groups 1-4</t>
  </si>
  <si>
    <t>Post N Groups 1-4</t>
  </si>
  <si>
    <t>Sample size analzed for this outcome. (If they use intention-to-treat analysis, use the #s that they report for analyzed for that outcome, but if the sample size at the end of the study is not reported and it's an intention-to-treat analysis, use the same # of particpants as reported at baseline)</t>
    <phoneticPr fontId="10" type="noConversion"/>
  </si>
  <si>
    <t>Post N statin Groups 1-4</t>
  </si>
  <si>
    <t># participants on statin at follow-up in groups 1-4</t>
  </si>
  <si>
    <t>Post N statin SD Groups 1-4</t>
  </si>
  <si>
    <t>SD of participants on statin at follow-up in groups 1-4</t>
  </si>
  <si>
    <t>Post N statin Median Groups 1-4</t>
  </si>
  <si>
    <t>Median of participants on statin at follow-up in groups 1-4</t>
  </si>
  <si>
    <t>Post N statin IQR Groups 1-4</t>
  </si>
  <si>
    <t>IQR of participants on statin at follow-up in groups 1-4</t>
  </si>
  <si>
    <t>In months; please use data from the longest follow-up for all post-intervention values</t>
    <phoneticPr fontId="10" type="noConversion"/>
  </si>
  <si>
    <t>ACE-inhibitors, ARBs, beta blocker</t>
  </si>
  <si>
    <r>
      <t>ICC</t>
    </r>
    <r>
      <rPr>
        <sz val="10"/>
        <rFont val="Verdana"/>
        <family val="2"/>
      </rPr>
      <t xml:space="preserve"> Groups 1-4</t>
    </r>
  </si>
  <si>
    <t>Pre N anti-hypertensive Groups 1-4</t>
    <phoneticPr fontId="10" type="noConversion"/>
  </si>
  <si>
    <t># participants on anti-hyp at baseline in groups 1-4</t>
  </si>
  <si>
    <t>Pre N anti-hypertensive SD Groups 1-4</t>
  </si>
  <si>
    <t>SD participants on anti-hyp at baseline in groups 1-4</t>
  </si>
  <si>
    <t>Pre N anti-hypertensive Median Groups 1-4</t>
  </si>
  <si>
    <t>Median participants on anti-hyp at baseline in groups 1-4</t>
  </si>
  <si>
    <t>Pre N anti-hypertensive IQR Groups 1-4</t>
  </si>
  <si>
    <t>IQR participants on anti-hyp at baseline in groups 1-4</t>
  </si>
  <si>
    <t>Post N anti-hyp Groups 1-4</t>
  </si>
  <si>
    <t># participants on anti-hyp at follow-up in groups 1-4</t>
  </si>
  <si>
    <t>Post N anti-hyp SD Groups 1-4</t>
  </si>
  <si>
    <t>SD participants on anti-hyp at follow-up in groups 1-4</t>
  </si>
  <si>
    <t>Post N anti-hyp Median Groups 1-4</t>
  </si>
  <si>
    <t>Median participants on anti-hyp at follow-up in groups 1-4</t>
  </si>
  <si>
    <t>Post N anti-hyp IQR Groups 1-4</t>
  </si>
  <si>
    <t>IQR participants on anti-hyp at follow-up in groups 1-4</t>
  </si>
  <si>
    <t>Type of screening</t>
    <phoneticPr fontId="10" type="noConversion"/>
  </si>
  <si>
    <t>Eye exam, fundoscopy, retinal exam</t>
    <phoneticPr fontId="10" type="noConversion"/>
  </si>
  <si>
    <t>Screening interval prior to intervention in months</t>
  </si>
  <si>
    <t>Timing of screening for the intervention in months</t>
  </si>
  <si>
    <t>Are the extracted values adjusted for clustering (in particular, SDs)? Yes: 1; No or unclear: 0</t>
  </si>
  <si>
    <t>Pre N screened Group 1-4</t>
  </si>
  <si>
    <t># participants screened at baseline in groups 1-4</t>
  </si>
  <si>
    <t>Pre N screened SD Group 1-4</t>
  </si>
  <si>
    <t>SD participants screened at baseline in groups 1-4</t>
  </si>
  <si>
    <t>Pre N screened Median Group 1-4</t>
  </si>
  <si>
    <t>Median participants screened at baseline in groups 1-4</t>
  </si>
  <si>
    <t>Pre N screened IQR Group 1-4</t>
  </si>
  <si>
    <t>IQR participants screened at baseline in groups 1-4</t>
  </si>
  <si>
    <t>Post N screened Groups 1-4</t>
  </si>
  <si>
    <t># participants screened at follow-up in groups 1-4</t>
  </si>
  <si>
    <t>Post N screened SD Group 1-4</t>
  </si>
  <si>
    <t>SD participants screened at follow-up in groups 1-4</t>
  </si>
  <si>
    <t>Post N screened Median Group 1-4</t>
  </si>
  <si>
    <t>Median participants screened at follow-up in groups 1-4</t>
  </si>
  <si>
    <t>Post N screened IQR Group 1-4</t>
  </si>
  <si>
    <t>If other data reported that doesn't fit, please report at the end of the sheet</t>
    <phoneticPr fontId="10" type="noConversion"/>
  </si>
  <si>
    <t xml:space="preserve">Screening interval prior to intervention </t>
    <phoneticPr fontId="10" type="noConversion"/>
  </si>
  <si>
    <t>Timing of screening for the intervention</t>
    <phoneticPr fontId="10" type="noConversion"/>
  </si>
  <si>
    <t>Pre N screened Groups 1-4</t>
  </si>
  <si>
    <r>
      <rPr>
        <sz val="10"/>
        <rFont val="Verdana"/>
        <family val="2"/>
      </rPr>
      <t xml:space="preserve">Pre N screened </t>
    </r>
    <r>
      <rPr>
        <sz val="10"/>
        <rFont val="Verdana"/>
        <family val="2"/>
      </rPr>
      <t>SD Groups 1-4</t>
    </r>
  </si>
  <si>
    <t xml:space="preserve">SD participants screened at baseline in groups 1-4 </t>
  </si>
  <si>
    <r>
      <rPr>
        <sz val="10"/>
        <rFont val="Verdana"/>
        <family val="2"/>
      </rPr>
      <t xml:space="preserve">Pre N screened </t>
    </r>
    <r>
      <rPr>
        <sz val="10"/>
        <rFont val="Verdana"/>
        <family val="2"/>
      </rPr>
      <t>Median</t>
    </r>
    <r>
      <rPr>
        <sz val="10"/>
        <rFont val="Verdana"/>
        <family val="2"/>
      </rPr>
      <t xml:space="preserve"> Groups 1-4</t>
    </r>
  </si>
  <si>
    <t xml:space="preserve">Median participants screened at baseline in groups 1-4 </t>
  </si>
  <si>
    <r>
      <rPr>
        <sz val="10"/>
        <rFont val="Verdana"/>
        <family val="2"/>
      </rPr>
      <t>Pre N screened IQR Groups 1-4</t>
    </r>
  </si>
  <si>
    <t xml:space="preserve">IQR participants screened at baseline in groups 1-4 </t>
  </si>
  <si>
    <r>
      <t>Post N screened</t>
    </r>
    <r>
      <rPr>
        <sz val="10"/>
        <rFont val="Verdana"/>
        <family val="2"/>
      </rPr>
      <t xml:space="preserve"> SD</t>
    </r>
    <r>
      <rPr>
        <sz val="10"/>
        <rFont val="Verdana"/>
        <family val="2"/>
      </rPr>
      <t xml:space="preserve"> Groups 1-4</t>
    </r>
  </si>
  <si>
    <t xml:space="preserve">SD participants screened at follow-up in groups 1-4 </t>
  </si>
  <si>
    <r>
      <t xml:space="preserve">Post N screened </t>
    </r>
    <r>
      <rPr>
        <sz val="10"/>
        <rFont val="Verdana"/>
        <family val="2"/>
      </rPr>
      <t xml:space="preserve">Median </t>
    </r>
    <r>
      <rPr>
        <sz val="10"/>
        <rFont val="Verdana"/>
        <family val="2"/>
      </rPr>
      <t>Groups 1-4</t>
    </r>
  </si>
  <si>
    <t xml:space="preserve">Median participants screened at follow-up in groups 1-4 </t>
  </si>
  <si>
    <r>
      <t>Post N screened</t>
    </r>
    <r>
      <rPr>
        <sz val="10"/>
        <rFont val="Verdana"/>
        <family val="2"/>
      </rPr>
      <t xml:space="preserve"> IQR</t>
    </r>
    <r>
      <rPr>
        <sz val="10"/>
        <rFont val="Verdana"/>
        <family val="2"/>
      </rPr>
      <t xml:space="preserve"> Groups 1-4</t>
    </r>
  </si>
  <si>
    <t xml:space="preserve">IQR participants screened at follow-up in groups 1-4 </t>
  </si>
  <si>
    <t>Timing of screening for the intervention  in months</t>
  </si>
  <si>
    <r>
      <t>Pre N screened</t>
    </r>
    <r>
      <rPr>
        <sz val="10"/>
        <rFont val="Verdana"/>
        <family val="2"/>
      </rPr>
      <t xml:space="preserve"> SD</t>
    </r>
    <r>
      <rPr>
        <sz val="10"/>
        <rFont val="Verdana"/>
        <family val="2"/>
      </rPr>
      <t xml:space="preserve"> Groups 1-4</t>
    </r>
  </si>
  <si>
    <r>
      <t xml:space="preserve">Pre N screened </t>
    </r>
    <r>
      <rPr>
        <sz val="10"/>
        <rFont val="Verdana"/>
        <family val="2"/>
      </rPr>
      <t xml:space="preserve">Median </t>
    </r>
    <r>
      <rPr>
        <sz val="10"/>
        <rFont val="Verdana"/>
        <family val="2"/>
      </rPr>
      <t>Groups 1-4</t>
    </r>
  </si>
  <si>
    <r>
      <t xml:space="preserve">Pre N screened </t>
    </r>
    <r>
      <rPr>
        <sz val="10"/>
        <rFont val="Verdana"/>
        <family val="2"/>
      </rPr>
      <t xml:space="preserve">IQR </t>
    </r>
    <r>
      <rPr>
        <sz val="10"/>
        <rFont val="Verdana"/>
        <family val="2"/>
      </rPr>
      <t>Groups 1-4</t>
    </r>
  </si>
  <si>
    <r>
      <t xml:space="preserve">Post N screened </t>
    </r>
    <r>
      <rPr>
        <sz val="10"/>
        <rFont val="Verdana"/>
        <family val="2"/>
      </rPr>
      <t xml:space="preserve">SD </t>
    </r>
    <r>
      <rPr>
        <sz val="10"/>
        <rFont val="Verdana"/>
        <family val="2"/>
      </rPr>
      <t>Groups 1-4</t>
    </r>
  </si>
  <si>
    <t>Post N screened IQR Groups 1-4</t>
  </si>
  <si>
    <t>IQR participants screened at follow-up in groups 1-4</t>
  </si>
  <si>
    <t>Pre mean HbA1c (%) Groups 1-4</t>
    <phoneticPr fontId="10" type="noConversion"/>
  </si>
  <si>
    <t>Mean HbA1c at baseline (usually a %) for groups 1-4</t>
  </si>
  <si>
    <r>
      <t>Pre mean HbA1c (%)</t>
    </r>
    <r>
      <rPr>
        <sz val="10"/>
        <rFont val="Verdana"/>
        <family val="2"/>
      </rPr>
      <t xml:space="preserve"> SD</t>
    </r>
    <r>
      <rPr>
        <sz val="10"/>
        <rFont val="Verdana"/>
        <family val="2"/>
      </rPr>
      <t xml:space="preserve"> Groups 1-4</t>
    </r>
  </si>
  <si>
    <t>SD of mean HbA1c at baseline (usually a %) for groups 1-4</t>
  </si>
  <si>
    <r>
      <t xml:space="preserve">Pre mean HbA1c (%) </t>
    </r>
    <r>
      <rPr>
        <sz val="10"/>
        <rFont val="Verdana"/>
        <family val="2"/>
      </rPr>
      <t xml:space="preserve">SE </t>
    </r>
    <r>
      <rPr>
        <sz val="10"/>
        <rFont val="Verdana"/>
        <family val="2"/>
      </rPr>
      <t>Groups 1-4</t>
    </r>
  </si>
  <si>
    <t>SE of mean HbA1c at baseline (usually a %) for groups 1-4</t>
  </si>
  <si>
    <t>Pre Median HbA1c (%) Groups 1-4</t>
  </si>
  <si>
    <t>Median HbA1c at baseline (usually a %) for groups 1-4</t>
  </si>
  <si>
    <t>Pre IQR HbA1c (%) Groups 1-4</t>
  </si>
  <si>
    <t>IQR of median HbA1c at baseline (usually a %) for groups 1-4</t>
  </si>
  <si>
    <t>p-value BETWEEN group comparisons (pre)</t>
  </si>
  <si>
    <t>If available, provide the p-value comparing both groups (usually in the Table 1. Comparing Baseline characteristics)</t>
  </si>
  <si>
    <r>
      <t xml:space="preserve">Indicate which groups are being compared (ex. </t>
    </r>
    <r>
      <rPr>
        <sz val="10"/>
        <rFont val="Verdana"/>
        <family val="2"/>
      </rPr>
      <t>G</t>
    </r>
    <r>
      <rPr>
        <sz val="10"/>
        <rFont val="Verdana"/>
        <family val="2"/>
      </rPr>
      <t xml:space="preserve">1 vs. </t>
    </r>
    <r>
      <rPr>
        <sz val="10"/>
        <rFont val="Verdana"/>
        <family val="2"/>
      </rPr>
      <t>G</t>
    </r>
    <r>
      <rPr>
        <sz val="10"/>
        <rFont val="Verdana"/>
        <family val="2"/>
      </rPr>
      <t>2)</t>
    </r>
    <r>
      <rPr>
        <sz val="10"/>
        <rFont val="Verdana"/>
        <family val="2"/>
      </rPr>
      <t>; particularly important for multiarm studies</t>
    </r>
  </si>
  <si>
    <t>Post N Groups 1-4</t>
    <phoneticPr fontId="10" type="noConversion"/>
  </si>
  <si>
    <t>Post mean HbA1c Groups 1-4</t>
  </si>
  <si>
    <t>Mean HbA1c at follow-up (usually a %) for groups 1-4</t>
    <phoneticPr fontId="10" type="noConversion"/>
  </si>
  <si>
    <r>
      <t xml:space="preserve">Post </t>
    </r>
    <r>
      <rPr>
        <sz val="10"/>
        <rFont val="Verdana"/>
        <family val="2"/>
      </rPr>
      <t xml:space="preserve">mean </t>
    </r>
    <r>
      <rPr>
        <sz val="10"/>
        <rFont val="Verdana"/>
        <family val="2"/>
      </rPr>
      <t xml:space="preserve">HbA1c </t>
    </r>
    <r>
      <rPr>
        <sz val="10"/>
        <rFont val="Verdana"/>
        <family val="2"/>
      </rPr>
      <t xml:space="preserve">SD </t>
    </r>
    <r>
      <rPr>
        <sz val="10"/>
        <rFont val="Verdana"/>
        <family val="2"/>
      </rPr>
      <t>Groups 1-4</t>
    </r>
  </si>
  <si>
    <t>SD of mean HbA1c at follow-up (usually a %) for groups 1-4</t>
  </si>
  <si>
    <r>
      <t xml:space="preserve">Post </t>
    </r>
    <r>
      <rPr>
        <sz val="10"/>
        <rFont val="Verdana"/>
        <family val="2"/>
      </rPr>
      <t>mean</t>
    </r>
    <r>
      <rPr>
        <sz val="10"/>
        <rFont val="Verdana"/>
        <family val="2"/>
      </rPr>
      <t xml:space="preserve"> HbA1c</t>
    </r>
    <r>
      <rPr>
        <sz val="10"/>
        <rFont val="Verdana"/>
        <family val="2"/>
      </rPr>
      <t xml:space="preserve"> SE</t>
    </r>
    <r>
      <rPr>
        <sz val="10"/>
        <rFont val="Verdana"/>
        <family val="2"/>
      </rPr>
      <t xml:space="preserve"> Groups 1-4</t>
    </r>
  </si>
  <si>
    <t>SE of mean HbA1c at follow-up (usually a %) for groups 1-4</t>
  </si>
  <si>
    <t>Post Median HbA1c (%) Groups 1-4</t>
  </si>
  <si>
    <t>Median HbA1c at follow-up (usually a %) for groups 1-4</t>
  </si>
  <si>
    <t>Post IQR HbA1c Groups 1-4</t>
  </si>
  <si>
    <t>IQR of mean HbA1c at follow-up (usually a %) for groups 1-4</t>
  </si>
  <si>
    <t>WITHIN group mean HbA1c (%) difference Groups 1-4</t>
  </si>
  <si>
    <r>
      <t>If available, provide the mean difference in values from baseline to follow up WITHIN one group (ie. Mean difference before and after treatment in the control group</t>
    </r>
    <r>
      <rPr>
        <sz val="10"/>
        <rFont val="Verdana"/>
        <family val="2"/>
      </rPr>
      <t xml:space="preserve"> for G1-4</t>
    </r>
    <r>
      <rPr>
        <sz val="10"/>
        <rFont val="Verdana"/>
        <family val="2"/>
      </rPr>
      <t>).</t>
    </r>
  </si>
  <si>
    <t>WITHIN group mean HbA1c (%) difference SD Groups 1-4</t>
  </si>
  <si>
    <t>SD of mean difference HbA1c from baseline to follow up WITHIN one group.</t>
  </si>
  <si>
    <t>WITHIN group mean HbA1c (%) difference SE Groups 1-4</t>
  </si>
  <si>
    <t>SE of mean difference HbA1c from baseline to follow up WITHIN one group.</t>
  </si>
  <si>
    <t>WITHIN group mean HbA1c (%) difference Lower confidence limit Groups 1-4</t>
  </si>
  <si>
    <t>Lower confidence limit of mean difference HbA1c from baseline to follow up WITHIN one group.</t>
  </si>
  <si>
    <t>WITHIN group mean HbA1c (%) difference Upper confidence limit Groups 1-4</t>
  </si>
  <si>
    <t>Upper confidence limit of mean difference HbA1c from baseline to follow up WITHIN one group.</t>
  </si>
  <si>
    <t>WITHIN group p-value for mean difference HbA1c (%) Groups 1-4</t>
  </si>
  <si>
    <t>p-value for mean difference in HbA1c from baseline to follow up WITHIN one group.</t>
  </si>
  <si>
    <t>BETWEEN group HbA1c mean (%) difference (post)</t>
  </si>
  <si>
    <t xml:space="preserve">If available, provide the mean difference in values at follow up BETWEEN two groups </t>
  </si>
  <si>
    <t>p-value BETWEEN group comparisons (post)</t>
  </si>
  <si>
    <t xml:space="preserve">If available, provide the p-value comparing both groups at follow-up </t>
  </si>
  <si>
    <t>Note which groups are being compared; particularly important for multiarm studies</t>
  </si>
  <si>
    <t xml:space="preserve">*NOTE*: </t>
  </si>
  <si>
    <r>
      <t>*If only mean difference (</t>
    </r>
    <r>
      <rPr>
        <sz val="10"/>
        <rFont val="Calibri"/>
        <family val="2"/>
      </rPr>
      <t>Δ</t>
    </r>
    <r>
      <rPr>
        <sz val="10"/>
        <rFont val="Verdana"/>
        <family val="2"/>
      </rPr>
      <t>) provided</t>
    </r>
    <r>
      <rPr>
        <sz val="10"/>
        <rFont val="Verdana"/>
        <family val="2"/>
      </rPr>
      <t xml:space="preserve"> for a particular arm</t>
    </r>
    <r>
      <rPr>
        <sz val="10"/>
        <rFont val="Verdana"/>
        <family val="2"/>
      </rPr>
      <t>, then please put this value in the appropriate data extraction column, BUT also please calculate the final HbA1c from baseline based on this mean difference. Highlight this value to indicate that this is a non-extracted value in which we had imputted.</t>
    </r>
  </si>
  <si>
    <r>
      <t>IC</t>
    </r>
    <r>
      <rPr>
        <sz val="10"/>
        <rFont val="Verdana"/>
        <family val="2"/>
      </rPr>
      <t>C Group 1-4</t>
    </r>
  </si>
  <si>
    <t>For cluster-RCTs only.</t>
    <phoneticPr fontId="10" type="noConversion"/>
  </si>
  <si>
    <t>Pre mean LDL Groups 1-4</t>
  </si>
  <si>
    <t>Mean LDL at baseline (mg/dl) for groups 1-4</t>
    <phoneticPr fontId="10" type="noConversion"/>
  </si>
  <si>
    <t>Pre mean SD LDL Groups 1-4</t>
  </si>
  <si>
    <t>SD of mean LDL at baseline (mg/dl) for groups 1-4</t>
  </si>
  <si>
    <t>Pre mean SE LDL Groups 1-4</t>
  </si>
  <si>
    <t>SE of mean LDL at baseline (mg/dl) for groups 1-4</t>
  </si>
  <si>
    <t>Pre median LDL Groups 1-4</t>
  </si>
  <si>
    <t>Median LDL at baseline (mg/dl) for groups 1-4</t>
  </si>
  <si>
    <r>
      <t xml:space="preserve">Pre </t>
    </r>
    <r>
      <rPr>
        <sz val="10"/>
        <rFont val="Verdana"/>
        <family val="2"/>
      </rPr>
      <t>IQR</t>
    </r>
    <r>
      <rPr>
        <sz val="10"/>
        <rFont val="Verdana"/>
        <family val="2"/>
      </rPr>
      <t xml:space="preserve"> LDL Groups 1-4</t>
    </r>
  </si>
  <si>
    <t>IQR of median LDL at baseline for groups 1-4</t>
  </si>
  <si>
    <t>Indicate which groups are being compared (ex. G1 vs. G2); particularly important for multiarm studies</t>
  </si>
  <si>
    <t>Post mean LDL Groups 1-4</t>
    <phoneticPr fontId="10" type="noConversion"/>
  </si>
  <si>
    <t>Mean LDL at follow-up for groups 1-4</t>
    <phoneticPr fontId="10" type="noConversion"/>
  </si>
  <si>
    <t>Post mean SD LDL Groups 1-4</t>
  </si>
  <si>
    <t>SD mean LDL at follow-up for groups 1-4</t>
    <phoneticPr fontId="10" type="noConversion"/>
  </si>
  <si>
    <t>Post mean SE LDL Groups 1-4</t>
  </si>
  <si>
    <t>SE mean LDL at follow-up for groups 1-4</t>
  </si>
  <si>
    <t>Post Median LDL groups 1-4</t>
  </si>
  <si>
    <t>Median LDL at follow-up (mg/dl) for groups 1-4</t>
  </si>
  <si>
    <r>
      <t xml:space="preserve">Post </t>
    </r>
    <r>
      <rPr>
        <sz val="10"/>
        <rFont val="Verdana"/>
        <family val="2"/>
      </rPr>
      <t>IQR</t>
    </r>
    <r>
      <rPr>
        <sz val="10"/>
        <rFont val="Verdana"/>
        <family val="2"/>
      </rPr>
      <t xml:space="preserve"> LDL groups 1-4</t>
    </r>
  </si>
  <si>
    <t>IQR LDL at follow-up for groups 1-4</t>
  </si>
  <si>
    <t>WITHIN group mean LDL difference Groups 1-4</t>
  </si>
  <si>
    <r>
      <t>If available, provide the mean difference in values from baseline to follow up WITHIN one group (ie. Mean difference before and after treatment in the control group</t>
    </r>
    <r>
      <rPr>
        <sz val="10"/>
        <rFont val="Verdana"/>
        <family val="2"/>
      </rPr>
      <t xml:space="preserve"> G1</t>
    </r>
    <r>
      <rPr>
        <sz val="10"/>
        <rFont val="Verdana"/>
        <family val="2"/>
      </rPr>
      <t>).</t>
    </r>
  </si>
  <si>
    <t>WITHIN group mean LDL difference SD Groups 1-4</t>
  </si>
  <si>
    <t>SD of mean difference LDL from baseline to follow up WITHIN one group.</t>
  </si>
  <si>
    <t>WITHIN group mean LDL difference SE Groups 1-4</t>
  </si>
  <si>
    <t>SE of mean difference LDL from baseline to follow up WITHIN one group.</t>
  </si>
  <si>
    <t>WITHIN group mean LDL difference Lower confidence limit Groups 1-4</t>
  </si>
  <si>
    <t>Lower confidence limit of mean difference LDL from baseline to follow up WITHIN one group.</t>
  </si>
  <si>
    <t>WITHIN group mean LDL difference Upper confidence limit Groups 1-4</t>
  </si>
  <si>
    <t>Upper confidence limit of mean difference LDL from baseline to follow up WITHIN one group.</t>
  </si>
  <si>
    <t>WITHIN group p-value for mean difference LDL Groups 1-4</t>
  </si>
  <si>
    <t>p-value for mean difference in LDL from baseline to follow up WITHIN one group.</t>
  </si>
  <si>
    <t>BETWEEN group mean LDL difference (post)</t>
  </si>
  <si>
    <t>*If only mean difference (Δ) provided for a particular arm, then please put this value in the appropriate data extraction column, BUT also please calculate the final LDL from baseline based on this mean difference. Highlight this value to indicate that this is a non-extracted value in which we had imputted.</t>
  </si>
  <si>
    <t>Pre mean SBP Groups 1-4</t>
    <phoneticPr fontId="10" type="noConversion"/>
  </si>
  <si>
    <t>Mean SBP at baseline (mmHg) for groups 1-4</t>
  </si>
  <si>
    <t>Pre mean SD SBP Groups 1-4</t>
  </si>
  <si>
    <t>SD of mean SBP at baseline (mmHg) for groups 1-4</t>
    <phoneticPr fontId="10" type="noConversion"/>
  </si>
  <si>
    <t>Pre mean SE SBP Groups 1-4</t>
  </si>
  <si>
    <t>SE of mean SBP at baseline (mmHg) for groups 1-4</t>
  </si>
  <si>
    <t>Pre Median SBP Gropus 1-4</t>
  </si>
  <si>
    <t>Median SBP at baseline (mmHg) for groups 1-4</t>
  </si>
  <si>
    <t>Pre IQR SBP Gropus 1-4</t>
  </si>
  <si>
    <t>IQR SBP at  baseline for groups 1-4</t>
  </si>
  <si>
    <t>Post mean SBP Groups 1-4</t>
    <phoneticPr fontId="10" type="noConversion"/>
  </si>
  <si>
    <t>Mean SBP after intervention (mmHg) for groups 1-4</t>
    <phoneticPr fontId="10" type="noConversion"/>
  </si>
  <si>
    <t>Post mean SD SBP Groups 1-4</t>
  </si>
  <si>
    <t>SD of mean SBP at follow-up (mmHg) for groups 1-4</t>
    <phoneticPr fontId="10" type="noConversion"/>
  </si>
  <si>
    <t>Post mean SE SBP Groups 1-4</t>
  </si>
  <si>
    <t>SE of mean SBP at follow-up (mmHg) for groups 1-4</t>
  </si>
  <si>
    <t>Post median SBP groups 1-4</t>
  </si>
  <si>
    <t>Median SBP at follow-up (mmHg) for groups 1-4</t>
  </si>
  <si>
    <t>Post IQR SBP groups 1-4</t>
  </si>
  <si>
    <t>IQR  SBP at follow-up for groups 1-4</t>
  </si>
  <si>
    <t>WITHIN group mean SBP difference Groups 1-4</t>
  </si>
  <si>
    <t>If available, provide the mean difference in values from baseline to follow up WITHIN one group (ie. Mean difference before and after treatment in the control group- G1).</t>
  </si>
  <si>
    <t>WITHIN group mean SBP difference SD Groups 1-4</t>
  </si>
  <si>
    <t>SD of mean difference SBP from baseline to follow up WITHIN one group.</t>
  </si>
  <si>
    <t>WITHIN group mean SBP difference SE Groups 1-4</t>
  </si>
  <si>
    <t>SE of mean difference SBP from baseline to follow up WITHIN one group.</t>
  </si>
  <si>
    <t>WITHIN group mean SBP difference Lower confidence limit Groups 1-4</t>
  </si>
  <si>
    <t>Lower confidence limit of mean difference SBP from baseline to follow up WITHIN one group.</t>
  </si>
  <si>
    <t>WITHIN group mean SBP difference Upper confidence limit Groups 1-4</t>
  </si>
  <si>
    <t>Upper confidence limit of mean difference SBP from baseline to follow up WITHIN one group.</t>
  </si>
  <si>
    <t>BETWEEN group mean SBP difference (post)</t>
  </si>
  <si>
    <t>*If only mean difference (Δ) provided, then please put this value in the appropriate data extraction column, BUT also please calculate the final SBP from baseline based on this mean difference. Highlight this value to indicate that this is a non-extracted value in which we had imputted.</t>
  </si>
  <si>
    <t>Pre mean DBP Groups 1-4</t>
    <phoneticPr fontId="10" type="noConversion"/>
  </si>
  <si>
    <t>Mean DBP at baseline (mmHg) for groups 1-4</t>
  </si>
  <si>
    <t>Pre mean SD DBP Groups 1-4</t>
  </si>
  <si>
    <t>SD of mean DBP at baseline (mmHg)</t>
  </si>
  <si>
    <t>Pre mean SE DBP Groups 1-4</t>
  </si>
  <si>
    <t>SE of mean DBP at baseline (mmHg)</t>
  </si>
  <si>
    <t>Pre Median DBP Groups 1-4</t>
  </si>
  <si>
    <t>Median DBP at baseline (mmHg) for groups 1-4</t>
  </si>
  <si>
    <t>Pre IQE DBP Groups 1-4</t>
  </si>
  <si>
    <t>IQR DBP at baseline (mmHg) for groups 1-4</t>
  </si>
  <si>
    <t>Indicate which groups are being compared (ex. N1 vs. N2)</t>
  </si>
  <si>
    <t>Post mean DBP Groups 1-4</t>
    <phoneticPr fontId="10" type="noConversion"/>
  </si>
  <si>
    <t>Mean DBP after intervention for groups 1-4</t>
  </si>
  <si>
    <t>Post mean SD DBP Groups 1-4</t>
  </si>
  <si>
    <t>SD mean DBP at follow-up for groups 1-4</t>
    <phoneticPr fontId="10" type="noConversion"/>
  </si>
  <si>
    <t>Post mean SE DBP Groups 1-4</t>
  </si>
  <si>
    <t>SE mean DBP at follow-up for groups 1-4</t>
  </si>
  <si>
    <t>Post Median DBP Groups 1-4</t>
  </si>
  <si>
    <t>Median DBP after intervention for groups 1-4</t>
  </si>
  <si>
    <t>Post IQR DBP Groups 1-4</t>
  </si>
  <si>
    <t>IQR DBP after intervention for groups 1-4</t>
  </si>
  <si>
    <t>WITHIN group mean DBP difference Groups 1-4</t>
  </si>
  <si>
    <t>If available, provide the mean difference in values from baseline to follow up WITHIN one group (ie. Mean difference before and after treatment in the control group- N1).</t>
  </si>
  <si>
    <t>WITHIN group mean DBP difference SD Groups 1-4</t>
  </si>
  <si>
    <t>SD of mean difference DBP from baseline to follow up WITHIN one group.</t>
  </si>
  <si>
    <t>WITHIN group mean DBP difference SE Groups 1-4</t>
  </si>
  <si>
    <t>SE of mean difference DBP from baseline to follow up WITHIN one group.</t>
  </si>
  <si>
    <t>WITHIN group mean DBP difference  Lower confidence limit Groups 1-4</t>
  </si>
  <si>
    <t>Lower confidence limit of mean difference DBP from baseline to follow up WITHIN one group.</t>
  </si>
  <si>
    <t>WITHIN group mean DBP difference Upper confidence limit Groups 1-4</t>
  </si>
  <si>
    <t>Upper confidence limit of mean difference DBP from baseline to follow up WITHIN one group.</t>
  </si>
  <si>
    <t>BETWEEN group mean DBP difference (post)</t>
  </si>
  <si>
    <t>*If only mean difference (Δ) provided, then please put this value in the appropriate data extraction column, BUT also please calculate the final DBP from baseline based on this mean difference. Highlight this value to indicate that this is a non-extracted value in which we had imputted.</t>
  </si>
  <si>
    <t xml:space="preserve">For cluster-RCTs only. </t>
    <phoneticPr fontId="10" type="noConversion"/>
  </si>
  <si>
    <t>Pre N hyper control Groups 1-4</t>
    <phoneticPr fontId="10" type="noConversion"/>
  </si>
  <si>
    <t># participants with controlled hypertension at baseline in groups 1-4</t>
    <phoneticPr fontId="10" type="noConversion"/>
  </si>
  <si>
    <r>
      <t xml:space="preserve">Pre N hyper control </t>
    </r>
    <r>
      <rPr>
        <sz val="10"/>
        <rFont val="Verdana"/>
        <family val="2"/>
      </rPr>
      <t xml:space="preserve">SD </t>
    </r>
    <r>
      <rPr>
        <sz val="10"/>
        <rFont val="Verdana"/>
        <family val="2"/>
      </rPr>
      <t>Groups 1-4</t>
    </r>
  </si>
  <si>
    <r>
      <t xml:space="preserve">SD of participants with </t>
    </r>
    <r>
      <rPr>
        <sz val="10"/>
        <rFont val="Verdana"/>
        <family val="2"/>
      </rPr>
      <t>controlled hypertension at baseline</t>
    </r>
  </si>
  <si>
    <r>
      <t xml:space="preserve">Pre N hyper control </t>
    </r>
    <r>
      <rPr>
        <sz val="10"/>
        <rFont val="Verdana"/>
        <family val="2"/>
      </rPr>
      <t xml:space="preserve">Median </t>
    </r>
    <r>
      <rPr>
        <sz val="10"/>
        <rFont val="Verdana"/>
        <family val="2"/>
      </rPr>
      <t>Groups 1-4</t>
    </r>
  </si>
  <si>
    <r>
      <t xml:space="preserve">Median of paritcipants </t>
    </r>
    <r>
      <rPr>
        <sz val="10"/>
        <rFont val="Verdana"/>
        <family val="2"/>
      </rPr>
      <t>with controlled hypertension at baseline</t>
    </r>
  </si>
  <si>
    <r>
      <t xml:space="preserve">Pre N hyper control </t>
    </r>
    <r>
      <rPr>
        <sz val="10"/>
        <rFont val="Verdana"/>
        <family val="2"/>
      </rPr>
      <t xml:space="preserve">IQR </t>
    </r>
    <r>
      <rPr>
        <sz val="10"/>
        <rFont val="Verdana"/>
        <family val="2"/>
      </rPr>
      <t>Groups 1-4</t>
    </r>
  </si>
  <si>
    <r>
      <t>IQR of participants</t>
    </r>
    <r>
      <rPr>
        <sz val="10"/>
        <rFont val="Verdana"/>
        <family val="2"/>
      </rPr>
      <t xml:space="preserve"> with controlled hypertension at baseline</t>
    </r>
  </si>
  <si>
    <t>Post N hyper control Groups 1-4</t>
    <phoneticPr fontId="10" type="noConversion"/>
  </si>
  <si>
    <r>
      <t xml:space="preserve"># participants with controlled hypertension </t>
    </r>
    <r>
      <rPr>
        <sz val="10"/>
        <rFont val="Verdana"/>
        <family val="2"/>
      </rPr>
      <t>at follow-up</t>
    </r>
  </si>
  <si>
    <t>SD</t>
    <phoneticPr fontId="10" type="noConversion"/>
  </si>
  <si>
    <r>
      <t xml:space="preserve">SD of participants with </t>
    </r>
    <r>
      <rPr>
        <sz val="10"/>
        <rFont val="Verdana"/>
        <family val="2"/>
      </rPr>
      <t>controlled hypertension at follow-up</t>
    </r>
  </si>
  <si>
    <t>Median</t>
  </si>
  <si>
    <r>
      <t>Median of paritcipants</t>
    </r>
    <r>
      <rPr>
        <sz val="10"/>
        <rFont val="Verdana"/>
        <family val="2"/>
      </rPr>
      <t xml:space="preserve"> with controlled hypertension at follow-up</t>
    </r>
  </si>
  <si>
    <t>IQR</t>
  </si>
  <si>
    <r>
      <t>IQR of participants</t>
    </r>
    <r>
      <rPr>
        <sz val="10"/>
        <rFont val="Verdana"/>
        <family val="2"/>
      </rPr>
      <t xml:space="preserve"> with controlled hypertension at follow-up</t>
    </r>
  </si>
  <si>
    <t>For cluster-RCTs only</t>
  </si>
  <si>
    <t>Pre N Smokers Groups 1-4</t>
    <phoneticPr fontId="10" type="noConversion"/>
  </si>
  <si>
    <t># smokers at baseline in groups 1-4</t>
    <phoneticPr fontId="10" type="noConversion"/>
  </si>
  <si>
    <t>Pre N Smokers SD Groups 1-4</t>
  </si>
  <si>
    <t>SD smokers at baseline in groups 1-4</t>
    <phoneticPr fontId="10" type="noConversion"/>
  </si>
  <si>
    <t>Pre N Smokers Median Groups 1-4</t>
  </si>
  <si>
    <t>Median smokers at baseline in groups 1-4</t>
  </si>
  <si>
    <t>Pre N Smokers IQR Groups 1-4</t>
  </si>
  <si>
    <t>IQR smokers at baseline in groups 1-4</t>
  </si>
  <si>
    <t>Post N Smokers Groups 1-4</t>
    <phoneticPr fontId="10" type="noConversion"/>
  </si>
  <si>
    <t># smokers at follow-up</t>
    <phoneticPr fontId="10" type="noConversion"/>
  </si>
  <si>
    <r>
      <t xml:space="preserve">Post N Smokers </t>
    </r>
    <r>
      <rPr>
        <sz val="10"/>
        <rFont val="Verdana"/>
        <family val="2"/>
      </rPr>
      <t xml:space="preserve">SD </t>
    </r>
    <r>
      <rPr>
        <sz val="10"/>
        <rFont val="Verdana"/>
        <family val="2"/>
      </rPr>
      <t>Groups 1-4</t>
    </r>
  </si>
  <si>
    <t>SD smokers at follow-up in groups 1-4</t>
  </si>
  <si>
    <r>
      <t>Post N Smokers</t>
    </r>
    <r>
      <rPr>
        <sz val="10"/>
        <rFont val="Verdana"/>
        <family val="2"/>
      </rPr>
      <t xml:space="preserve"> Median</t>
    </r>
    <r>
      <rPr>
        <sz val="10"/>
        <rFont val="Verdana"/>
        <family val="2"/>
      </rPr>
      <t xml:space="preserve"> Groups 1-4</t>
    </r>
  </si>
  <si>
    <t>Median smokers at follow-up in groups 1-4</t>
  </si>
  <si>
    <r>
      <t xml:space="preserve">Post N Smokers </t>
    </r>
    <r>
      <rPr>
        <sz val="10"/>
        <rFont val="Verdana"/>
        <family val="2"/>
      </rPr>
      <t xml:space="preserve">IQR </t>
    </r>
    <r>
      <rPr>
        <sz val="10"/>
        <rFont val="Verdana"/>
        <family val="2"/>
      </rPr>
      <t>Groups 1-4</t>
    </r>
  </si>
  <si>
    <t>IQR smokers at follow-up in groups 1-4</t>
  </si>
  <si>
    <t>Extract any adverse event reported</t>
  </si>
  <si>
    <t>Pre N harms Groups 1-4</t>
    <phoneticPr fontId="10" type="noConversion"/>
  </si>
  <si>
    <t># harms at baseline</t>
    <phoneticPr fontId="10" type="noConversion"/>
  </si>
  <si>
    <t>Pre N harms SD Groups 1-4</t>
  </si>
  <si>
    <t>SD harms at baseline in groups 1-4. Use a comment if SE is used instead of SD</t>
  </si>
  <si>
    <t>Pre N harms Median Groups 1-4</t>
  </si>
  <si>
    <t>Median harms at baseline in groups 1-4</t>
  </si>
  <si>
    <t>Pre N harms IQR Groups 1-4</t>
  </si>
  <si>
    <t>IQR harms at baseline in groups 1-4</t>
  </si>
  <si>
    <t>Post N harms Groups 1-4</t>
    <phoneticPr fontId="10" type="noConversion"/>
  </si>
  <si>
    <t># harms after the intervention</t>
    <phoneticPr fontId="10" type="noConversion"/>
  </si>
  <si>
    <t>Post N harms SD Groups 1-4</t>
  </si>
  <si>
    <t>SD harms at follow up in groups 1-4. Use a comment if SE is used instead of SD</t>
  </si>
  <si>
    <t>Post N harms Median Groups 1-4</t>
  </si>
  <si>
    <t>Median at follow up in groups 1-4</t>
  </si>
  <si>
    <t>Post N harms IQR Groups 1-4</t>
  </si>
  <si>
    <t>IQR at follow up in gropus 1-4</t>
  </si>
  <si>
    <t>Comparison</t>
  </si>
  <si>
    <t xml:space="preserve">Study arm labels </t>
  </si>
  <si>
    <t>AF</t>
  </si>
  <si>
    <t>CM</t>
  </si>
  <si>
    <t>TC</t>
  </si>
  <si>
    <t>EPR</t>
  </si>
  <si>
    <t>CE</t>
  </si>
  <si>
    <t>CR</t>
  </si>
  <si>
    <t>FR</t>
  </si>
  <si>
    <t>PE</t>
  </si>
  <si>
    <t>PSM</t>
  </si>
  <si>
    <t>PR</t>
  </si>
  <si>
    <t>CQI</t>
  </si>
  <si>
    <t>FI</t>
  </si>
  <si>
    <t>Usual Care</t>
  </si>
  <si>
    <t>Intervention</t>
  </si>
  <si>
    <t>Community/Intervention Care</t>
  </si>
  <si>
    <t>Usual-Care Group</t>
  </si>
  <si>
    <t>Intervention Group</t>
  </si>
  <si>
    <t>Control Group</t>
  </si>
  <si>
    <t>Nurse-Care Mangement Group</t>
  </si>
  <si>
    <t>Reciprocal Peer-Support Group</t>
  </si>
  <si>
    <t>Control</t>
  </si>
  <si>
    <t>Enhanced Usual Care</t>
  </si>
  <si>
    <t>Quarterly follow up</t>
  </si>
  <si>
    <t>Monthly follow up</t>
  </si>
  <si>
    <t>Usual Care Group</t>
  </si>
  <si>
    <t>Treatment as Usual Group (TAU)</t>
  </si>
  <si>
    <t>Medical Assistant Coaching (MAC)</t>
  </si>
  <si>
    <t>Telephone Group</t>
  </si>
  <si>
    <t>Short messaging services (SMS)</t>
  </si>
  <si>
    <t>Attention Control</t>
  </si>
  <si>
    <t>Technology-Supported Behavioral Intervention</t>
  </si>
  <si>
    <t>Self-care Support</t>
  </si>
  <si>
    <t>Computer assisted self management (CASM)</t>
  </si>
  <si>
    <t>Computer assisted self management + (CASM +)</t>
  </si>
  <si>
    <t>Self-Monitored Blood Glucose</t>
  </si>
  <si>
    <t>Telecare</t>
  </si>
  <si>
    <t>Usual care</t>
  </si>
  <si>
    <t>Coach Only</t>
  </si>
  <si>
    <t>Coach-PCP Portal</t>
  </si>
  <si>
    <t>Coach-PCP Portal with Decision Support</t>
  </si>
  <si>
    <t>Glycaemic control message</t>
  </si>
  <si>
    <t>Mentors</t>
  </si>
  <si>
    <t>Incentives</t>
  </si>
  <si>
    <t>Education Medication Optimisation (EMO)</t>
  </si>
  <si>
    <t>Standard Care</t>
  </si>
  <si>
    <t>VA-MEDIC-D</t>
  </si>
  <si>
    <t>Usual Nutritional Care</t>
  </si>
  <si>
    <t>Practice Guidelines Nutritional Care</t>
  </si>
  <si>
    <t>Controls</t>
  </si>
  <si>
    <t>Cases</t>
  </si>
  <si>
    <t>Enhanced Usual Care (EUC)</t>
  </si>
  <si>
    <t>Nurse Practitioner/Community Health Worker (NP/CHW)</t>
  </si>
  <si>
    <t>Experimental Group</t>
  </si>
  <si>
    <t>Attention Control Condition</t>
  </si>
  <si>
    <t>Intervention Condition</t>
  </si>
  <si>
    <t>Case Management</t>
  </si>
  <si>
    <t>Individual Group</t>
  </si>
  <si>
    <t>Rehabilitation Group</t>
  </si>
  <si>
    <t>Group Counseling</t>
  </si>
  <si>
    <t>Individual Consultation</t>
  </si>
  <si>
    <t>Low-Intensity Group</t>
  </si>
  <si>
    <t>High-Intensity Group</t>
  </si>
  <si>
    <t>Cognitive Behavioral therapy (CBT)</t>
  </si>
  <si>
    <t>Conventional Group</t>
  </si>
  <si>
    <t>Telehome group</t>
  </si>
  <si>
    <t>General Practitioner (GP)</t>
  </si>
  <si>
    <t>Practice Nurse (PN)</t>
  </si>
  <si>
    <t>Minimal Psychological Intervention (MPI)</t>
  </si>
  <si>
    <t>Treatment</t>
  </si>
  <si>
    <t>Electronic logbook alone</t>
  </si>
  <si>
    <t>Electronic logbook + teleconsultation</t>
  </si>
  <si>
    <t>Traditional Education Intervention</t>
  </si>
  <si>
    <t>EPIC Intervention</t>
  </si>
  <si>
    <t>Standard Education (DSME)</t>
  </si>
  <si>
    <t>Computer Alone</t>
  </si>
  <si>
    <t>MI Alone</t>
  </si>
  <si>
    <t>MI with Computer</t>
  </si>
  <si>
    <t>Control Patients</t>
  </si>
  <si>
    <t>Intervention Patients</t>
  </si>
  <si>
    <t>Experimental</t>
  </si>
  <si>
    <t>Active Control Group (ACG)</t>
  </si>
  <si>
    <t>Structured self monitoring</t>
  </si>
  <si>
    <t>Control Clinic</t>
  </si>
  <si>
    <t>Intervention Clinic</t>
  </si>
  <si>
    <t>Resistance-Training Group</t>
  </si>
  <si>
    <t xml:space="preserve">Control </t>
  </si>
  <si>
    <t>Control group</t>
  </si>
  <si>
    <t>Intervention group</t>
  </si>
  <si>
    <t>Control Arm</t>
  </si>
  <si>
    <t>Intervention Arm</t>
  </si>
  <si>
    <t>SAVE Group</t>
  </si>
  <si>
    <t>Shared medical appointments</t>
  </si>
  <si>
    <t>Routine Group</t>
  </si>
  <si>
    <t>Nurse Led Group</t>
  </si>
  <si>
    <t>Intensive Dietary Intervention</t>
  </si>
  <si>
    <t>Intensive Dietary Intervention and Activity</t>
  </si>
  <si>
    <t>Routine Care</t>
  </si>
  <si>
    <t>Intensive Treatment Group</t>
  </si>
  <si>
    <t>Self-Monitoring</t>
  </si>
  <si>
    <t>Claims</t>
  </si>
  <si>
    <t>Claims + MR</t>
  </si>
  <si>
    <t>Claims + MR + DRN</t>
  </si>
  <si>
    <t>Intervention Group-1</t>
  </si>
  <si>
    <t>Intervention Group-2</t>
  </si>
  <si>
    <t>Web Training</t>
  </si>
  <si>
    <t>McMahon2012</t>
  </si>
  <si>
    <t>Telephone Care</t>
  </si>
  <si>
    <t>Online Care</t>
  </si>
  <si>
    <t>JADE</t>
  </si>
  <si>
    <t>JADE + PEARL</t>
  </si>
  <si>
    <t>Shah2014</t>
  </si>
  <si>
    <t xml:space="preserve">Intervention </t>
  </si>
  <si>
    <t>Formal health education</t>
  </si>
  <si>
    <t>Health Coaching</t>
  </si>
  <si>
    <t>Self-Directed (SD)</t>
  </si>
  <si>
    <t>Continuous Quality Improvement (CQI)</t>
  </si>
  <si>
    <t>Reflective Adaptive Process (RAP)</t>
  </si>
  <si>
    <t>Carve-Out</t>
  </si>
  <si>
    <t>Carve-In</t>
  </si>
  <si>
    <t>Usual Education</t>
  </si>
  <si>
    <t>Practice Staff</t>
  </si>
  <si>
    <t>Peer</t>
  </si>
  <si>
    <t>Educator</t>
  </si>
  <si>
    <t>SMBG</t>
  </si>
  <si>
    <t>CGM</t>
  </si>
  <si>
    <t>Telephone Counseling</t>
  </si>
  <si>
    <t>Intensive Care</t>
  </si>
  <si>
    <t>Physician Education</t>
  </si>
  <si>
    <t>Patient Education</t>
  </si>
  <si>
    <t>Patient and Physician Education</t>
  </si>
  <si>
    <t>DID</t>
  </si>
  <si>
    <t>Care guide</t>
  </si>
  <si>
    <t>Group 1</t>
  </si>
  <si>
    <t>Group 2</t>
  </si>
  <si>
    <t>Nurse Intervention</t>
  </si>
  <si>
    <t>Community Health worker</t>
  </si>
  <si>
    <t>Study Group</t>
  </si>
  <si>
    <t>Intensive Group</t>
  </si>
  <si>
    <t>Experimental group</t>
  </si>
  <si>
    <t>Intervention-Lite</t>
  </si>
  <si>
    <t>Full Intervention</t>
  </si>
  <si>
    <t>Usual practices</t>
  </si>
  <si>
    <t>Intervention practices</t>
  </si>
  <si>
    <t>Education</t>
  </si>
  <si>
    <t>Print Materials</t>
  </si>
  <si>
    <t>iDecide</t>
  </si>
  <si>
    <t>Low-incentive</t>
  </si>
  <si>
    <t>High-incentive</t>
  </si>
  <si>
    <t>Prev Care coordination- Usual Care (CC-UC)</t>
  </si>
  <si>
    <t>Prev Care coordination-Care coordination (CC-CC)</t>
  </si>
  <si>
    <t>Prev Active Care Management-Lower intensity Care coordination (ACM-CC)</t>
  </si>
  <si>
    <t>Prev Active Care Management- Care coordination with continued home telemonitoring (ACM-CCHT)</t>
  </si>
  <si>
    <t>Benchmarking group</t>
  </si>
  <si>
    <t>Free group</t>
  </si>
  <si>
    <t>Pay group</t>
  </si>
  <si>
    <t>Modem (experimental)</t>
  </si>
  <si>
    <t>Nurse case management (intervention)</t>
  </si>
  <si>
    <t xml:space="preserve">Biermann 2002* </t>
  </si>
  <si>
    <t>Conventional care (control)</t>
  </si>
  <si>
    <t>Group B (booklet)</t>
  </si>
  <si>
    <t>Group A (telematic)</t>
  </si>
  <si>
    <t>Immediate assay</t>
  </si>
  <si>
    <t>Clancy 2003*</t>
  </si>
  <si>
    <t>Group visit</t>
  </si>
  <si>
    <t>PCP (pharmaceutical care programme)</t>
  </si>
  <si>
    <t>Routine care</t>
  </si>
  <si>
    <t>Structured care</t>
  </si>
  <si>
    <t>BC group (basic nutrition care)</t>
  </si>
  <si>
    <t>PGC group (practice guidelines nutrition care)</t>
  </si>
  <si>
    <t>Brief intervention</t>
  </si>
  <si>
    <t>Single reminder</t>
  </si>
  <si>
    <t>Multiple reminders</t>
  </si>
  <si>
    <t>General practice</t>
  </si>
  <si>
    <t>Hospital</t>
  </si>
  <si>
    <t>GP care</t>
  </si>
  <si>
    <t>Clinic care</t>
  </si>
  <si>
    <t>Shared care</t>
  </si>
  <si>
    <t>Prompted</t>
  </si>
  <si>
    <t>Kulkarni 1998</t>
  </si>
  <si>
    <t>Practice guidelines</t>
  </si>
  <si>
    <t>Larsen 1990</t>
  </si>
  <si>
    <t>Monitored</t>
  </si>
  <si>
    <t>Control (group 1)</t>
  </si>
  <si>
    <t>Patient education (group 2)</t>
  </si>
  <si>
    <t>Physician education (group 3)</t>
  </si>
  <si>
    <t>Physician and patient education (group 4)</t>
  </si>
  <si>
    <t>Control sites</t>
  </si>
  <si>
    <t>Intervention sites</t>
  </si>
  <si>
    <t>Standard care</t>
  </si>
  <si>
    <t>Monitoring</t>
  </si>
  <si>
    <t>Group 2 (Log book control)</t>
  </si>
  <si>
    <t>Group 1 (Camit-S1 analysis program)</t>
  </si>
  <si>
    <t>Control patients</t>
  </si>
  <si>
    <t>Intervention patients</t>
  </si>
  <si>
    <t>No interview</t>
  </si>
  <si>
    <t>Doctor interview</t>
  </si>
  <si>
    <t>Nurse interview</t>
  </si>
  <si>
    <t>Staged Diabetes Management (SDM) program</t>
  </si>
  <si>
    <t>Shea, 2009</t>
  </si>
  <si>
    <t>Telemedicine case management</t>
  </si>
  <si>
    <t>Telemedicine</t>
  </si>
  <si>
    <t>McCarrier 2009</t>
  </si>
  <si>
    <t>Doucette 2009</t>
  </si>
  <si>
    <t>Peer support</t>
  </si>
  <si>
    <t>Diabetes specialist nurse</t>
  </si>
  <si>
    <t>Internet group</t>
  </si>
  <si>
    <t>Phone group</t>
  </si>
  <si>
    <t>Control clinics</t>
  </si>
  <si>
    <t>Intervention clinics</t>
  </si>
  <si>
    <t>Usual-care</t>
  </si>
  <si>
    <t>Trento 2008</t>
  </si>
  <si>
    <t>Group care</t>
  </si>
  <si>
    <t>Reference</t>
  </si>
  <si>
    <t>Study</t>
  </si>
  <si>
    <t>Active control arm</t>
  </si>
  <si>
    <t>Intervention arm</t>
  </si>
  <si>
    <t>No virtual consultation</t>
  </si>
  <si>
    <t>Virtual consultation</t>
  </si>
  <si>
    <t>Clinician reminders only</t>
  </si>
  <si>
    <t>Patient intervention plus reminders</t>
  </si>
  <si>
    <t>Conventional therapy</t>
  </si>
  <si>
    <t>Intensive therapy</t>
  </si>
  <si>
    <t>CGMS (continuous glucose monitoring system)</t>
  </si>
  <si>
    <t>CGMS/KADIS (continuous glucose monitoring system/Karlsburg Diabetes Management System</t>
  </si>
  <si>
    <t>Basic intervention</t>
  </si>
  <si>
    <t>Individualized intervention</t>
  </si>
  <si>
    <t>Benhamou 2007</t>
  </si>
  <si>
    <t>No-SMS</t>
  </si>
  <si>
    <t>SMS</t>
  </si>
  <si>
    <t>Group patients</t>
  </si>
  <si>
    <t>Individual only</t>
  </si>
  <si>
    <t>Individual plus group</t>
  </si>
  <si>
    <t>Jansa 2006</t>
  </si>
  <si>
    <t>Conventional Group (CG)</t>
  </si>
  <si>
    <t>Telecare Group (TG)</t>
  </si>
  <si>
    <t>Usual care (UC)</t>
  </si>
  <si>
    <t>Provider education-only (PROV)</t>
  </si>
  <si>
    <t>Chronic care model (CCM)</t>
  </si>
  <si>
    <t>NCM (nurse case management) intervention</t>
  </si>
  <si>
    <t>Farmer 2005</t>
  </si>
  <si>
    <t>Reminders</t>
  </si>
  <si>
    <t>Feedback</t>
  </si>
  <si>
    <t>Feedback + reminders</t>
  </si>
  <si>
    <t>Education and usual care</t>
  </si>
  <si>
    <t>Web-based care management</t>
  </si>
  <si>
    <t>Telephone</t>
  </si>
  <si>
    <t>Modem</t>
  </si>
  <si>
    <t>Kim, 2005</t>
    <phoneticPr fontId="0" type="noConversion"/>
  </si>
  <si>
    <t>Rothman 2005*</t>
  </si>
  <si>
    <t>Goldberg 2004</t>
  </si>
  <si>
    <t>Self-management support (SMS)</t>
  </si>
  <si>
    <t>Educational outreach</t>
  </si>
  <si>
    <t>Case management</t>
  </si>
  <si>
    <t>Montori 2004</t>
  </si>
  <si>
    <t>EDUPOST</t>
  </si>
  <si>
    <t>DOIT (Diabetes Outpatient Intensive Treatment) program</t>
  </si>
  <si>
    <t>Comparison site</t>
  </si>
  <si>
    <t>Intervention site</t>
  </si>
  <si>
    <t>Telemedicine retinal screening
program (TRSP)</t>
  </si>
  <si>
    <t>MD only (usual care)</t>
  </si>
  <si>
    <t>NP-MD team (team-based care)</t>
  </si>
  <si>
    <t xml:space="preserve">NCM (nurse case manager) </t>
  </si>
  <si>
    <t>CHW (community health worker)</t>
  </si>
  <si>
    <t>NCM/CHW</t>
  </si>
  <si>
    <t>Control arm</t>
  </si>
  <si>
    <t>PC (pharmaceutical care)</t>
  </si>
  <si>
    <t>Perria 2007</t>
  </si>
  <si>
    <t>Passive dissemination</t>
  </si>
  <si>
    <t>Active dissemination</t>
  </si>
  <si>
    <t>Conventional care</t>
  </si>
  <si>
    <t>Integrated care</t>
  </si>
  <si>
    <t>Patient</t>
  </si>
  <si>
    <t>Physician</t>
  </si>
  <si>
    <t>Both</t>
  </si>
  <si>
    <t>UQIP (usual quality improvement program)</t>
  </si>
  <si>
    <t>AQIP (advanced quality improvement program)</t>
  </si>
  <si>
    <t>GMC (group medical clinic)</t>
  </si>
  <si>
    <t>CC (care coordination)</t>
  </si>
  <si>
    <t>ACM+HT (active care management with home telemonitoring)</t>
  </si>
  <si>
    <t>NSD (nurse specialized in diabetes)</t>
  </si>
  <si>
    <t>Minimal intervention</t>
  </si>
  <si>
    <t>Intensive NCM/CHW intervention</t>
  </si>
  <si>
    <t>Telemonitoring</t>
  </si>
  <si>
    <t>Taviera 2009</t>
  </si>
  <si>
    <t>VA-MEDIC (Veterans Affairs Multi-disciplinary
Education and Diabetes Intervention for Cardiac risk reduction)</t>
  </si>
  <si>
    <t>Rashid 2009</t>
  </si>
  <si>
    <t>Duran 2008</t>
  </si>
  <si>
    <t>Group A</t>
  </si>
  <si>
    <t>Group B</t>
  </si>
  <si>
    <t>Huang 2010</t>
  </si>
  <si>
    <t>Ma 2009</t>
  </si>
  <si>
    <t>UC (usual care)</t>
  </si>
  <si>
    <t>CM (case management)</t>
  </si>
  <si>
    <t>Newman 2009</t>
  </si>
  <si>
    <t>Standard care control</t>
  </si>
  <si>
    <t>Attention control</t>
  </si>
  <si>
    <t>Glucowatch</t>
  </si>
  <si>
    <t xml:space="preserve">Guirguis 2001 </t>
  </si>
  <si>
    <t>Simmons 2004</t>
  </si>
  <si>
    <t>Passport</t>
  </si>
  <si>
    <t>Clinic</t>
  </si>
  <si>
    <t>Adjusted SE of mean difference available?</t>
  </si>
  <si>
    <t>Adjusted for other covariates?</t>
  </si>
  <si>
    <t xml:space="preserve">Adjusted SE of means could be calculated? Based on what? </t>
  </si>
  <si>
    <t>Adjusted SE of arms reported?</t>
  </si>
  <si>
    <t>N-log scale</t>
  </si>
  <si>
    <t>Y-p value, post difference</t>
  </si>
  <si>
    <t>Y-p value, difference in change</t>
  </si>
  <si>
    <t>N-only p values for groups reported</t>
  </si>
  <si>
    <t>N-CI, difference in change but no p-value</t>
  </si>
  <si>
    <t>Y-p value, CI, post difference</t>
  </si>
  <si>
    <t>N-p value, difference in change, but ANOVA across 3 groups; can not use our methods to calculate adjusted SE</t>
  </si>
  <si>
    <t>N-p value, difference in change but no cluster numbers per group</t>
  </si>
  <si>
    <t>can not compute-no p-value</t>
  </si>
  <si>
    <t>N-missing p value</t>
  </si>
  <si>
    <t>N-not enough information to trust; geometric means, etc.</t>
  </si>
  <si>
    <t>Y-p value, CI, difference in change</t>
  </si>
  <si>
    <t>Appropriate</t>
  </si>
  <si>
    <t>N-had p value, post difference=0</t>
  </si>
  <si>
    <t>N-log scale, post difference=0</t>
  </si>
  <si>
    <t>N-analyzed as a factorial study rather than 4 arm study</t>
  </si>
  <si>
    <t>N-difference of change=0</t>
  </si>
  <si>
    <t>N-CI, post difference, no p value</t>
  </si>
  <si>
    <t>x</t>
    <phoneticPr fontId="0" type="noConversion"/>
  </si>
  <si>
    <t>y.Alfadda 2011</t>
  </si>
  <si>
    <t>y.Maislos 2004</t>
  </si>
  <si>
    <t>ADDITION-Europe</t>
  </si>
  <si>
    <t>robust SE</t>
  </si>
  <si>
    <t>can not compute; no p value</t>
  </si>
  <si>
    <t>ANOVA mixed modelling</t>
  </si>
  <si>
    <t>y.Litzelman 1993</t>
  </si>
  <si>
    <t>y.Cortes-Sanabria, 2008</t>
  </si>
  <si>
    <t>y.Weitzman 2009</t>
  </si>
  <si>
    <t>y.Mehler, 2005</t>
  </si>
  <si>
    <t>Improving chronic disease care by adding laypersons to the primary care team. A Parallel randomized trial</t>
  </si>
  <si>
    <t>Excluded 2 clusters or less</t>
  </si>
  <si>
    <t>x?</t>
  </si>
  <si>
    <t>Charles 2011 (co to 11241)</t>
  </si>
  <si>
    <t>Peer review visit</t>
  </si>
  <si>
    <t>Author_year</t>
  </si>
  <si>
    <t>Cluster</t>
  </si>
  <si>
    <t>Post_arms_need_cluster_adjustment</t>
  </si>
  <si>
    <t>ICC_present</t>
  </si>
  <si>
    <t>Pre HbA1c mean Group 1</t>
  </si>
  <si>
    <t>Pre HbA1c SD Group 1</t>
  </si>
  <si>
    <t>Pre HbA1c SE Group 1</t>
  </si>
  <si>
    <t xml:space="preserve">Pre HbA1c Median Group 1 </t>
  </si>
  <si>
    <t>Pre HbA1c IQR Group 1</t>
  </si>
  <si>
    <t>Pre HbA1c mean Group 2</t>
  </si>
  <si>
    <t xml:space="preserve">Pre HbA1c SD Group 2 </t>
  </si>
  <si>
    <t xml:space="preserve">Pre HbA1c SE Group 2 </t>
  </si>
  <si>
    <t xml:space="preserve">Pre HbA1c Median Group 2 </t>
  </si>
  <si>
    <t xml:space="preserve">Pre HbA1c IQR Group 2 </t>
  </si>
  <si>
    <t>Pre HbA1c mean Group 3</t>
  </si>
  <si>
    <t xml:space="preserve">Pre HbA1c SD Group 3 </t>
  </si>
  <si>
    <t xml:space="preserve">Pre HbA1c SE Group 3 </t>
  </si>
  <si>
    <t xml:space="preserve">Pre HbA1c Median Group 3 </t>
  </si>
  <si>
    <t xml:space="preserve">Pre HbA1c IQR Group 3 </t>
  </si>
  <si>
    <t>Pre HbA1c mean Group 4</t>
  </si>
  <si>
    <t xml:space="preserve">Pre HbA1c SD Group 4 </t>
  </si>
  <si>
    <t xml:space="preserve">Pre HbA1c SE Group 4 </t>
  </si>
  <si>
    <t xml:space="preserve">Pre HbA1c Median Group 4 </t>
  </si>
  <si>
    <t xml:space="preserve">Pre HbA1c IQR Group 4 </t>
  </si>
  <si>
    <t>Post HbA1c mean Group 1</t>
  </si>
  <si>
    <t xml:space="preserve">Post HbA1c SD Group 1 </t>
  </si>
  <si>
    <t xml:space="preserve">Post HbA1c SE Group 1 </t>
  </si>
  <si>
    <t xml:space="preserve">Post HbA1c Median Group 1 </t>
  </si>
  <si>
    <t xml:space="preserve">Post HbA1c IQR Group 1 </t>
  </si>
  <si>
    <t>Post HbA1c mean Group 2</t>
  </si>
  <si>
    <t xml:space="preserve">Post HbA1c SD Group 2 </t>
  </si>
  <si>
    <t xml:space="preserve">Post HbA1c SE Group 2 </t>
  </si>
  <si>
    <t xml:space="preserve">Post HbA1c Median Group 2 </t>
  </si>
  <si>
    <t xml:space="preserve">Post HbA1c IQR Group 2 </t>
  </si>
  <si>
    <t xml:space="preserve">Post HbA1c SD Group 3 </t>
  </si>
  <si>
    <t xml:space="preserve">Post HbA1c SE Group 3 </t>
  </si>
  <si>
    <t xml:space="preserve">Post HbA1c Median Group 3 </t>
  </si>
  <si>
    <t xml:space="preserve">Post HbA1c IQR Group 3 </t>
  </si>
  <si>
    <t xml:space="preserve">Post HbA1c SD Group 4 </t>
  </si>
  <si>
    <t xml:space="preserve">Post HbA1c SE Group 4 </t>
  </si>
  <si>
    <t xml:space="preserve">Post HbA1c Median Group 4 </t>
  </si>
  <si>
    <t xml:space="preserve">Post HbA1c IQR Group 4 </t>
  </si>
  <si>
    <t>Number_of_clusters</t>
  </si>
  <si>
    <t>Arm</t>
  </si>
  <si>
    <t>Post HbA1c mean Group 3</t>
  </si>
  <si>
    <t>Post HbA1c mean Group 4</t>
  </si>
  <si>
    <t>#arms</t>
  </si>
  <si>
    <t>Calculation</t>
  </si>
  <si>
    <t>Sum</t>
  </si>
  <si>
    <t>Post N</t>
  </si>
  <si>
    <t>Average cluster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</si>
</sst>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46">
    <font>
      <sz val="12"/>
      <color theme="1"/>
      <name val="Calibri"/>
      <family val="2"/>
      <scheme val="minor"/>
    </font>
    <font>
      <b/>
      <sz val="10"/>
      <color indexed="0"/>
      <name val="Verdana"/>
      <family val="2"/>
    </font>
    <font>
      <b/>
      <sz val="10"/>
      <name val="Verdana"/>
      <family val="2"/>
    </font>
    <font>
      <b/>
      <sz val="10"/>
      <color rgb="FFFF6600"/>
      <name val="Verdana"/>
      <family val="2"/>
    </font>
    <font>
      <b/>
      <sz val="10"/>
      <color rgb="FF008000"/>
      <name val="Verdana"/>
      <family val="2"/>
    </font>
    <font>
      <b/>
      <sz val="10"/>
      <color rgb="FF0000FF"/>
      <name val="Verdana"/>
      <family val="2"/>
    </font>
    <font>
      <b/>
      <sz val="10"/>
      <color rgb="FF800000"/>
      <name val="Verdana"/>
      <family val="2"/>
    </font>
    <font>
      <sz val="10"/>
      <name val="Verdana"/>
      <family val="2"/>
    </font>
    <font>
      <sz val="10"/>
      <color theme="1"/>
      <name val="Verdana"/>
      <family val="2"/>
    </font>
    <font>
      <b/>
      <sz val="10"/>
      <color indexed="8"/>
      <name val="Verdana"/>
      <family val="2"/>
    </font>
    <font>
      <sz val="10"/>
      <color indexed="0"/>
      <name val="Verdana"/>
      <family val="2"/>
    </font>
    <font>
      <b/>
      <sz val="9"/>
      <color indexed="0"/>
      <name val="Helvetica Neue"/>
      <family val="2"/>
    </font>
    <font>
      <sz val="9"/>
      <color indexed="0"/>
      <name val="Helvetica Neue"/>
      <family val="2"/>
    </font>
    <font>
      <b/>
      <sz val="9"/>
      <color indexed="81"/>
      <name val="Verdana"/>
      <family val="2"/>
    </font>
    <font>
      <sz val="9"/>
      <color indexed="81"/>
      <name val="Verdana"/>
      <family val="2"/>
    </font>
    <font>
      <b/>
      <sz val="9"/>
      <color indexed="81"/>
      <name val="Tahoma"/>
      <family val="2"/>
    </font>
    <font>
      <sz val="9"/>
      <color indexed="81"/>
      <name val="Tahoma"/>
      <family val="2"/>
    </font>
    <font>
      <b/>
      <sz val="8"/>
      <color indexed="81"/>
      <name val="Tahoma"/>
      <family val="2"/>
    </font>
    <font>
      <sz val="8"/>
      <color indexed="81"/>
      <name val="Tahoma"/>
      <family val="2"/>
    </font>
    <font>
      <sz val="9"/>
      <color indexed="0"/>
      <name val="Tahoma Bold"/>
    </font>
    <font>
      <sz val="12"/>
      <name val="Calibri"/>
      <family val="2"/>
      <scheme val="minor"/>
    </font>
    <font>
      <sz val="9"/>
      <color indexed="81"/>
      <name val="Calibri"/>
      <family val="2"/>
    </font>
    <font>
      <u/>
      <sz val="12"/>
      <color theme="10"/>
      <name val="Calibri"/>
      <family val="2"/>
      <scheme val="minor"/>
    </font>
    <font>
      <u/>
      <sz val="12"/>
      <color theme="11"/>
      <name val="Calibri"/>
      <family val="2"/>
      <scheme val="minor"/>
    </font>
    <font>
      <b/>
      <sz val="9"/>
      <color indexed="81"/>
      <name val="Calibri"/>
      <family val="2"/>
    </font>
    <font>
      <sz val="12"/>
      <color rgb="FF000000"/>
      <name val="Calibri"/>
      <family val="2"/>
      <scheme val="minor"/>
    </font>
    <font>
      <u/>
      <sz val="10"/>
      <color indexed="12"/>
      <name val="Verdana"/>
      <family val="2"/>
    </font>
    <font>
      <sz val="10"/>
      <color rgb="FF111111"/>
      <name val="Verdana"/>
      <family val="2"/>
    </font>
    <font>
      <sz val="10"/>
      <color indexed="20"/>
      <name val="Verdana"/>
      <family val="2"/>
    </font>
    <font>
      <sz val="10"/>
      <color indexed="8"/>
      <name val="Verdana"/>
      <family val="2"/>
    </font>
    <font>
      <i/>
      <sz val="10"/>
      <name val="Verdana"/>
      <family val="2"/>
    </font>
    <font>
      <sz val="10"/>
      <name val="Calibri"/>
      <family val="2"/>
    </font>
    <font>
      <sz val="10"/>
      <color rgb="FF000000"/>
      <name val="Verdana"/>
      <family val="2"/>
    </font>
    <font>
      <sz val="10"/>
      <color indexed="10"/>
      <name val="Verdana"/>
      <family val="2"/>
    </font>
    <font>
      <sz val="10"/>
      <color indexed="12"/>
      <name val="Verdana"/>
      <family val="2"/>
    </font>
    <font>
      <b/>
      <sz val="10"/>
      <color theme="1"/>
      <name val="Verdana"/>
      <family val="2"/>
    </font>
    <font>
      <sz val="8"/>
      <name val="Calibri"/>
      <family val="2"/>
      <scheme val="minor"/>
    </font>
    <font>
      <b/>
      <sz val="9"/>
      <name val="Calibri"/>
      <family val="2"/>
    </font>
    <font>
      <sz val="9"/>
      <name val="Calibri"/>
      <family val="2"/>
    </font>
    <font>
      <sz val="9"/>
      <color theme="1"/>
      <name val="Calibri"/>
      <family val="2"/>
    </font>
    <font>
      <i/>
      <sz val="10"/>
      <color theme="1"/>
      <name val="Verdana"/>
      <family val="2"/>
    </font>
    <font>
      <b/>
      <sz val="10"/>
      <color rgb="FF000000"/>
      <name val="Verdana"/>
      <family val="2"/>
    </font>
    <font>
      <b/>
      <sz val="9"/>
      <color rgb="FF000000"/>
      <name val="Tahoma"/>
      <family val="2"/>
    </font>
    <font>
      <sz val="9"/>
      <color rgb="FF000000"/>
      <name val="Tahoma"/>
      <family val="2"/>
    </font>
    <font>
      <b/>
      <sz val="9"/>
      <color rgb="FF000000"/>
      <name val="Verdana"/>
      <family val="2"/>
    </font>
    <font>
      <sz val="9"/>
      <color rgb="FF000000"/>
      <name val="Verdana"/>
      <family val="2"/>
    </font>
  </fonts>
  <fills count="26">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
      <patternFill patternType="solid">
        <fgColor theme="6"/>
        <bgColor indexed="64"/>
      </patternFill>
    </fill>
    <fill>
      <patternFill patternType="solid">
        <fgColor theme="0"/>
        <bgColor indexed="64"/>
      </patternFill>
    </fill>
    <fill>
      <patternFill patternType="solid">
        <fgColor theme="9"/>
        <bgColor indexed="64"/>
      </patternFill>
    </fill>
    <fill>
      <patternFill patternType="solid">
        <fgColor theme="7"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rgb="FFFF0000"/>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indexed="9"/>
        <bgColor indexed="64"/>
      </patternFill>
    </fill>
    <fill>
      <patternFill patternType="solid">
        <fgColor indexed="45"/>
        <bgColor indexed="64"/>
      </patternFill>
    </fill>
    <fill>
      <patternFill patternType="solid">
        <fgColor indexed="43"/>
        <bgColor indexed="64"/>
      </patternFill>
    </fill>
    <fill>
      <patternFill patternType="solid">
        <fgColor indexed="41"/>
        <bgColor indexed="64"/>
      </patternFill>
    </fill>
    <fill>
      <patternFill patternType="solid">
        <fgColor indexed="47"/>
        <bgColor indexed="64"/>
      </patternFill>
    </fill>
    <fill>
      <patternFill patternType="solid">
        <fgColor rgb="FFCC99FF"/>
        <bgColor indexed="64"/>
      </patternFill>
    </fill>
    <fill>
      <patternFill patternType="solid">
        <fgColor indexed="42"/>
        <bgColor indexed="64"/>
      </patternFill>
    </fill>
    <fill>
      <patternFill patternType="solid">
        <fgColor indexed="46"/>
        <bgColor indexed="64"/>
      </patternFill>
    </fill>
    <fill>
      <patternFill patternType="solid">
        <fgColor indexed="22"/>
        <bgColor indexed="64"/>
      </patternFill>
    </fill>
    <fill>
      <patternFill patternType="solid">
        <fgColor indexed="13"/>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9" tint="0.59999389629810485"/>
        <bgColor indexed="64"/>
      </patternFill>
    </fill>
  </fills>
  <borders count="12">
    <border>
      <left/>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medium">
        <color auto="1"/>
      </bottom>
      <diagonal/>
    </border>
    <border>
      <left/>
      <right/>
      <top/>
      <bottom style="medium">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style="thin">
        <color auto="1"/>
      </top>
      <bottom style="medium">
        <color auto="1"/>
      </bottom>
      <diagonal/>
    </border>
    <border>
      <left style="thin">
        <color auto="1"/>
      </left>
      <right style="thin">
        <color auto="1"/>
      </right>
      <top/>
      <bottom style="thin">
        <color auto="1"/>
      </bottom>
      <diagonal/>
    </border>
  </borders>
  <cellStyleXfs count="1508">
    <xf numFmtId="0" fontId="0" fillId="0" borderId="0"/>
    <xf numFmtId="0" fontId="7"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7" fillId="0" borderId="0"/>
    <xf numFmtId="0" fontId="7"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241">
    <xf numFmtId="0" fontId="0" fillId="0" borderId="0" xfId="0"/>
    <xf numFmtId="0" fontId="1" fillId="0" borderId="0" xfId="0" applyFont="1" applyAlignment="1">
      <alignment horizontal="right"/>
    </xf>
    <xf numFmtId="0" fontId="1" fillId="0" borderId="0" xfId="0" applyFont="1" applyAlignment="1">
      <alignment horizontal="center" wrapText="1"/>
    </xf>
    <xf numFmtId="0" fontId="2" fillId="0" borderId="0" xfId="0" applyFont="1" applyAlignment="1">
      <alignment horizontal="center" wrapText="1"/>
    </xf>
    <xf numFmtId="0" fontId="1"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3" fillId="0" borderId="0" xfId="0" applyFont="1" applyAlignment="1">
      <alignment horizontal="center" wrapText="1"/>
    </xf>
    <xf numFmtId="2" fontId="3" fillId="0" borderId="0" xfId="0" applyNumberFormat="1" applyFont="1" applyAlignment="1">
      <alignment horizontal="center" wrapText="1"/>
    </xf>
    <xf numFmtId="0" fontId="4" fillId="0" borderId="0" xfId="0" applyFont="1" applyAlignment="1">
      <alignment horizontal="center" wrapText="1"/>
    </xf>
    <xf numFmtId="0" fontId="5" fillId="0" borderId="0" xfId="0" applyFont="1" applyAlignment="1">
      <alignment horizontal="center" wrapText="1"/>
    </xf>
    <xf numFmtId="2" fontId="5" fillId="0" borderId="0" xfId="0" applyNumberFormat="1" applyFont="1" applyAlignment="1">
      <alignment horizontal="center" wrapText="1"/>
    </xf>
    <xf numFmtId="0" fontId="6" fillId="0" borderId="0" xfId="0" applyFont="1" applyAlignment="1">
      <alignment horizontal="center" wrapText="1"/>
    </xf>
    <xf numFmtId="2" fontId="6" fillId="0" borderId="0" xfId="0" applyNumberFormat="1" applyFont="1" applyAlignment="1">
      <alignment horizontal="center" wrapText="1"/>
    </xf>
    <xf numFmtId="2" fontId="1" fillId="0" borderId="0" xfId="0" applyNumberFormat="1" applyFont="1" applyAlignment="1">
      <alignment horizontal="center" wrapText="1"/>
    </xf>
    <xf numFmtId="2" fontId="4" fillId="0" borderId="0" xfId="0" applyNumberFormat="1" applyFont="1" applyAlignment="1">
      <alignment horizontal="center" wrapText="1"/>
    </xf>
    <xf numFmtId="0" fontId="2" fillId="0" borderId="0" xfId="0" applyFont="1" applyAlignment="1">
      <alignment wrapText="1"/>
    </xf>
    <xf numFmtId="2" fontId="2" fillId="0" borderId="0" xfId="0" applyNumberFormat="1" applyFont="1" applyAlignment="1">
      <alignment horizontal="center" wrapText="1"/>
    </xf>
    <xf numFmtId="0" fontId="8" fillId="0" borderId="0" xfId="1" applyFont="1" applyAlignment="1">
      <alignment horizontal="center"/>
    </xf>
    <xf numFmtId="0" fontId="8" fillId="0" borderId="0" xfId="1" applyFont="1" applyAlignment="1">
      <alignment horizontal="left"/>
    </xf>
    <xf numFmtId="2" fontId="8" fillId="0" borderId="0" xfId="1" applyNumberFormat="1" applyFont="1" applyAlignment="1">
      <alignment horizontal="center"/>
    </xf>
    <xf numFmtId="0" fontId="8" fillId="0" borderId="0" xfId="0" applyFont="1"/>
    <xf numFmtId="1" fontId="8" fillId="0" borderId="0" xfId="1" applyNumberFormat="1" applyFont="1" applyAlignment="1">
      <alignment horizontal="center"/>
    </xf>
    <xf numFmtId="0" fontId="0" fillId="0" borderId="0" xfId="0" applyAlignment="1">
      <alignment horizontal="center"/>
    </xf>
    <xf numFmtId="0" fontId="8" fillId="5" borderId="0" xfId="0" applyFont="1" applyFill="1"/>
    <xf numFmtId="0" fontId="8" fillId="0" borderId="0" xfId="0" applyFont="1" applyAlignment="1">
      <alignment horizontal="center"/>
    </xf>
    <xf numFmtId="2" fontId="8" fillId="0" borderId="0" xfId="0" applyNumberFormat="1" applyFont="1" applyAlignment="1">
      <alignment horizontal="center"/>
    </xf>
    <xf numFmtId="0" fontId="8" fillId="2" borderId="0" xfId="0" applyFont="1" applyFill="1" applyAlignment="1">
      <alignment horizontal="right"/>
    </xf>
    <xf numFmtId="0" fontId="8" fillId="0" borderId="0" xfId="0" applyFont="1" applyAlignment="1">
      <alignment horizontal="left"/>
    </xf>
    <xf numFmtId="2" fontId="8" fillId="4" borderId="0" xfId="0" applyNumberFormat="1" applyFont="1" applyFill="1" applyAlignment="1">
      <alignment horizontal="center"/>
    </xf>
    <xf numFmtId="0" fontId="8" fillId="6" borderId="0" xfId="0" applyFont="1" applyFill="1" applyAlignment="1">
      <alignment horizontal="center"/>
    </xf>
    <xf numFmtId="0" fontId="8" fillId="6" borderId="0" xfId="0" applyFont="1" applyFill="1" applyAlignment="1">
      <alignment horizontal="left"/>
    </xf>
    <xf numFmtId="0" fontId="8" fillId="0" borderId="0" xfId="0" applyFont="1" applyAlignment="1">
      <alignment horizontal="center" wrapText="1"/>
    </xf>
    <xf numFmtId="0" fontId="8" fillId="0" borderId="0" xfId="0" applyFont="1" applyAlignment="1">
      <alignment horizontal="right"/>
    </xf>
    <xf numFmtId="0" fontId="20" fillId="0" borderId="0" xfId="0" applyFont="1" applyAlignment="1">
      <alignment horizontal="right"/>
    </xf>
    <xf numFmtId="0" fontId="20" fillId="0" borderId="0" xfId="0" applyFont="1"/>
    <xf numFmtId="0" fontId="8" fillId="0" borderId="0" xfId="1" applyFont="1" applyAlignment="1">
      <alignment horizontal="right"/>
    </xf>
    <xf numFmtId="0" fontId="8" fillId="7" borderId="0" xfId="0" applyFont="1" applyFill="1"/>
    <xf numFmtId="0" fontId="7" fillId="0" borderId="0" xfId="1" applyAlignment="1">
      <alignment horizontal="center"/>
    </xf>
    <xf numFmtId="2" fontId="8" fillId="0" borderId="0" xfId="0" applyNumberFormat="1" applyFont="1" applyAlignment="1">
      <alignment horizontal="left"/>
    </xf>
    <xf numFmtId="0" fontId="2" fillId="0" borderId="0" xfId="0" applyFont="1" applyAlignment="1">
      <alignment horizontal="center"/>
    </xf>
    <xf numFmtId="0" fontId="2" fillId="0" borderId="0" xfId="0" applyFont="1" applyAlignment="1">
      <alignment horizontal="left"/>
    </xf>
    <xf numFmtId="0" fontId="7" fillId="0" borderId="0" xfId="0" applyFont="1"/>
    <xf numFmtId="0" fontId="7" fillId="0" borderId="0" xfId="208" applyFont="1" applyFill="1" applyBorder="1" applyAlignment="1" applyProtection="1"/>
    <xf numFmtId="0" fontId="0" fillId="0" borderId="0" xfId="0" applyAlignment="1">
      <alignment horizontal="right"/>
    </xf>
    <xf numFmtId="0" fontId="2" fillId="0" borderId="0" xfId="0" applyFont="1"/>
    <xf numFmtId="0" fontId="7" fillId="8" borderId="0" xfId="0" applyFont="1" applyFill="1"/>
    <xf numFmtId="0" fontId="7" fillId="0" borderId="0" xfId="0" applyFont="1" applyAlignment="1">
      <alignment horizontal="center"/>
    </xf>
    <xf numFmtId="0" fontId="7" fillId="0" borderId="0" xfId="0" applyFont="1" applyAlignment="1">
      <alignment horizontal="right"/>
    </xf>
    <xf numFmtId="0" fontId="7" fillId="0" borderId="0" xfId="209" applyFont="1" applyFill="1" applyBorder="1" applyAlignment="1" applyProtection="1"/>
    <xf numFmtId="0" fontId="7" fillId="0" borderId="0" xfId="1" applyAlignment="1">
      <alignment horizontal="right"/>
    </xf>
    <xf numFmtId="0" fontId="7" fillId="0" borderId="0" xfId="1"/>
    <xf numFmtId="0" fontId="0" fillId="0" borderId="0" xfId="1" applyFont="1"/>
    <xf numFmtId="0" fontId="7" fillId="0" borderId="0" xfId="210" applyFont="1" applyFill="1" applyBorder="1" applyAlignment="1" applyProtection="1"/>
    <xf numFmtId="0" fontId="7" fillId="0" borderId="0" xfId="0" applyFont="1" applyAlignment="1">
      <alignment horizontal="left"/>
    </xf>
    <xf numFmtId="0" fontId="7" fillId="0" borderId="0" xfId="1" applyAlignment="1">
      <alignment horizontal="left"/>
    </xf>
    <xf numFmtId="0" fontId="7" fillId="3" borderId="0" xfId="0" applyFont="1" applyFill="1"/>
    <xf numFmtId="0" fontId="27" fillId="0" borderId="0" xfId="0" applyFont="1"/>
    <xf numFmtId="0" fontId="26" fillId="0" borderId="0" xfId="208" applyAlignment="1" applyProtection="1"/>
    <xf numFmtId="0" fontId="28" fillId="0" borderId="0" xfId="0" applyFont="1"/>
    <xf numFmtId="0" fontId="30" fillId="0" borderId="0" xfId="0" applyFont="1" applyAlignment="1">
      <alignment horizontal="center"/>
    </xf>
    <xf numFmtId="0" fontId="7" fillId="13" borderId="0" xfId="0" applyFont="1" applyFill="1"/>
    <xf numFmtId="0" fontId="29" fillId="0" borderId="0" xfId="0" applyFont="1"/>
    <xf numFmtId="0" fontId="7" fillId="12" borderId="0" xfId="0" applyFont="1" applyFill="1"/>
    <xf numFmtId="0" fontId="7" fillId="14" borderId="0" xfId="0" applyFont="1" applyFill="1" applyAlignment="1">
      <alignment horizontal="right"/>
    </xf>
    <xf numFmtId="0" fontId="7" fillId="0" borderId="0" xfId="0" applyFont="1" applyAlignment="1">
      <alignment horizontal="center" vertical="top"/>
    </xf>
    <xf numFmtId="0" fontId="7" fillId="0" borderId="0" xfId="1" applyAlignment="1">
      <alignment horizontal="right" vertical="top"/>
    </xf>
    <xf numFmtId="0" fontId="7" fillId="0" borderId="0" xfId="0" applyFont="1" applyAlignment="1">
      <alignment horizontal="left" vertical="top"/>
    </xf>
    <xf numFmtId="0" fontId="7" fillId="0" borderId="0" xfId="0" applyFont="1" applyAlignment="1">
      <alignment horizontal="center" wrapText="1"/>
    </xf>
    <xf numFmtId="0" fontId="2" fillId="0" borderId="0" xfId="0" applyFont="1" applyAlignment="1">
      <alignment horizontal="right"/>
    </xf>
    <xf numFmtId="0" fontId="20" fillId="0" borderId="0" xfId="0" applyFont="1" applyAlignment="1">
      <alignment horizontal="left"/>
    </xf>
    <xf numFmtId="0" fontId="8" fillId="0" borderId="0" xfId="1" applyFont="1"/>
    <xf numFmtId="1" fontId="7" fillId="0" borderId="0" xfId="0" applyNumberFormat="1" applyFont="1" applyAlignment="1">
      <alignment horizontal="center"/>
    </xf>
    <xf numFmtId="0" fontId="7" fillId="0" borderId="0" xfId="0" applyFont="1" applyAlignment="1">
      <alignment wrapText="1"/>
    </xf>
    <xf numFmtId="0" fontId="0" fillId="0" borderId="0" xfId="0" applyAlignment="1">
      <alignment wrapText="1"/>
    </xf>
    <xf numFmtId="0" fontId="0" fillId="14" borderId="0" xfId="0" applyFill="1" applyAlignment="1">
      <alignment wrapText="1"/>
    </xf>
    <xf numFmtId="0" fontId="0" fillId="17" borderId="0" xfId="0" applyFill="1"/>
    <xf numFmtId="0" fontId="2" fillId="0" borderId="6" xfId="0" applyFont="1" applyBorder="1" applyAlignment="1">
      <alignment vertical="top" wrapText="1"/>
    </xf>
    <xf numFmtId="0" fontId="2" fillId="0" borderId="3" xfId="0" applyFont="1" applyBorder="1" applyAlignment="1">
      <alignment vertical="top" wrapText="1"/>
    </xf>
    <xf numFmtId="0" fontId="2" fillId="0" borderId="0" xfId="0" applyFont="1" applyAlignment="1">
      <alignment vertical="top" wrapText="1"/>
    </xf>
    <xf numFmtId="0" fontId="2" fillId="15" borderId="7" xfId="0" applyFont="1" applyFill="1" applyBorder="1" applyAlignment="1">
      <alignment vertical="top" wrapText="1"/>
    </xf>
    <xf numFmtId="0" fontId="2" fillId="15" borderId="3" xfId="0" applyFont="1" applyFill="1" applyBorder="1" applyAlignment="1">
      <alignment vertical="top" wrapText="1"/>
    </xf>
    <xf numFmtId="0" fontId="7" fillId="15" borderId="4" xfId="0" applyFont="1" applyFill="1" applyBorder="1" applyAlignment="1">
      <alignment vertical="top" wrapText="1"/>
    </xf>
    <xf numFmtId="0" fontId="7" fillId="15" borderId="3" xfId="0" applyFont="1" applyFill="1" applyBorder="1" applyAlignment="1">
      <alignment wrapText="1"/>
    </xf>
    <xf numFmtId="0" fontId="30" fillId="15" borderId="3" xfId="0" applyFont="1" applyFill="1" applyBorder="1" applyAlignment="1">
      <alignment wrapText="1"/>
    </xf>
    <xf numFmtId="0" fontId="7" fillId="15" borderId="5" xfId="0" applyFont="1" applyFill="1" applyBorder="1" applyAlignment="1">
      <alignment vertical="top" wrapText="1"/>
    </xf>
    <xf numFmtId="0" fontId="0" fillId="15" borderId="5" xfId="0" applyFill="1" applyBorder="1" applyAlignment="1">
      <alignment vertical="top" wrapText="1"/>
    </xf>
    <xf numFmtId="0" fontId="0" fillId="15" borderId="3" xfId="0" applyFill="1" applyBorder="1" applyAlignment="1">
      <alignment wrapText="1"/>
    </xf>
    <xf numFmtId="0" fontId="33" fillId="0" borderId="0" xfId="0" applyFont="1"/>
    <xf numFmtId="0" fontId="7" fillId="15" borderId="8" xfId="0" applyFont="1" applyFill="1" applyBorder="1" applyAlignment="1">
      <alignment vertical="top" wrapText="1"/>
    </xf>
    <xf numFmtId="0" fontId="7" fillId="15" borderId="9" xfId="0" applyFont="1" applyFill="1" applyBorder="1" applyAlignment="1">
      <alignment wrapText="1"/>
    </xf>
    <xf numFmtId="0" fontId="2" fillId="16" borderId="10" xfId="0" applyFont="1" applyFill="1" applyBorder="1" applyAlignment="1">
      <alignment vertical="top" wrapText="1"/>
    </xf>
    <xf numFmtId="0" fontId="7" fillId="16" borderId="3" xfId="0" applyFont="1" applyFill="1" applyBorder="1" applyAlignment="1">
      <alignment wrapText="1"/>
    </xf>
    <xf numFmtId="0" fontId="7" fillId="16" borderId="4" xfId="0" applyFont="1" applyFill="1" applyBorder="1" applyAlignment="1">
      <alignment vertical="top" wrapText="1"/>
    </xf>
    <xf numFmtId="0" fontId="34" fillId="16" borderId="3" xfId="0" applyFont="1" applyFill="1" applyBorder="1" applyAlignment="1">
      <alignment wrapText="1"/>
    </xf>
    <xf numFmtId="0" fontId="7" fillId="16" borderId="5" xfId="0" applyFont="1" applyFill="1" applyBorder="1" applyAlignment="1">
      <alignment vertical="top" wrapText="1"/>
    </xf>
    <xf numFmtId="0" fontId="0" fillId="16" borderId="5" xfId="0" applyFill="1" applyBorder="1" applyAlignment="1">
      <alignment vertical="top" wrapText="1"/>
    </xf>
    <xf numFmtId="0" fontId="0" fillId="16" borderId="3" xfId="0" applyFill="1" applyBorder="1" applyAlignment="1">
      <alignment wrapText="1"/>
    </xf>
    <xf numFmtId="0" fontId="30" fillId="16" borderId="3" xfId="0" applyFont="1" applyFill="1" applyBorder="1" applyAlignment="1">
      <alignment wrapText="1"/>
    </xf>
    <xf numFmtId="0" fontId="2" fillId="0" borderId="5" xfId="0" applyFont="1" applyBorder="1" applyAlignment="1">
      <alignment vertical="top" wrapText="1"/>
    </xf>
    <xf numFmtId="0" fontId="7" fillId="0" borderId="3" xfId="0" applyFont="1" applyBorder="1" applyAlignment="1">
      <alignment wrapText="1"/>
    </xf>
    <xf numFmtId="0" fontId="7" fillId="0" borderId="5" xfId="0" applyFont="1" applyBorder="1" applyAlignment="1">
      <alignment vertical="top" wrapText="1"/>
    </xf>
    <xf numFmtId="0" fontId="34" fillId="0" borderId="3" xfId="0" applyFont="1" applyBorder="1" applyAlignment="1">
      <alignment wrapText="1"/>
    </xf>
    <xf numFmtId="0" fontId="0" fillId="0" borderId="5" xfId="0" applyBorder="1" applyAlignment="1">
      <alignment vertical="top" wrapText="1"/>
    </xf>
    <xf numFmtId="0" fontId="0" fillId="0" borderId="3" xfId="0" applyBorder="1" applyAlignment="1">
      <alignment wrapText="1"/>
    </xf>
    <xf numFmtId="0" fontId="30" fillId="0" borderId="3" xfId="0" applyFont="1" applyBorder="1" applyAlignment="1">
      <alignment wrapText="1"/>
    </xf>
    <xf numFmtId="165" fontId="7" fillId="0" borderId="3" xfId="0" applyNumberFormat="1" applyFont="1" applyBorder="1" applyAlignment="1">
      <alignment wrapText="1"/>
    </xf>
    <xf numFmtId="0" fontId="2" fillId="16" borderId="3" xfId="0" applyFont="1" applyFill="1" applyBorder="1" applyAlignment="1">
      <alignment vertical="top" wrapText="1"/>
    </xf>
    <xf numFmtId="0" fontId="2" fillId="17" borderId="3" xfId="0" applyFont="1" applyFill="1" applyBorder="1" applyAlignment="1">
      <alignment vertical="top" wrapText="1"/>
    </xf>
    <xf numFmtId="0" fontId="7" fillId="17" borderId="3" xfId="0" applyFont="1" applyFill="1" applyBorder="1" applyAlignment="1">
      <alignment wrapText="1"/>
    </xf>
    <xf numFmtId="0" fontId="7" fillId="17" borderId="4" xfId="0" applyFont="1" applyFill="1" applyBorder="1" applyAlignment="1">
      <alignment vertical="top" wrapText="1"/>
    </xf>
    <xf numFmtId="0" fontId="7" fillId="17" borderId="5" xfId="0" applyFont="1" applyFill="1" applyBorder="1" applyAlignment="1">
      <alignment vertical="top" wrapText="1"/>
    </xf>
    <xf numFmtId="0" fontId="0" fillId="17" borderId="5" xfId="0" applyFill="1" applyBorder="1" applyAlignment="1">
      <alignment vertical="top" wrapText="1"/>
    </xf>
    <xf numFmtId="0" fontId="0" fillId="17" borderId="3" xfId="0" applyFill="1" applyBorder="1" applyAlignment="1">
      <alignment wrapText="1"/>
    </xf>
    <xf numFmtId="0" fontId="30" fillId="17" borderId="3" xfId="0" applyFont="1" applyFill="1" applyBorder="1" applyAlignment="1">
      <alignment wrapText="1"/>
    </xf>
    <xf numFmtId="0" fontId="7" fillId="0" borderId="4" xfId="0" applyFont="1" applyBorder="1" applyAlignment="1">
      <alignment vertical="top" wrapText="1"/>
    </xf>
    <xf numFmtId="0" fontId="0" fillId="0" borderId="3" xfId="0" applyBorder="1"/>
    <xf numFmtId="0" fontId="7" fillId="0" borderId="3" xfId="0" applyFont="1" applyBorder="1"/>
    <xf numFmtId="0" fontId="34" fillId="17" borderId="3" xfId="0" applyFont="1" applyFill="1" applyBorder="1" applyAlignment="1">
      <alignment wrapText="1"/>
    </xf>
    <xf numFmtId="0" fontId="2" fillId="20" borderId="10" xfId="0" applyFont="1" applyFill="1" applyBorder="1" applyAlignment="1">
      <alignment vertical="top" wrapText="1"/>
    </xf>
    <xf numFmtId="0" fontId="7" fillId="20" borderId="3" xfId="0" applyFont="1" applyFill="1" applyBorder="1" applyAlignment="1">
      <alignment wrapText="1"/>
    </xf>
    <xf numFmtId="0" fontId="0" fillId="20" borderId="4" xfId="0" applyFill="1" applyBorder="1" applyAlignment="1">
      <alignment vertical="top" wrapText="1"/>
    </xf>
    <xf numFmtId="0" fontId="0" fillId="20" borderId="3" xfId="0" applyFill="1" applyBorder="1" applyAlignment="1">
      <alignment wrapText="1"/>
    </xf>
    <xf numFmtId="0" fontId="0" fillId="20" borderId="5" xfId="0" applyFill="1" applyBorder="1" applyAlignment="1">
      <alignment vertical="top" wrapText="1"/>
    </xf>
    <xf numFmtId="0" fontId="7" fillId="20" borderId="5" xfId="0" applyFont="1" applyFill="1" applyBorder="1" applyAlignment="1">
      <alignment vertical="top" wrapText="1"/>
    </xf>
    <xf numFmtId="0" fontId="7" fillId="20" borderId="3" xfId="0" applyFont="1" applyFill="1" applyBorder="1" applyAlignment="1">
      <alignment vertical="top" wrapText="1"/>
    </xf>
    <xf numFmtId="0" fontId="7" fillId="20" borderId="3" xfId="0" applyFont="1" applyFill="1" applyBorder="1" applyAlignment="1">
      <alignment horizontal="left" vertical="top" wrapText="1"/>
    </xf>
    <xf numFmtId="0" fontId="2" fillId="20" borderId="5" xfId="0" applyFont="1" applyFill="1" applyBorder="1" applyAlignment="1">
      <alignment vertical="top" wrapText="1"/>
    </xf>
    <xf numFmtId="0" fontId="2" fillId="0" borderId="10" xfId="0" applyFont="1" applyBorder="1" applyAlignment="1">
      <alignment vertical="top" wrapText="1"/>
    </xf>
    <xf numFmtId="0" fontId="7" fillId="0" borderId="3" xfId="0" applyFont="1" applyBorder="1" applyAlignment="1">
      <alignment vertical="top"/>
    </xf>
    <xf numFmtId="0" fontId="7" fillId="0" borderId="5" xfId="0" applyFont="1" applyBorder="1" applyAlignment="1">
      <alignment wrapText="1"/>
    </xf>
    <xf numFmtId="0" fontId="0" fillId="0" borderId="3" xfId="0" applyBorder="1" applyAlignment="1">
      <alignment vertical="top" wrapText="1"/>
    </xf>
    <xf numFmtId="0" fontId="30" fillId="20" borderId="3" xfId="0" applyFont="1" applyFill="1" applyBorder="1" applyAlignment="1">
      <alignment wrapText="1"/>
    </xf>
    <xf numFmtId="0" fontId="0" fillId="20" borderId="3" xfId="0" applyFill="1" applyBorder="1" applyAlignment="1">
      <alignment vertical="top" wrapText="1"/>
    </xf>
    <xf numFmtId="0" fontId="7" fillId="20" borderId="5" xfId="0" applyFont="1" applyFill="1" applyBorder="1" applyAlignment="1">
      <alignment wrapText="1"/>
    </xf>
    <xf numFmtId="0" fontId="0" fillId="0" borderId="3" xfId="0" applyBorder="1" applyAlignment="1">
      <alignment vertical="top"/>
    </xf>
    <xf numFmtId="0" fontId="2" fillId="19" borderId="3" xfId="0" applyFont="1" applyFill="1" applyBorder="1" applyAlignment="1">
      <alignment vertical="top" wrapText="1"/>
    </xf>
    <xf numFmtId="0" fontId="7" fillId="19" borderId="3" xfId="0" applyFont="1" applyFill="1" applyBorder="1" applyAlignment="1">
      <alignment wrapText="1"/>
    </xf>
    <xf numFmtId="0" fontId="7" fillId="19" borderId="4" xfId="0" applyFont="1" applyFill="1" applyBorder="1" applyAlignment="1">
      <alignment vertical="top" wrapText="1"/>
    </xf>
    <xf numFmtId="0" fontId="34" fillId="19" borderId="3" xfId="0" applyFont="1" applyFill="1" applyBorder="1" applyAlignment="1">
      <alignment wrapText="1"/>
    </xf>
    <xf numFmtId="0" fontId="0" fillId="19" borderId="5" xfId="0" applyFill="1" applyBorder="1" applyAlignment="1">
      <alignment vertical="top" wrapText="1"/>
    </xf>
    <xf numFmtId="0" fontId="0" fillId="19" borderId="3" xfId="0" applyFill="1" applyBorder="1" applyAlignment="1">
      <alignment wrapText="1"/>
    </xf>
    <xf numFmtId="0" fontId="7" fillId="19" borderId="5" xfId="0" applyFont="1" applyFill="1" applyBorder="1" applyAlignment="1">
      <alignment vertical="top" wrapText="1"/>
    </xf>
    <xf numFmtId="0" fontId="30" fillId="19" borderId="3" xfId="0" applyFont="1" applyFill="1" applyBorder="1" applyAlignment="1">
      <alignment wrapText="1"/>
    </xf>
    <xf numFmtId="0" fontId="7" fillId="19" borderId="3" xfId="0" applyFont="1" applyFill="1" applyBorder="1" applyAlignment="1">
      <alignment vertical="top" wrapText="1"/>
    </xf>
    <xf numFmtId="0" fontId="2" fillId="21" borderId="0" xfId="1" applyFont="1" applyFill="1"/>
    <xf numFmtId="0" fontId="7" fillId="2" borderId="0" xfId="1" applyFill="1"/>
    <xf numFmtId="0" fontId="20" fillId="2" borderId="0" xfId="0" applyFont="1" applyFill="1"/>
    <xf numFmtId="0" fontId="7" fillId="2" borderId="0" xfId="0" applyFont="1" applyFill="1"/>
    <xf numFmtId="0" fontId="25" fillId="0" borderId="0" xfId="0" applyFont="1" applyAlignment="1">
      <alignment vertical="center"/>
    </xf>
    <xf numFmtId="0" fontId="7" fillId="0" borderId="0" xfId="227"/>
    <xf numFmtId="0" fontId="7" fillId="2" borderId="0" xfId="227" applyFill="1"/>
    <xf numFmtId="0" fontId="25" fillId="0" borderId="0" xfId="0" applyFont="1"/>
    <xf numFmtId="0" fontId="7" fillId="22" borderId="0" xfId="1" applyFill="1"/>
    <xf numFmtId="0" fontId="7" fillId="17" borderId="0" xfId="1" applyFill="1"/>
    <xf numFmtId="0" fontId="7" fillId="20" borderId="0" xfId="1" applyFill="1"/>
    <xf numFmtId="0" fontId="7" fillId="11" borderId="0" xfId="1" applyFill="1"/>
    <xf numFmtId="2" fontId="8" fillId="6" borderId="0" xfId="0" applyNumberFormat="1" applyFont="1" applyFill="1" applyAlignment="1">
      <alignment horizontal="left"/>
    </xf>
    <xf numFmtId="0" fontId="6" fillId="0" borderId="0" xfId="0" applyFont="1" applyAlignment="1">
      <alignment horizontal="center"/>
    </xf>
    <xf numFmtId="0" fontId="32" fillId="0" borderId="0" xfId="0" applyFont="1"/>
    <xf numFmtId="0" fontId="30" fillId="0" borderId="0" xfId="0" applyFont="1"/>
    <xf numFmtId="0" fontId="7" fillId="10" borderId="0" xfId="0" applyFont="1" applyFill="1" applyAlignment="1">
      <alignment horizontal="center"/>
    </xf>
    <xf numFmtId="2" fontId="7" fillId="6" borderId="0" xfId="0" applyNumberFormat="1" applyFont="1" applyFill="1" applyAlignment="1">
      <alignment horizontal="right"/>
    </xf>
    <xf numFmtId="0" fontId="7" fillId="6" borderId="0" xfId="0" applyFont="1" applyFill="1" applyAlignment="1">
      <alignment horizontal="right"/>
    </xf>
    <xf numFmtId="0" fontId="1" fillId="0" borderId="0" xfId="0" applyFont="1" applyAlignment="1">
      <alignment horizontal="left" wrapText="1"/>
    </xf>
    <xf numFmtId="0" fontId="2" fillId="0" borderId="0" xfId="1" applyFont="1" applyAlignment="1">
      <alignment horizontal="center"/>
    </xf>
    <xf numFmtId="0" fontId="8" fillId="3" borderId="0" xfId="0" applyFont="1" applyFill="1" applyAlignment="1">
      <alignment horizontal="center"/>
    </xf>
    <xf numFmtId="0" fontId="7" fillId="0" borderId="0" xfId="0" applyFont="1" applyAlignment="1">
      <alignment vertical="top"/>
    </xf>
    <xf numFmtId="0" fontId="7" fillId="2" borderId="0" xfId="0" applyFont="1" applyFill="1" applyAlignment="1">
      <alignment horizontal="right"/>
    </xf>
    <xf numFmtId="0" fontId="7" fillId="2" borderId="0" xfId="1" applyFill="1" applyAlignment="1">
      <alignment horizontal="right"/>
    </xf>
    <xf numFmtId="0" fontId="7" fillId="23" borderId="0" xfId="0" applyFont="1" applyFill="1" applyAlignment="1">
      <alignment horizontal="right"/>
    </xf>
    <xf numFmtId="0" fontId="8" fillId="23" borderId="0" xfId="0" applyFont="1" applyFill="1" applyAlignment="1">
      <alignment horizontal="right"/>
    </xf>
    <xf numFmtId="0" fontId="7" fillId="23" borderId="0" xfId="1" applyFill="1" applyAlignment="1">
      <alignment horizontal="right"/>
    </xf>
    <xf numFmtId="0" fontId="37" fillId="15" borderId="3" xfId="0" applyFont="1" applyFill="1" applyBorder="1" applyAlignment="1">
      <alignment vertical="top" wrapText="1"/>
    </xf>
    <xf numFmtId="0" fontId="37" fillId="16" borderId="3" xfId="0" applyFont="1" applyFill="1" applyBorder="1" applyAlignment="1">
      <alignment vertical="top" wrapText="1"/>
    </xf>
    <xf numFmtId="0" fontId="37" fillId="17" borderId="3" xfId="0" applyFont="1" applyFill="1" applyBorder="1" applyAlignment="1">
      <alignment vertical="top" wrapText="1"/>
    </xf>
    <xf numFmtId="0" fontId="37" fillId="18" borderId="3" xfId="226" applyFont="1" applyFill="1" applyBorder="1" applyAlignment="1">
      <alignment vertical="top" wrapText="1"/>
    </xf>
    <xf numFmtId="0" fontId="37" fillId="18" borderId="3" xfId="0" applyFont="1" applyFill="1" applyBorder="1" applyAlignment="1">
      <alignment vertical="top" wrapText="1"/>
    </xf>
    <xf numFmtId="0" fontId="37" fillId="19" borderId="3" xfId="0" applyFont="1" applyFill="1" applyBorder="1" applyAlignment="1">
      <alignment vertical="top" wrapText="1"/>
    </xf>
    <xf numFmtId="0" fontId="38" fillId="0" borderId="3" xfId="0" applyFont="1" applyBorder="1" applyAlignment="1">
      <alignment vertical="top" wrapText="1"/>
    </xf>
    <xf numFmtId="0" fontId="38" fillId="5" borderId="3" xfId="226" applyFont="1" applyFill="1" applyBorder="1" applyAlignment="1">
      <alignment vertical="top" wrapText="1"/>
    </xf>
    <xf numFmtId="0" fontId="38" fillId="0" borderId="4" xfId="0" applyFont="1" applyBorder="1" applyAlignment="1">
      <alignment vertical="top" wrapText="1"/>
    </xf>
    <xf numFmtId="0" fontId="38" fillId="0" borderId="5" xfId="0" applyFont="1" applyBorder="1" applyAlignment="1">
      <alignment vertical="top" wrapText="1"/>
    </xf>
    <xf numFmtId="0" fontId="38" fillId="0" borderId="0" xfId="0" applyFont="1" applyAlignment="1">
      <alignment vertical="top" wrapText="1"/>
    </xf>
    <xf numFmtId="0" fontId="39" fillId="0" borderId="0" xfId="0" applyFont="1" applyAlignment="1">
      <alignment vertical="top" wrapText="1"/>
    </xf>
    <xf numFmtId="1" fontId="8" fillId="0" borderId="0" xfId="0" applyNumberFormat="1" applyFont="1" applyAlignment="1">
      <alignment horizontal="center"/>
    </xf>
    <xf numFmtId="0" fontId="8" fillId="0" borderId="0" xfId="0" applyFont="1" applyAlignment="1">
      <alignment horizontal="left" wrapText="1"/>
    </xf>
    <xf numFmtId="0" fontId="32" fillId="0" borderId="0" xfId="0" applyFont="1" applyAlignment="1">
      <alignment horizontal="center"/>
    </xf>
    <xf numFmtId="0" fontId="8" fillId="4" borderId="0" xfId="0" applyFont="1" applyFill="1" applyAlignment="1">
      <alignment horizontal="center"/>
    </xf>
    <xf numFmtId="0" fontId="7" fillId="4" borderId="0" xfId="0" applyFont="1" applyFill="1" applyAlignment="1">
      <alignment horizontal="center"/>
    </xf>
    <xf numFmtId="0" fontId="7" fillId="8" borderId="0" xfId="1" applyFill="1"/>
    <xf numFmtId="0" fontId="40" fillId="0" borderId="0" xfId="0" applyFont="1"/>
    <xf numFmtId="0" fontId="8" fillId="12" borderId="0" xfId="0" applyFont="1" applyFill="1"/>
    <xf numFmtId="0" fontId="35" fillId="0" borderId="0" xfId="0" applyFont="1" applyAlignment="1">
      <alignment horizontal="center"/>
    </xf>
    <xf numFmtId="0" fontId="8" fillId="2" borderId="0" xfId="1" applyFont="1" applyFill="1" applyAlignment="1">
      <alignment horizontal="right"/>
    </xf>
    <xf numFmtId="0" fontId="8" fillId="13" borderId="0" xfId="0" applyFont="1" applyFill="1"/>
    <xf numFmtId="2" fontId="8" fillId="0" borderId="0" xfId="0" applyNumberFormat="1" applyFont="1"/>
    <xf numFmtId="0" fontId="8" fillId="8" borderId="0" xfId="0" applyFont="1" applyFill="1"/>
    <xf numFmtId="0" fontId="8" fillId="0" borderId="0" xfId="208" applyFont="1" applyFill="1" applyBorder="1" applyAlignment="1" applyProtection="1"/>
    <xf numFmtId="16" fontId="8" fillId="0" borderId="0" xfId="0" applyNumberFormat="1" applyFont="1" applyAlignment="1">
      <alignment horizontal="center"/>
    </xf>
    <xf numFmtId="0" fontId="8" fillId="10" borderId="0" xfId="0" applyFont="1" applyFill="1" applyAlignment="1">
      <alignment horizontal="center"/>
    </xf>
    <xf numFmtId="0" fontId="8" fillId="14" borderId="0" xfId="0" applyFont="1" applyFill="1" applyAlignment="1">
      <alignment horizontal="right"/>
    </xf>
    <xf numFmtId="2" fontId="8" fillId="6" borderId="0" xfId="0" applyNumberFormat="1" applyFont="1" applyFill="1" applyAlignment="1">
      <alignment horizontal="right"/>
    </xf>
    <xf numFmtId="0" fontId="8" fillId="6" borderId="0" xfId="0" applyFont="1" applyFill="1" applyAlignment="1">
      <alignment horizontal="right"/>
    </xf>
    <xf numFmtId="0" fontId="32" fillId="6" borderId="0" xfId="0" applyFont="1" applyFill="1" applyAlignment="1">
      <alignment horizontal="right"/>
    </xf>
    <xf numFmtId="0" fontId="35" fillId="0" borderId="0" xfId="0" applyFont="1" applyAlignment="1">
      <alignment wrapText="1"/>
    </xf>
    <xf numFmtId="2" fontId="8" fillId="0" borderId="0" xfId="0" applyNumberFormat="1" applyFont="1" applyAlignment="1">
      <alignment horizontal="center" wrapText="1"/>
    </xf>
    <xf numFmtId="2" fontId="8" fillId="6" borderId="0" xfId="0" applyNumberFormat="1" applyFont="1" applyFill="1" applyAlignment="1">
      <alignment horizontal="center"/>
    </xf>
    <xf numFmtId="0" fontId="8" fillId="7" borderId="0" xfId="0" applyFont="1" applyFill="1" applyAlignment="1">
      <alignment horizontal="right"/>
    </xf>
    <xf numFmtId="49" fontId="7" fillId="0" borderId="0" xfId="0" applyNumberFormat="1" applyFont="1" applyAlignment="1">
      <alignment horizontal="center"/>
    </xf>
    <xf numFmtId="0" fontId="8" fillId="0" borderId="1" xfId="0" applyFont="1" applyBorder="1" applyAlignment="1">
      <alignment horizontal="center"/>
    </xf>
    <xf numFmtId="0" fontId="7" fillId="6" borderId="0" xfId="0" applyFont="1" applyFill="1"/>
    <xf numFmtId="0" fontId="7" fillId="3" borderId="0" xfId="0" applyFont="1" applyFill="1" applyAlignment="1">
      <alignment horizontal="right" vertical="top"/>
    </xf>
    <xf numFmtId="0" fontId="7" fillId="3" borderId="0" xfId="0" applyFont="1" applyFill="1" applyAlignment="1">
      <alignment vertical="top"/>
    </xf>
    <xf numFmtId="1" fontId="7" fillId="0" borderId="0" xfId="0" applyNumberFormat="1" applyFont="1" applyAlignment="1">
      <alignment horizontal="center" wrapText="1"/>
    </xf>
    <xf numFmtId="1" fontId="7" fillId="0" borderId="0" xfId="0" applyNumberFormat="1" applyFont="1" applyAlignment="1">
      <alignment horizontal="center" vertical="top"/>
    </xf>
    <xf numFmtId="0" fontId="7" fillId="8" borderId="0" xfId="0" applyFont="1" applyFill="1" applyAlignment="1">
      <alignment horizontal="center" vertical="top"/>
    </xf>
    <xf numFmtId="0" fontId="7" fillId="8" borderId="0" xfId="0" applyFont="1" applyFill="1" applyAlignment="1">
      <alignment horizontal="center"/>
    </xf>
    <xf numFmtId="164" fontId="7" fillId="8" borderId="0" xfId="0" applyNumberFormat="1" applyFont="1" applyFill="1" applyAlignment="1">
      <alignment horizontal="center" wrapText="1"/>
    </xf>
    <xf numFmtId="0" fontId="7" fillId="3" borderId="0" xfId="0" applyFont="1" applyFill="1" applyAlignment="1">
      <alignment horizontal="center" wrapText="1"/>
    </xf>
    <xf numFmtId="0" fontId="1" fillId="23" borderId="0" xfId="0" applyFont="1" applyFill="1" applyAlignment="1">
      <alignment horizontal="center"/>
    </xf>
    <xf numFmtId="0" fontId="8" fillId="24" borderId="0" xfId="0" applyFont="1" applyFill="1" applyAlignment="1">
      <alignment horizontal="center"/>
    </xf>
    <xf numFmtId="0" fontId="7" fillId="24" borderId="0" xfId="0" applyFont="1" applyFill="1" applyAlignment="1">
      <alignment horizontal="center"/>
    </xf>
    <xf numFmtId="2" fontId="8" fillId="24" borderId="0" xfId="1" applyNumberFormat="1" applyFont="1" applyFill="1" applyAlignment="1">
      <alignment horizontal="center"/>
    </xf>
    <xf numFmtId="0" fontId="8" fillId="9" borderId="0" xfId="0" applyFont="1" applyFill="1" applyAlignment="1">
      <alignment horizontal="center"/>
    </xf>
    <xf numFmtId="0" fontId="8" fillId="4" borderId="0" xfId="0" applyFont="1" applyFill="1" applyAlignment="1">
      <alignment horizontal="center" wrapText="1"/>
    </xf>
    <xf numFmtId="0" fontId="8" fillId="25" borderId="0" xfId="0" applyFont="1" applyFill="1" applyAlignment="1">
      <alignment horizontal="center"/>
    </xf>
    <xf numFmtId="2" fontId="8" fillId="25" borderId="0" xfId="1" applyNumberFormat="1" applyFont="1" applyFill="1" applyAlignment="1">
      <alignment horizontal="center"/>
    </xf>
    <xf numFmtId="0" fontId="8" fillId="24" borderId="0" xfId="0" applyFont="1" applyFill="1" applyAlignment="1">
      <alignment horizontal="center" wrapText="1"/>
    </xf>
    <xf numFmtId="2" fontId="8" fillId="9" borderId="0" xfId="1" applyNumberFormat="1" applyFont="1" applyFill="1" applyAlignment="1">
      <alignment horizontal="center"/>
    </xf>
    <xf numFmtId="0" fontId="7" fillId="9" borderId="0" xfId="0" applyFont="1" applyFill="1" applyAlignment="1">
      <alignment horizontal="center" wrapText="1"/>
    </xf>
    <xf numFmtId="0" fontId="7" fillId="15" borderId="3" xfId="0" applyFont="1" applyFill="1" applyBorder="1" applyAlignment="1">
      <alignment wrapText="1"/>
    </xf>
    <xf numFmtId="0" fontId="0" fillId="16" borderId="9" xfId="0" applyFill="1" applyBorder="1" applyAlignment="1">
      <alignment wrapText="1"/>
    </xf>
    <xf numFmtId="0" fontId="0" fillId="0" borderId="2" xfId="0" applyBorder="1" applyAlignment="1">
      <alignment wrapText="1"/>
    </xf>
    <xf numFmtId="0" fontId="0" fillId="0" borderId="11" xfId="0" applyBorder="1" applyAlignment="1">
      <alignment wrapText="1"/>
    </xf>
    <xf numFmtId="0" fontId="7" fillId="0" borderId="0" xfId="0" applyFont="1" applyFill="1" applyAlignment="1">
      <alignment horizontal="center"/>
    </xf>
    <xf numFmtId="0" fontId="41" fillId="0" borderId="0" xfId="0" applyFont="1" applyAlignment="1">
      <alignment horizontal="left"/>
    </xf>
    <xf numFmtId="0" fontId="8" fillId="0" borderId="0" xfId="0" applyFont="1" applyFill="1" applyAlignment="1">
      <alignment horizontal="center"/>
    </xf>
    <xf numFmtId="0" fontId="0" fillId="0" borderId="0" xfId="0" applyFill="1" applyAlignment="1">
      <alignment horizontal="center"/>
    </xf>
    <xf numFmtId="0" fontId="8" fillId="0" borderId="0" xfId="0" applyFont="1" applyFill="1"/>
  </cellXfs>
  <cellStyles count="150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cellStyle name="Hyperlink 2" xfId="210" xr:uid="{00000000-0005-0000-0000-0000DE050000}"/>
    <cellStyle name="Hyperlink 3" xfId="209" xr:uid="{00000000-0005-0000-0000-0000DF050000}"/>
    <cellStyle name="Normal" xfId="0" builtinId="0"/>
    <cellStyle name="Normal 2 2 2" xfId="1" xr:uid="{00000000-0005-0000-0000-0000E1050000}"/>
    <cellStyle name="Normal 3" xfId="226" xr:uid="{00000000-0005-0000-0000-0000E2050000}"/>
    <cellStyle name="Normal 6" xfId="227" xr:uid="{00000000-0005-0000-0000-0000E3050000}"/>
  </cellStyles>
  <dxfs count="2">
    <dxf>
      <fill>
        <patternFill>
          <bgColor indexed="49"/>
        </patternFill>
      </fill>
    </dxf>
    <dxf>
      <fill>
        <patternFill>
          <bgColor indexed="49"/>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tsequist@partners.org" TargetMode="External"/><Relationship Id="rId21" Type="http://schemas.openxmlformats.org/officeDocument/2006/relationships/hyperlink" Target="mailto:elifadval@uludag.edu.tr" TargetMode="External"/><Relationship Id="rId42" Type="http://schemas.openxmlformats.org/officeDocument/2006/relationships/hyperlink" Target="mailto:anaik@bcm.edu" TargetMode="External"/><Relationship Id="rId47" Type="http://schemas.openxmlformats.org/officeDocument/2006/relationships/hyperlink" Target="mailto:sabzghaba@pharm.mui.ac.ir" TargetMode="External"/><Relationship Id="rId63" Type="http://schemas.openxmlformats.org/officeDocument/2006/relationships/hyperlink" Target="mailto:aci@sund.ku.dk" TargetMode="External"/><Relationship Id="rId68" Type="http://schemas.openxmlformats.org/officeDocument/2006/relationships/hyperlink" Target="mailto:mrossi@negrisud.it" TargetMode="External"/><Relationship Id="rId84" Type="http://schemas.openxmlformats.org/officeDocument/2006/relationships/hyperlink" Target="mailto:frederick.derubertis@va.gov" TargetMode="External"/><Relationship Id="rId89" Type="http://schemas.openxmlformats.org/officeDocument/2006/relationships/comments" Target="../comments1.xml"/><Relationship Id="rId16" Type="http://schemas.openxmlformats.org/officeDocument/2006/relationships/hyperlink" Target="mailto:andreas.soennichsen@pmu.ac.at" TargetMode="External"/><Relationship Id="rId11" Type="http://schemas.openxmlformats.org/officeDocument/2006/relationships/hyperlink" Target="mailto:trine.guldberg@alm.au.dk" TargetMode="External"/><Relationship Id="rId32" Type="http://schemas.openxmlformats.org/officeDocument/2006/relationships/hyperlink" Target="mailto:daren.anderson@va.gov" TargetMode="External"/><Relationship Id="rId37" Type="http://schemas.openxmlformats.org/officeDocument/2006/relationships/hyperlink" Target="mailto:lruggier@uic.edu" TargetMode="External"/><Relationship Id="rId53" Type="http://schemas.openxmlformats.org/officeDocument/2006/relationships/hyperlink" Target="mailto:dj.ballard@baylorhealth.edu" TargetMode="External"/><Relationship Id="rId58" Type="http://schemas.openxmlformats.org/officeDocument/2006/relationships/hyperlink" Target="mailto:ell@usc.edu" TargetMode="External"/><Relationship Id="rId74" Type="http://schemas.openxmlformats.org/officeDocument/2006/relationships/hyperlink" Target="mailto:r.jansink@iq.umcn.nl" TargetMode="External"/><Relationship Id="rId79" Type="http://schemas.openxmlformats.org/officeDocument/2006/relationships/hyperlink" Target="mailto:anja.frei@ifspm.uzh.ch" TargetMode="External"/><Relationship Id="rId5" Type="http://schemas.openxmlformats.org/officeDocument/2006/relationships/hyperlink" Target="mailto:ironeat@hallym.ac.kr" TargetMode="External"/><Relationship Id="rId14" Type="http://schemas.openxmlformats.org/officeDocument/2006/relationships/hyperlink" Target="mailto:L.vanLoon@HB.unimaas.nl" TargetMode="External"/><Relationship Id="rId22" Type="http://schemas.openxmlformats.org/officeDocument/2006/relationships/hyperlink" Target="mailto:shelley.hawkins@yale.edu" TargetMode="External"/><Relationship Id="rId27" Type="http://schemas.openxmlformats.org/officeDocument/2006/relationships/hyperlink" Target="mailto:mheisler@umich.edu" TargetMode="External"/><Relationship Id="rId30" Type="http://schemas.openxmlformats.org/officeDocument/2006/relationships/hyperlink" Target="mailto:lisacohen@mail.uri.edu" TargetMode="External"/><Relationship Id="rId35" Type="http://schemas.openxmlformats.org/officeDocument/2006/relationships/hyperlink" Target="mailto:arun@uanki.is" TargetMode="External"/><Relationship Id="rId43" Type="http://schemas.openxmlformats.org/officeDocument/2006/relationships/hyperlink" Target="mailto:maureen.wallymahmed@aintree.nhs.uk" TargetMode="External"/><Relationship Id="rId48" Type="http://schemas.openxmlformats.org/officeDocument/2006/relationships/hyperlink" Target="mailto:m.jacobs@neu.edu" TargetMode="External"/><Relationship Id="rId56" Type="http://schemas.openxmlformats.org/officeDocument/2006/relationships/hyperlink" Target="mailto:eva.vadstrup@gmail.com" TargetMode="External"/><Relationship Id="rId64" Type="http://schemas.openxmlformats.org/officeDocument/2006/relationships/hyperlink" Target="mailto:mswolf@northwestern.edu" TargetMode="External"/><Relationship Id="rId69" Type="http://schemas.openxmlformats.org/officeDocument/2006/relationships/hyperlink" Target="mailto:drmi68@yahoo.com" TargetMode="External"/><Relationship Id="rId77" Type="http://schemas.openxmlformats.org/officeDocument/2006/relationships/hyperlink" Target="mailto:bseieber@ucsd.edu" TargetMode="External"/><Relationship Id="rId8" Type="http://schemas.openxmlformats.org/officeDocument/2006/relationships/hyperlink" Target="mailto:richard_davis@med.unc.edu" TargetMode="External"/><Relationship Id="rId51" Type="http://schemas.openxmlformats.org/officeDocument/2006/relationships/hyperlink" Target="mailto:garry.welch@baystatehealth.org" TargetMode="External"/><Relationship Id="rId72" Type="http://schemas.openxmlformats.org/officeDocument/2006/relationships/hyperlink" Target="mailto:smmcghee@hkucc.hku.hk" TargetMode="External"/><Relationship Id="rId80" Type="http://schemas.openxmlformats.org/officeDocument/2006/relationships/hyperlink" Target="mailto:mheisler@umich.edu" TargetMode="External"/><Relationship Id="rId85" Type="http://schemas.openxmlformats.org/officeDocument/2006/relationships/hyperlink" Target="mailto:simon.griffin@mrc-epid.cam.ac.uk" TargetMode="External"/><Relationship Id="rId3" Type="http://schemas.openxmlformats.org/officeDocument/2006/relationships/hyperlink" Target="mailto:allison.williams@monash.edu" TargetMode="External"/><Relationship Id="rId12" Type="http://schemas.openxmlformats.org/officeDocument/2006/relationships/hyperlink" Target="mailto:mbujnowska@poczta.onet.pl" TargetMode="External"/><Relationship Id="rId17" Type="http://schemas.openxmlformats.org/officeDocument/2006/relationships/hyperlink" Target="mailto:sksv@sus.no" TargetMode="External"/><Relationship Id="rId25" Type="http://schemas.openxmlformats.org/officeDocument/2006/relationships/hyperlink" Target="mailto:hillary.bogner@uphs.upenn.edu" TargetMode="External"/><Relationship Id="rId33" Type="http://schemas.openxmlformats.org/officeDocument/2006/relationships/hyperlink" Target="mailto:frederick.derubertis@va.gov" TargetMode="External"/><Relationship Id="rId38" Type="http://schemas.openxmlformats.org/officeDocument/2006/relationships/hyperlink" Target="mailto:winston.crasto@uhl-tr.nhs.uk" TargetMode="External"/><Relationship Id="rId46" Type="http://schemas.openxmlformats.org/officeDocument/2006/relationships/hyperlink" Target="mailto:hught@istar.ca" TargetMode="External"/><Relationship Id="rId59" Type="http://schemas.openxmlformats.org/officeDocument/2006/relationships/hyperlink" Target="mailto:isha0012@umn.edu" TargetMode="External"/><Relationship Id="rId67" Type="http://schemas.openxmlformats.org/officeDocument/2006/relationships/hyperlink" Target="mailto:kimberly.radel@allina.com" TargetMode="External"/><Relationship Id="rId20" Type="http://schemas.openxmlformats.org/officeDocument/2006/relationships/hyperlink" Target="mailto:froschd@pamfri.org" TargetMode="External"/><Relationship Id="rId41" Type="http://schemas.openxmlformats.org/officeDocument/2006/relationships/hyperlink" Target="mailto:lamersf@mail.nih.gov" TargetMode="External"/><Relationship Id="rId54" Type="http://schemas.openxmlformats.org/officeDocument/2006/relationships/hyperlink" Target="mailto:gmcmahon@partners.org" TargetMode="External"/><Relationship Id="rId62" Type="http://schemas.openxmlformats.org/officeDocument/2006/relationships/hyperlink" Target="mailto:baiju.shah@ices.on.ca" TargetMode="External"/><Relationship Id="rId70" Type="http://schemas.openxmlformats.org/officeDocument/2006/relationships/hyperlink" Target="mailto:javmu@udc.es" TargetMode="External"/><Relationship Id="rId75" Type="http://schemas.openxmlformats.org/officeDocument/2006/relationships/hyperlink" Target="mailto:delfien.vandyck@ugent.be" TargetMode="External"/><Relationship Id="rId83" Type="http://schemas.openxmlformats.org/officeDocument/2006/relationships/hyperlink" Target="mailto:sabrown@mail.utexas.edu" TargetMode="External"/><Relationship Id="rId88" Type="http://schemas.openxmlformats.org/officeDocument/2006/relationships/vmlDrawing" Target="../drawings/vmlDrawing1.vml"/><Relationship Id="rId1" Type="http://schemas.openxmlformats.org/officeDocument/2006/relationships/hyperlink" Target="mailto:cgparkin@aol.com" TargetMode="External"/><Relationship Id="rId6" Type="http://schemas.openxmlformats.org/officeDocument/2006/relationships/hyperlink" Target="mailto:mhuizinga@jhmi.edu" TargetMode="External"/><Relationship Id="rId15" Type="http://schemas.openxmlformats.org/officeDocument/2006/relationships/hyperlink" Target="mailto:henry.fischer@dhha.org" TargetMode="External"/><Relationship Id="rId23" Type="http://schemas.openxmlformats.org/officeDocument/2006/relationships/hyperlink" Target="mailto:g.braatvedt@auckland.ac.nz" TargetMode="External"/><Relationship Id="rId28" Type="http://schemas.openxmlformats.org/officeDocument/2006/relationships/hyperlink" Target="mailto:dale.kraemer@jax.ufl.edu" TargetMode="External"/><Relationship Id="rId36" Type="http://schemas.openxmlformats.org/officeDocument/2006/relationships/hyperlink" Target="mailto:j.kirwin@neu.edu" TargetMode="External"/><Relationship Id="rId49" Type="http://schemas.openxmlformats.org/officeDocument/2006/relationships/hyperlink" Target="mailto:mheisler@umich.edu" TargetMode="External"/><Relationship Id="rId57" Type="http://schemas.openxmlformats.org/officeDocument/2006/relationships/hyperlink" Target="mailto:kerbonac@free.fr" TargetMode="External"/><Relationship Id="rId10" Type="http://schemas.openxmlformats.org/officeDocument/2006/relationships/hyperlink" Target="mailto:m.8.ali@herts.ac.uk" TargetMode="External"/><Relationship Id="rId31" Type="http://schemas.openxmlformats.org/officeDocument/2006/relationships/hyperlink" Target="mailto:els.mehuys@ugent.be" TargetMode="External"/><Relationship Id="rId44" Type="http://schemas.openxmlformats.org/officeDocument/2006/relationships/hyperlink" Target="mailto:charles.maclean@uvm.edu" TargetMode="External"/><Relationship Id="rId52" Type="http://schemas.openxmlformats.org/officeDocument/2006/relationships/hyperlink" Target="mailto:jschnipper@partners.org" TargetMode="External"/><Relationship Id="rId60" Type="http://schemas.openxmlformats.org/officeDocument/2006/relationships/hyperlink" Target="mailto:steven_k_rothschild@rush.edu" TargetMode="External"/><Relationship Id="rId65" Type="http://schemas.openxmlformats.org/officeDocument/2006/relationships/hyperlink" Target="mailto:ovaccaro@unina.it" TargetMode="External"/><Relationship Id="rId73" Type="http://schemas.openxmlformats.org/officeDocument/2006/relationships/hyperlink" Target="mailto:kazue@med.teikyo-u.ac.jp" TargetMode="External"/><Relationship Id="rId78" Type="http://schemas.openxmlformats.org/officeDocument/2006/relationships/hyperlink" Target="mailto:lise.juul@alm.au.dk" TargetMode="External"/><Relationship Id="rId81" Type="http://schemas.openxmlformats.org/officeDocument/2006/relationships/hyperlink" Target="mailto:Adam.Steventon@nuffieldtrust.org.uk" TargetMode="External"/><Relationship Id="rId86" Type="http://schemas.openxmlformats.org/officeDocument/2006/relationships/hyperlink" Target="mailto:aalfadda@ksu.edu.sa" TargetMode="External"/><Relationship Id="rId4" Type="http://schemas.openxmlformats.org/officeDocument/2006/relationships/hyperlink" Target="mailto:k.j.j.van.hateren@isala.nl" TargetMode="External"/><Relationship Id="rId9" Type="http://schemas.openxmlformats.org/officeDocument/2006/relationships/hyperlink" Target="mailto:ron.plotnikoff@newcastle.edu.au" TargetMode="External"/><Relationship Id="rId13" Type="http://schemas.openxmlformats.org/officeDocument/2006/relationships/hyperlink" Target="mailto:wkaton@uwashington.edu" TargetMode="External"/><Relationship Id="rId18" Type="http://schemas.openxmlformats.org/officeDocument/2006/relationships/hyperlink" Target="mailto:barceloa@paho.org" TargetMode="External"/><Relationship Id="rId39" Type="http://schemas.openxmlformats.org/officeDocument/2006/relationships/hyperlink" Target="mailto:Ilse.DeBourdeaudhuij@UGent.be" TargetMode="External"/><Relationship Id="rId34" Type="http://schemas.openxmlformats.org/officeDocument/2006/relationships/hyperlink" Target="mailto:kavumpurathu@yahoo.com" TargetMode="External"/><Relationship Id="rId50" Type="http://schemas.openxmlformats.org/officeDocument/2006/relationships/hyperlink" Target="mailto:logan@lunenfeld.ca" TargetMode="External"/><Relationship Id="rId55" Type="http://schemas.openxmlformats.org/officeDocument/2006/relationships/hyperlink" Target="mailto:xavier.debussche@chr-reunion.fr" TargetMode="External"/><Relationship Id="rId76" Type="http://schemas.openxmlformats.org/officeDocument/2006/relationships/hyperlink" Target="mailto:sugardoc6@aol.com" TargetMode="External"/><Relationship Id="rId7" Type="http://schemas.openxmlformats.org/officeDocument/2006/relationships/hyperlink" Target="mailto:hillary.bogner@uphs.upenn.edu" TargetMode="External"/><Relationship Id="rId71" Type="http://schemas.openxmlformats.org/officeDocument/2006/relationships/hyperlink" Target="mailto:matthew.crowley@dm.duke.edu" TargetMode="External"/><Relationship Id="rId2" Type="http://schemas.openxmlformats.org/officeDocument/2006/relationships/hyperlink" Target="mailto:nicolucci@negrisud.it" TargetMode="External"/><Relationship Id="rId29" Type="http://schemas.openxmlformats.org/officeDocument/2006/relationships/hyperlink" Target="mailto:mmaskari@squ.edu.om" TargetMode="External"/><Relationship Id="rId24" Type="http://schemas.openxmlformats.org/officeDocument/2006/relationships/hyperlink" Target="mailto:karlijn.degreef@ugent.be" TargetMode="External"/><Relationship Id="rId40" Type="http://schemas.openxmlformats.org/officeDocument/2006/relationships/hyperlink" Target="mailto:bonnie.wakefield@va.gov" TargetMode="External"/><Relationship Id="rId45" Type="http://schemas.openxmlformats.org/officeDocument/2006/relationships/hyperlink" Target="mailto:zolfaghm@tums.ac.ir" TargetMode="External"/><Relationship Id="rId66" Type="http://schemas.openxmlformats.org/officeDocument/2006/relationships/hyperlink" Target="mailto:direccion@cenexa.org" TargetMode="External"/><Relationship Id="rId87" Type="http://schemas.openxmlformats.org/officeDocument/2006/relationships/hyperlink" Target="mailto:BhattacharyyaO@smh.ca" TargetMode="External"/><Relationship Id="rId61" Type="http://schemas.openxmlformats.org/officeDocument/2006/relationships/hyperlink" Target="mailto:jchan@cuhk.edu.hk" TargetMode="External"/><Relationship Id="rId82" Type="http://schemas.openxmlformats.org/officeDocument/2006/relationships/hyperlink" Target="mailto:Patrick.j.oconnor@healthpartners.com" TargetMode="External"/><Relationship Id="rId19" Type="http://schemas.openxmlformats.org/officeDocument/2006/relationships/hyperlink" Target="mailto:sevick@pitt.edu"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mailto:nicolucci@negrisud.it"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X335"/>
  <sheetViews>
    <sheetView tabSelected="1" workbookViewId="0">
      <pane xSplit="2" ySplit="1" topLeftCell="C2" activePane="bottomRight" state="frozen"/>
      <selection pane="topRight" activeCell="C1" sqref="C1"/>
      <selection pane="bottomLeft" activeCell="A2" sqref="A2"/>
      <selection pane="bottomRight" activeCell="AF187" sqref="AF187"/>
    </sheetView>
  </sheetViews>
  <sheetFormatPr baseColWidth="10" defaultRowHeight="13"/>
  <cols>
    <col min="1" max="1" width="14.6640625" style="34" customWidth="1"/>
    <col min="2" max="10" width="10.83203125" style="22"/>
    <col min="11" max="12" width="10.83203125" style="26"/>
    <col min="13" max="13" width="10.83203125" style="34"/>
    <col min="14" max="14" width="10.83203125" style="22"/>
    <col min="15" max="17" width="10.83203125" style="26"/>
    <col min="18" max="31" width="10.83203125" style="22"/>
    <col min="32" max="46" width="10.83203125" style="26"/>
    <col min="47" max="16384" width="10.83203125" style="22"/>
  </cols>
  <sheetData>
    <row r="1" spans="1:46" ht="28">
      <c r="A1" s="42" t="s">
        <v>438</v>
      </c>
      <c r="B1" s="41" t="s">
        <v>439</v>
      </c>
      <c r="C1" s="41" t="s">
        <v>440</v>
      </c>
      <c r="D1" s="41" t="s">
        <v>441</v>
      </c>
      <c r="E1" s="41" t="s">
        <v>442</v>
      </c>
      <c r="F1" s="42" t="s">
        <v>443</v>
      </c>
      <c r="G1" s="42" t="s">
        <v>444</v>
      </c>
      <c r="H1" s="42" t="s">
        <v>445</v>
      </c>
      <c r="I1" s="42" t="s">
        <v>446</v>
      </c>
      <c r="J1" s="41" t="s">
        <v>447</v>
      </c>
      <c r="K1" s="41" t="s">
        <v>448</v>
      </c>
      <c r="L1" s="41" t="s">
        <v>449</v>
      </c>
      <c r="M1" s="70" t="s">
        <v>450</v>
      </c>
      <c r="N1" s="41" t="s">
        <v>451</v>
      </c>
      <c r="O1" s="41" t="s">
        <v>452</v>
      </c>
      <c r="P1" s="41" t="s">
        <v>453</v>
      </c>
      <c r="Q1" s="41" t="s">
        <v>454</v>
      </c>
      <c r="R1" s="41" t="s">
        <v>455</v>
      </c>
      <c r="S1" s="41" t="s">
        <v>456</v>
      </c>
      <c r="T1" s="41" t="s">
        <v>457</v>
      </c>
      <c r="U1" s="41" t="s">
        <v>458</v>
      </c>
      <c r="V1" s="41" t="s">
        <v>6</v>
      </c>
      <c r="W1" s="41" t="s">
        <v>7</v>
      </c>
      <c r="X1" s="41" t="s">
        <v>8</v>
      </c>
      <c r="Y1" s="41" t="s">
        <v>9</v>
      </c>
      <c r="Z1" s="41" t="s">
        <v>459</v>
      </c>
      <c r="AA1" s="41" t="s">
        <v>460</v>
      </c>
      <c r="AB1" s="41" t="s">
        <v>461</v>
      </c>
      <c r="AC1" s="41" t="s">
        <v>462</v>
      </c>
      <c r="AD1" s="41" t="s">
        <v>463</v>
      </c>
      <c r="AE1" s="17" t="s">
        <v>464</v>
      </c>
      <c r="AF1" s="41" t="s">
        <v>465</v>
      </c>
      <c r="AG1" s="42" t="s">
        <v>466</v>
      </c>
      <c r="AH1" s="41" t="s">
        <v>467</v>
      </c>
      <c r="AI1" s="41" t="s">
        <v>468</v>
      </c>
      <c r="AJ1" s="41" t="s">
        <v>469</v>
      </c>
      <c r="AK1" s="41" t="s">
        <v>470</v>
      </c>
      <c r="AL1" s="41" t="s">
        <v>471</v>
      </c>
      <c r="AM1" s="41" t="s">
        <v>472</v>
      </c>
      <c r="AN1" s="41" t="s">
        <v>473</v>
      </c>
      <c r="AO1" s="41" t="s">
        <v>475</v>
      </c>
      <c r="AP1" s="41" t="s">
        <v>476</v>
      </c>
      <c r="AQ1" s="41" t="s">
        <v>474</v>
      </c>
      <c r="AR1" s="41" t="s">
        <v>477</v>
      </c>
      <c r="AS1" s="41" t="s">
        <v>478</v>
      </c>
      <c r="AT1" s="41" t="s">
        <v>479</v>
      </c>
    </row>
    <row r="2" spans="1:46">
      <c r="A2" s="172" t="s">
        <v>1401</v>
      </c>
      <c r="B2" s="22">
        <v>148</v>
      </c>
      <c r="C2" s="22" t="s">
        <v>1402</v>
      </c>
      <c r="D2" s="60" t="s">
        <v>1403</v>
      </c>
      <c r="E2" s="63" t="s">
        <v>1404</v>
      </c>
      <c r="F2" s="22" t="s">
        <v>1405</v>
      </c>
      <c r="G2" s="192" t="s">
        <v>2266</v>
      </c>
      <c r="H2" s="192" t="s">
        <v>2266</v>
      </c>
      <c r="I2" s="192" t="s">
        <v>2266</v>
      </c>
      <c r="J2" s="43" t="s">
        <v>2265</v>
      </c>
      <c r="K2" s="26">
        <v>0</v>
      </c>
      <c r="L2" s="26" t="s">
        <v>59</v>
      </c>
      <c r="M2" s="49">
        <v>1992</v>
      </c>
      <c r="N2" s="43" t="s">
        <v>628</v>
      </c>
      <c r="O2" s="48">
        <f>(41.6+41.25)/2</f>
        <v>41.424999999999997</v>
      </c>
      <c r="P2" s="48">
        <f>(16.93+13.9)/2</f>
        <v>15.414999999999999</v>
      </c>
      <c r="Q2" s="48">
        <v>48</v>
      </c>
      <c r="R2" s="43" t="s">
        <v>1406</v>
      </c>
      <c r="S2" s="43">
        <v>4</v>
      </c>
      <c r="T2" s="43">
        <v>42</v>
      </c>
      <c r="U2" s="43">
        <v>2</v>
      </c>
      <c r="V2" s="39">
        <v>20</v>
      </c>
      <c r="W2" s="39">
        <v>22</v>
      </c>
      <c r="X2" s="48" t="s">
        <v>59</v>
      </c>
      <c r="Y2" s="48" t="s">
        <v>59</v>
      </c>
      <c r="Z2" s="22">
        <v>0</v>
      </c>
      <c r="AA2" s="22">
        <v>0</v>
      </c>
      <c r="AB2" s="22" t="s">
        <v>59</v>
      </c>
      <c r="AC2" s="22">
        <v>3</v>
      </c>
      <c r="AD2" s="22">
        <v>3</v>
      </c>
      <c r="AE2" s="22" t="s">
        <v>59</v>
      </c>
      <c r="AF2" s="26" t="s">
        <v>1407</v>
      </c>
      <c r="AG2" s="26" t="s">
        <v>1407</v>
      </c>
      <c r="AH2" s="41"/>
      <c r="AN2" s="41" t="s">
        <v>489</v>
      </c>
    </row>
    <row r="3" spans="1:46">
      <c r="A3" s="172" t="s">
        <v>1408</v>
      </c>
      <c r="B3" s="22">
        <v>248</v>
      </c>
      <c r="C3" s="43" t="s">
        <v>1409</v>
      </c>
      <c r="D3" s="22" t="s">
        <v>1410</v>
      </c>
      <c r="E3" s="22" t="s">
        <v>1411</v>
      </c>
      <c r="F3" s="22" t="s">
        <v>1412</v>
      </c>
      <c r="G3" s="192" t="s">
        <v>2266</v>
      </c>
      <c r="H3" s="192" t="s">
        <v>2266</v>
      </c>
      <c r="I3" s="192" t="s">
        <v>2266</v>
      </c>
      <c r="J3" s="43" t="s">
        <v>2265</v>
      </c>
      <c r="K3" s="26">
        <v>0</v>
      </c>
      <c r="L3" s="26" t="s">
        <v>59</v>
      </c>
      <c r="M3" s="34">
        <v>1998</v>
      </c>
      <c r="N3" s="22" t="s">
        <v>496</v>
      </c>
      <c r="O3" s="26">
        <v>53.5</v>
      </c>
      <c r="P3" s="26" t="s">
        <v>1413</v>
      </c>
      <c r="Q3" s="26">
        <f>(37+43)/2</f>
        <v>40</v>
      </c>
      <c r="R3" s="22" t="s">
        <v>1414</v>
      </c>
      <c r="S3" s="22">
        <v>3</v>
      </c>
      <c r="T3" s="22">
        <f>71+67</f>
        <v>138</v>
      </c>
      <c r="U3" s="22">
        <v>2</v>
      </c>
      <c r="V3" s="48">
        <v>67</v>
      </c>
      <c r="W3" s="48">
        <v>71</v>
      </c>
      <c r="X3" s="48" t="s">
        <v>59</v>
      </c>
      <c r="Y3" s="48" t="s">
        <v>59</v>
      </c>
      <c r="Z3" s="22">
        <v>0</v>
      </c>
      <c r="AA3" s="22">
        <v>0</v>
      </c>
      <c r="AB3" s="22" t="s">
        <v>59</v>
      </c>
      <c r="AC3" s="22">
        <v>12</v>
      </c>
      <c r="AD3" s="22">
        <v>12</v>
      </c>
      <c r="AE3" s="22" t="s">
        <v>59</v>
      </c>
      <c r="AF3" s="26" t="s">
        <v>1407</v>
      </c>
      <c r="AG3" s="26" t="s">
        <v>1407</v>
      </c>
      <c r="AH3" s="41"/>
      <c r="AN3" s="41" t="s">
        <v>489</v>
      </c>
      <c r="AP3" s="41" t="s">
        <v>489</v>
      </c>
      <c r="AQ3" s="41" t="s">
        <v>489</v>
      </c>
    </row>
    <row r="4" spans="1:46">
      <c r="A4" s="172" t="s">
        <v>1415</v>
      </c>
      <c r="B4" s="22">
        <v>390</v>
      </c>
      <c r="C4" s="43" t="s">
        <v>1416</v>
      </c>
      <c r="D4" s="22" t="s">
        <v>1417</v>
      </c>
      <c r="E4" s="63" t="s">
        <v>1418</v>
      </c>
      <c r="F4" s="43" t="s">
        <v>1419</v>
      </c>
      <c r="G4" s="192" t="s">
        <v>2266</v>
      </c>
      <c r="H4" s="192" t="s">
        <v>2266</v>
      </c>
      <c r="I4" s="192" t="s">
        <v>2266</v>
      </c>
      <c r="J4" s="43" t="s">
        <v>2265</v>
      </c>
      <c r="K4" s="26">
        <v>0</v>
      </c>
      <c r="L4" s="26" t="s">
        <v>59</v>
      </c>
      <c r="M4" s="34">
        <v>2002</v>
      </c>
      <c r="N4" s="22" t="s">
        <v>1036</v>
      </c>
      <c r="O4" s="26">
        <f>ROUND((30.5*30+30*18)/(30+18), 1)</f>
        <v>30.3</v>
      </c>
      <c r="P4" s="26">
        <v>10.1</v>
      </c>
      <c r="Q4" s="26" t="s">
        <v>1413</v>
      </c>
      <c r="R4" s="22" t="s">
        <v>1420</v>
      </c>
      <c r="S4" s="22">
        <v>4</v>
      </c>
      <c r="T4" s="22">
        <v>48</v>
      </c>
      <c r="U4" s="22">
        <v>2</v>
      </c>
      <c r="V4" s="48">
        <v>18</v>
      </c>
      <c r="W4" s="48">
        <v>30</v>
      </c>
      <c r="X4" s="48" t="s">
        <v>59</v>
      </c>
      <c r="Y4" s="48" t="s">
        <v>59</v>
      </c>
      <c r="Z4" s="22">
        <v>0</v>
      </c>
      <c r="AA4" s="22">
        <v>0</v>
      </c>
      <c r="AB4" s="22">
        <v>0</v>
      </c>
      <c r="AC4" s="22">
        <v>4</v>
      </c>
      <c r="AD4" s="22">
        <v>8</v>
      </c>
      <c r="AE4" s="22" t="s">
        <v>1421</v>
      </c>
      <c r="AF4" s="26" t="s">
        <v>1407</v>
      </c>
      <c r="AG4" s="26" t="s">
        <v>1407</v>
      </c>
      <c r="AH4" s="41"/>
      <c r="AN4" s="41" t="s">
        <v>489</v>
      </c>
    </row>
    <row r="5" spans="1:46">
      <c r="A5" s="172" t="s">
        <v>1422</v>
      </c>
      <c r="B5" s="22">
        <v>393</v>
      </c>
      <c r="C5" s="43" t="s">
        <v>1423</v>
      </c>
      <c r="D5" s="22" t="s">
        <v>1424</v>
      </c>
      <c r="E5" s="22" t="s">
        <v>1425</v>
      </c>
      <c r="F5" s="22" t="s">
        <v>1426</v>
      </c>
      <c r="G5" s="192" t="s">
        <v>2266</v>
      </c>
      <c r="H5" s="192" t="s">
        <v>2266</v>
      </c>
      <c r="I5" s="192" t="s">
        <v>2266</v>
      </c>
      <c r="J5" s="22" t="s">
        <v>1427</v>
      </c>
      <c r="K5" s="26">
        <v>0</v>
      </c>
      <c r="L5" s="26" t="s">
        <v>59</v>
      </c>
      <c r="M5" s="34">
        <v>1991</v>
      </c>
      <c r="N5" s="22" t="s">
        <v>1057</v>
      </c>
      <c r="O5" s="26">
        <v>32</v>
      </c>
      <c r="P5" s="26">
        <v>14</v>
      </c>
      <c r="Q5" s="26">
        <f>ROUND(4/11*100, 1)</f>
        <v>36.4</v>
      </c>
      <c r="R5" s="22" t="s">
        <v>1413</v>
      </c>
      <c r="S5" s="22">
        <v>1</v>
      </c>
      <c r="T5" s="22">
        <v>22</v>
      </c>
      <c r="U5" s="22">
        <v>2</v>
      </c>
      <c r="V5" s="48">
        <v>11</v>
      </c>
      <c r="W5" s="48">
        <v>11</v>
      </c>
      <c r="X5" s="48" t="s">
        <v>59</v>
      </c>
      <c r="Y5" s="48" t="s">
        <v>59</v>
      </c>
      <c r="Z5" s="22">
        <v>0</v>
      </c>
      <c r="AA5" s="22">
        <v>0</v>
      </c>
      <c r="AB5" s="22">
        <v>0</v>
      </c>
      <c r="AC5" s="22">
        <v>3</v>
      </c>
      <c r="AD5" s="22">
        <v>3</v>
      </c>
      <c r="AE5" s="22" t="s">
        <v>1428</v>
      </c>
      <c r="AF5" s="26" t="s">
        <v>1407</v>
      </c>
      <c r="AG5" s="26" t="s">
        <v>1407</v>
      </c>
      <c r="AH5" s="41"/>
      <c r="AN5" s="41" t="s">
        <v>489</v>
      </c>
    </row>
    <row r="6" spans="1:46">
      <c r="A6" s="172" t="s">
        <v>1429</v>
      </c>
      <c r="B6" s="22">
        <v>553</v>
      </c>
      <c r="C6" s="43" t="s">
        <v>1430</v>
      </c>
      <c r="D6" s="43" t="s">
        <v>1431</v>
      </c>
      <c r="E6" s="22" t="s">
        <v>1432</v>
      </c>
      <c r="F6" s="22" t="s">
        <v>1433</v>
      </c>
      <c r="G6" s="192" t="s">
        <v>2266</v>
      </c>
      <c r="H6" s="192" t="s">
        <v>2266</v>
      </c>
      <c r="I6" s="192" t="s">
        <v>2266</v>
      </c>
      <c r="J6" s="43" t="s">
        <v>2265</v>
      </c>
      <c r="K6" s="26">
        <v>0</v>
      </c>
      <c r="L6" s="26" t="s">
        <v>1434</v>
      </c>
      <c r="M6" s="34">
        <v>1999</v>
      </c>
      <c r="N6" s="22" t="s">
        <v>496</v>
      </c>
      <c r="O6" s="26">
        <v>49</v>
      </c>
      <c r="P6" s="26">
        <v>16</v>
      </c>
      <c r="Q6" s="26">
        <v>48</v>
      </c>
      <c r="R6" s="22" t="s">
        <v>1435</v>
      </c>
      <c r="S6" s="22">
        <v>3</v>
      </c>
      <c r="T6" s="22">
        <v>201</v>
      </c>
      <c r="U6" s="22">
        <v>2</v>
      </c>
      <c r="V6" s="48">
        <v>101</v>
      </c>
      <c r="W6" s="48">
        <v>100</v>
      </c>
      <c r="X6" s="48" t="s">
        <v>59</v>
      </c>
      <c r="Y6" s="48" t="s">
        <v>59</v>
      </c>
      <c r="Z6" s="22">
        <v>0</v>
      </c>
      <c r="AA6" s="22">
        <v>0</v>
      </c>
      <c r="AB6" s="22" t="s">
        <v>59</v>
      </c>
      <c r="AC6" s="22">
        <v>12</v>
      </c>
      <c r="AD6" s="22">
        <v>12</v>
      </c>
      <c r="AE6" s="22" t="s">
        <v>59</v>
      </c>
      <c r="AF6" s="26" t="s">
        <v>1407</v>
      </c>
      <c r="AG6" s="26" t="s">
        <v>1407</v>
      </c>
      <c r="AH6" s="41"/>
      <c r="AN6" s="41" t="s">
        <v>489</v>
      </c>
    </row>
    <row r="7" spans="1:46">
      <c r="A7" s="172" t="s">
        <v>1436</v>
      </c>
      <c r="B7" s="22">
        <v>687</v>
      </c>
      <c r="C7" s="43" t="s">
        <v>1437</v>
      </c>
      <c r="D7" s="43" t="s">
        <v>1438</v>
      </c>
      <c r="E7" s="22" t="s">
        <v>1439</v>
      </c>
      <c r="F7" s="22" t="s">
        <v>1440</v>
      </c>
      <c r="G7" s="192" t="s">
        <v>2266</v>
      </c>
      <c r="H7" s="192" t="s">
        <v>2266</v>
      </c>
      <c r="I7" s="192" t="s">
        <v>2266</v>
      </c>
      <c r="J7" s="43" t="s">
        <v>2265</v>
      </c>
      <c r="K7" s="26">
        <v>0</v>
      </c>
      <c r="L7" s="26" t="s">
        <v>1434</v>
      </c>
      <c r="M7" s="34">
        <v>2001</v>
      </c>
      <c r="N7" s="22" t="s">
        <v>496</v>
      </c>
      <c r="O7" s="26">
        <v>53.96</v>
      </c>
      <c r="P7" s="26">
        <v>10.44</v>
      </c>
      <c r="Q7" s="26">
        <v>21.7</v>
      </c>
      <c r="R7" s="22" t="s">
        <v>1441</v>
      </c>
      <c r="S7" s="22">
        <v>2</v>
      </c>
      <c r="T7" s="22">
        <v>120</v>
      </c>
      <c r="U7" s="22">
        <v>2</v>
      </c>
      <c r="V7" s="48">
        <v>61</v>
      </c>
      <c r="W7" s="48">
        <v>59</v>
      </c>
      <c r="X7" s="48" t="s">
        <v>59</v>
      </c>
      <c r="Y7" s="48" t="s">
        <v>59</v>
      </c>
      <c r="Z7" s="22">
        <v>0</v>
      </c>
      <c r="AA7" s="22">
        <v>1</v>
      </c>
      <c r="AB7" s="22" t="s">
        <v>59</v>
      </c>
      <c r="AC7" s="22">
        <v>6</v>
      </c>
      <c r="AD7" s="22">
        <v>6</v>
      </c>
      <c r="AE7" s="22" t="s">
        <v>59</v>
      </c>
      <c r="AF7" s="26" t="s">
        <v>1407</v>
      </c>
      <c r="AG7" s="26" t="s">
        <v>1407</v>
      </c>
      <c r="AH7" s="41"/>
      <c r="AN7" s="41" t="s">
        <v>489</v>
      </c>
      <c r="AQ7" s="41" t="s">
        <v>489</v>
      </c>
    </row>
    <row r="8" spans="1:46">
      <c r="A8" s="172" t="s">
        <v>1442</v>
      </c>
      <c r="B8" s="22">
        <v>701</v>
      </c>
      <c r="C8" s="22" t="s">
        <v>1443</v>
      </c>
      <c r="D8" s="43" t="s">
        <v>1444</v>
      </c>
      <c r="E8" s="22" t="s">
        <v>1445</v>
      </c>
      <c r="F8" s="22" t="s">
        <v>1446</v>
      </c>
      <c r="G8" s="192" t="s">
        <v>2266</v>
      </c>
      <c r="H8" s="192" t="s">
        <v>2266</v>
      </c>
      <c r="I8" s="192" t="s">
        <v>2266</v>
      </c>
      <c r="J8" s="43" t="s">
        <v>2265</v>
      </c>
      <c r="K8" s="26">
        <v>0</v>
      </c>
      <c r="L8" s="26" t="s">
        <v>1434</v>
      </c>
      <c r="M8" s="34">
        <v>1999</v>
      </c>
      <c r="N8" s="22" t="s">
        <v>652</v>
      </c>
      <c r="O8" s="26">
        <v>60.5</v>
      </c>
      <c r="P8" s="26">
        <v>12</v>
      </c>
      <c r="Q8" s="26">
        <v>55</v>
      </c>
      <c r="R8" s="22" t="s">
        <v>1447</v>
      </c>
      <c r="S8" s="22">
        <v>3</v>
      </c>
      <c r="T8" s="22">
        <v>73</v>
      </c>
      <c r="U8" s="22">
        <v>2</v>
      </c>
      <c r="V8" s="48">
        <v>25</v>
      </c>
      <c r="W8" s="48">
        <v>48</v>
      </c>
      <c r="X8" s="48" t="s">
        <v>59</v>
      </c>
      <c r="Y8" s="48" t="s">
        <v>59</v>
      </c>
      <c r="Z8" s="22">
        <v>0</v>
      </c>
      <c r="AA8" s="22">
        <v>0</v>
      </c>
      <c r="AB8" s="22" t="s">
        <v>59</v>
      </c>
      <c r="AC8" s="22">
        <v>6</v>
      </c>
      <c r="AD8" s="22">
        <v>6</v>
      </c>
      <c r="AE8" s="22" t="s">
        <v>59</v>
      </c>
      <c r="AF8" s="26" t="s">
        <v>1407</v>
      </c>
      <c r="AG8" s="26" t="s">
        <v>1407</v>
      </c>
      <c r="AH8" s="41"/>
      <c r="AN8" s="41" t="s">
        <v>489</v>
      </c>
    </row>
    <row r="9" spans="1:46">
      <c r="A9" s="28" t="s">
        <v>1448</v>
      </c>
      <c r="B9" s="22">
        <v>843</v>
      </c>
      <c r="C9" s="22" t="s">
        <v>1449</v>
      </c>
      <c r="D9" s="43" t="s">
        <v>1450</v>
      </c>
      <c r="E9" s="22" t="s">
        <v>1451</v>
      </c>
      <c r="F9" s="22" t="s">
        <v>1452</v>
      </c>
      <c r="G9" s="192" t="s">
        <v>2266</v>
      </c>
      <c r="H9" s="192" t="s">
        <v>2266</v>
      </c>
      <c r="I9" s="192" t="s">
        <v>2266</v>
      </c>
      <c r="J9" s="22" t="s">
        <v>485</v>
      </c>
      <c r="K9" s="26">
        <v>474</v>
      </c>
      <c r="L9" s="26">
        <v>474</v>
      </c>
      <c r="M9" s="34">
        <v>1996</v>
      </c>
      <c r="N9" s="22" t="s">
        <v>567</v>
      </c>
      <c r="O9" s="26">
        <f>ROUND((65.5*649+65.3*614)/(649+614),1)</f>
        <v>65.400000000000006</v>
      </c>
      <c r="P9" s="26" t="s">
        <v>1413</v>
      </c>
      <c r="Q9" s="26">
        <f>ROUND((649*52.4+614*53.1)/(649+614), 1)</f>
        <v>52.7</v>
      </c>
      <c r="R9" s="22" t="s">
        <v>1453</v>
      </c>
      <c r="S9" s="22">
        <v>2</v>
      </c>
      <c r="T9" s="22">
        <v>1316</v>
      </c>
      <c r="U9" s="22">
        <v>2</v>
      </c>
      <c r="V9" s="48">
        <v>614</v>
      </c>
      <c r="W9" s="48">
        <v>649</v>
      </c>
      <c r="X9" s="48" t="s">
        <v>59</v>
      </c>
      <c r="Y9" s="48" t="s">
        <v>59</v>
      </c>
      <c r="Z9" s="22">
        <v>0</v>
      </c>
      <c r="AA9" s="22">
        <v>0</v>
      </c>
      <c r="AB9" s="22">
        <v>0</v>
      </c>
      <c r="AC9" s="22">
        <f>6*12</f>
        <v>72</v>
      </c>
      <c r="AD9" s="22">
        <f>6*12</f>
        <v>72</v>
      </c>
      <c r="AE9" s="22" t="s">
        <v>1454</v>
      </c>
      <c r="AF9" s="26" t="s">
        <v>1407</v>
      </c>
      <c r="AG9" s="26" t="s">
        <v>1407</v>
      </c>
      <c r="AH9" s="41"/>
      <c r="AJ9" s="41" t="s">
        <v>489</v>
      </c>
      <c r="AN9" s="41" t="s">
        <v>489</v>
      </c>
      <c r="AO9" s="41" t="s">
        <v>489</v>
      </c>
      <c r="AP9" s="41" t="s">
        <v>489</v>
      </c>
      <c r="AR9" s="41" t="s">
        <v>489</v>
      </c>
      <c r="AS9" s="41" t="s">
        <v>489</v>
      </c>
      <c r="AT9" s="41" t="s">
        <v>489</v>
      </c>
    </row>
    <row r="10" spans="1:46">
      <c r="A10" s="172" t="s">
        <v>1455</v>
      </c>
      <c r="B10" s="22">
        <v>1127</v>
      </c>
      <c r="C10" s="22" t="s">
        <v>1456</v>
      </c>
      <c r="D10" s="43" t="s">
        <v>1457</v>
      </c>
      <c r="E10" s="22" t="s">
        <v>1458</v>
      </c>
      <c r="F10" s="22" t="s">
        <v>1459</v>
      </c>
      <c r="G10" s="192" t="s">
        <v>2266</v>
      </c>
      <c r="H10" s="192" t="s">
        <v>2266</v>
      </c>
      <c r="I10" s="192" t="s">
        <v>2266</v>
      </c>
      <c r="J10" s="43" t="s">
        <v>2265</v>
      </c>
      <c r="K10" s="26">
        <v>0</v>
      </c>
      <c r="L10" s="26" t="s">
        <v>1434</v>
      </c>
      <c r="M10" s="34">
        <v>1992</v>
      </c>
      <c r="N10" s="22" t="s">
        <v>496</v>
      </c>
      <c r="O10" s="26">
        <f>(55.9+56.9)/2</f>
        <v>56.4</v>
      </c>
      <c r="P10" s="26">
        <v>7.8</v>
      </c>
      <c r="Q10" s="26">
        <f>((37/85)+(42/94))/2*100</f>
        <v>44.105131414267831</v>
      </c>
      <c r="R10" s="22" t="s">
        <v>1460</v>
      </c>
      <c r="S10" s="22">
        <v>2</v>
      </c>
      <c r="T10" s="22">
        <v>247</v>
      </c>
      <c r="U10" s="22">
        <v>2</v>
      </c>
      <c r="V10" s="48">
        <v>85</v>
      </c>
      <c r="W10" s="48">
        <v>94</v>
      </c>
      <c r="X10" s="48" t="s">
        <v>59</v>
      </c>
      <c r="Y10" s="48" t="s">
        <v>59</v>
      </c>
      <c r="Z10" s="22">
        <v>0</v>
      </c>
      <c r="AA10" s="22">
        <v>0</v>
      </c>
      <c r="AB10" s="22" t="s">
        <v>59</v>
      </c>
      <c r="AC10" s="22">
        <v>1.5</v>
      </c>
      <c r="AD10" s="22">
        <v>6</v>
      </c>
      <c r="AE10" s="22" t="s">
        <v>59</v>
      </c>
      <c r="AF10" s="26" t="s">
        <v>1407</v>
      </c>
      <c r="AG10" s="26" t="s">
        <v>1407</v>
      </c>
      <c r="AH10" s="41"/>
      <c r="AN10" s="41" t="s">
        <v>489</v>
      </c>
      <c r="AQ10" s="41" t="s">
        <v>489</v>
      </c>
    </row>
    <row r="11" spans="1:46">
      <c r="A11" s="172" t="s">
        <v>1467</v>
      </c>
      <c r="B11" s="22">
        <v>1243</v>
      </c>
      <c r="C11" s="22" t="s">
        <v>1468</v>
      </c>
      <c r="D11" s="43" t="s">
        <v>1469</v>
      </c>
      <c r="E11" s="22" t="s">
        <v>1470</v>
      </c>
      <c r="F11" s="22" t="s">
        <v>901</v>
      </c>
      <c r="G11" s="192" t="s">
        <v>2266</v>
      </c>
      <c r="H11" s="192" t="s">
        <v>2266</v>
      </c>
      <c r="I11" s="192" t="s">
        <v>2266</v>
      </c>
      <c r="J11" s="43" t="s">
        <v>2265</v>
      </c>
      <c r="K11" s="26">
        <v>0</v>
      </c>
      <c r="L11" s="26">
        <v>2</v>
      </c>
      <c r="M11" s="34">
        <v>1996</v>
      </c>
      <c r="N11" s="22" t="s">
        <v>496</v>
      </c>
      <c r="O11" s="48">
        <f>ROUND((108*61.7+98*63.1)/(108+98),1)</f>
        <v>62.4</v>
      </c>
      <c r="P11" s="48">
        <v>11.4</v>
      </c>
      <c r="Q11" s="48">
        <f>ROUND((108*37+98*40)/(108+98),1)</f>
        <v>38.4</v>
      </c>
      <c r="R11" s="22" t="s">
        <v>1471</v>
      </c>
      <c r="S11" s="22">
        <v>3</v>
      </c>
      <c r="T11" s="43">
        <v>206</v>
      </c>
      <c r="U11" s="43">
        <v>2</v>
      </c>
      <c r="V11" s="48">
        <v>98</v>
      </c>
      <c r="W11" s="48">
        <v>108</v>
      </c>
      <c r="X11" s="48" t="s">
        <v>59</v>
      </c>
      <c r="Y11" s="48" t="s">
        <v>59</v>
      </c>
      <c r="Z11" s="22">
        <v>0</v>
      </c>
      <c r="AA11" s="22">
        <v>0</v>
      </c>
      <c r="AB11" s="22">
        <v>0</v>
      </c>
      <c r="AC11" s="22">
        <v>3</v>
      </c>
      <c r="AD11" s="22">
        <v>3</v>
      </c>
      <c r="AE11" s="22" t="s">
        <v>1472</v>
      </c>
      <c r="AF11" s="26" t="s">
        <v>1407</v>
      </c>
      <c r="AG11" s="26" t="s">
        <v>1407</v>
      </c>
      <c r="AH11" s="41"/>
      <c r="AN11" s="41" t="s">
        <v>489</v>
      </c>
    </row>
    <row r="12" spans="1:46">
      <c r="A12" s="28" t="s">
        <v>1473</v>
      </c>
      <c r="B12" s="22">
        <v>1354</v>
      </c>
      <c r="C12" s="22" t="s">
        <v>1474</v>
      </c>
      <c r="D12" s="43" t="s">
        <v>1475</v>
      </c>
      <c r="E12" s="22" t="s">
        <v>1476</v>
      </c>
      <c r="F12" s="22" t="s">
        <v>1477</v>
      </c>
      <c r="G12" s="192" t="s">
        <v>2266</v>
      </c>
      <c r="H12" s="192" t="s">
        <v>2266</v>
      </c>
      <c r="I12" s="192" t="s">
        <v>2266</v>
      </c>
      <c r="J12" s="22" t="s">
        <v>485</v>
      </c>
      <c r="K12" s="26">
        <v>15</v>
      </c>
      <c r="L12" s="26">
        <v>17</v>
      </c>
      <c r="M12" s="34">
        <v>2001</v>
      </c>
      <c r="N12" s="22" t="s">
        <v>719</v>
      </c>
      <c r="O12" s="48">
        <f>ROUND((91*62.7+155*62.3)/(91+155),1)</f>
        <v>62.4</v>
      </c>
      <c r="P12" s="48">
        <v>10.4</v>
      </c>
      <c r="Q12" s="48">
        <f>ROUND((31+72)/(91+155)*100,1)</f>
        <v>41.9</v>
      </c>
      <c r="R12" s="22" t="s">
        <v>1478</v>
      </c>
      <c r="S12" s="22">
        <v>2</v>
      </c>
      <c r="T12" s="43">
        <f>155+91</f>
        <v>246</v>
      </c>
      <c r="U12" s="43">
        <v>2</v>
      </c>
      <c r="V12" s="48">
        <v>155</v>
      </c>
      <c r="W12" s="48">
        <v>91</v>
      </c>
      <c r="X12" s="48" t="s">
        <v>59</v>
      </c>
      <c r="Y12" s="48" t="s">
        <v>59</v>
      </c>
      <c r="Z12" s="22">
        <v>0</v>
      </c>
      <c r="AA12" s="22">
        <v>0</v>
      </c>
      <c r="AB12" s="22">
        <v>0</v>
      </c>
      <c r="AC12" s="22">
        <v>12</v>
      </c>
      <c r="AD12" s="22">
        <v>12</v>
      </c>
      <c r="AE12" s="22" t="s">
        <v>1479</v>
      </c>
      <c r="AF12" s="26" t="s">
        <v>1407</v>
      </c>
      <c r="AG12" s="26" t="s">
        <v>1407</v>
      </c>
      <c r="AH12" s="41"/>
      <c r="AN12" s="41" t="s">
        <v>489</v>
      </c>
      <c r="AO12" s="41" t="s">
        <v>489</v>
      </c>
      <c r="AP12" s="41" t="s">
        <v>489</v>
      </c>
      <c r="AQ12" s="41"/>
      <c r="AT12" s="41" t="s">
        <v>489</v>
      </c>
    </row>
    <row r="13" spans="1:46">
      <c r="A13" s="172" t="s">
        <v>1486</v>
      </c>
      <c r="B13" s="22">
        <v>1471</v>
      </c>
      <c r="C13" s="22" t="s">
        <v>1487</v>
      </c>
      <c r="D13" s="43" t="s">
        <v>1488</v>
      </c>
      <c r="E13" s="161" t="s">
        <v>1489</v>
      </c>
      <c r="F13" s="22" t="s">
        <v>1490</v>
      </c>
      <c r="G13" s="192" t="s">
        <v>2266</v>
      </c>
      <c r="H13" s="192" t="s">
        <v>2266</v>
      </c>
      <c r="I13" s="192" t="s">
        <v>2266</v>
      </c>
      <c r="J13" s="43" t="s">
        <v>2265</v>
      </c>
      <c r="K13" s="26">
        <v>0</v>
      </c>
      <c r="L13" s="26" t="s">
        <v>1434</v>
      </c>
      <c r="M13" s="34">
        <v>1984</v>
      </c>
      <c r="N13" s="22" t="s">
        <v>1491</v>
      </c>
      <c r="O13" s="26">
        <v>59</v>
      </c>
      <c r="P13" s="26">
        <v>8.1999999999999993</v>
      </c>
      <c r="Q13" s="26">
        <v>41</v>
      </c>
      <c r="R13" s="22" t="s">
        <v>1492</v>
      </c>
      <c r="S13" s="22">
        <v>2</v>
      </c>
      <c r="T13" s="43">
        <v>200</v>
      </c>
      <c r="U13" s="22">
        <v>2</v>
      </c>
      <c r="V13" s="48">
        <v>103</v>
      </c>
      <c r="W13" s="48">
        <v>97</v>
      </c>
      <c r="X13" s="48" t="s">
        <v>59</v>
      </c>
      <c r="Y13" s="48" t="s">
        <v>59</v>
      </c>
      <c r="Z13" s="22">
        <v>0</v>
      </c>
      <c r="AA13" s="22">
        <v>0</v>
      </c>
      <c r="AB13" s="22">
        <v>0</v>
      </c>
      <c r="AC13" s="22">
        <v>60</v>
      </c>
      <c r="AD13" s="22">
        <v>60</v>
      </c>
      <c r="AE13" s="22" t="s">
        <v>1493</v>
      </c>
      <c r="AG13" s="26" t="s">
        <v>1407</v>
      </c>
      <c r="AH13" s="41"/>
      <c r="AN13" s="41" t="s">
        <v>489</v>
      </c>
    </row>
    <row r="14" spans="1:46">
      <c r="A14" s="28" t="s">
        <v>1494</v>
      </c>
      <c r="B14" s="22">
        <v>1521</v>
      </c>
      <c r="C14" s="22" t="s">
        <v>1495</v>
      </c>
      <c r="D14" s="43" t="s">
        <v>1496</v>
      </c>
      <c r="E14" s="22" t="s">
        <v>1497</v>
      </c>
      <c r="F14" s="22" t="s">
        <v>1498</v>
      </c>
      <c r="G14" s="192" t="s">
        <v>2266</v>
      </c>
      <c r="H14" s="192" t="s">
        <v>2266</v>
      </c>
      <c r="I14" s="192" t="s">
        <v>2266</v>
      </c>
      <c r="J14" s="22" t="s">
        <v>485</v>
      </c>
      <c r="K14" s="26">
        <v>29</v>
      </c>
      <c r="L14" s="26">
        <f>24+29</f>
        <v>53</v>
      </c>
      <c r="M14" s="34">
        <v>1994</v>
      </c>
      <c r="N14" s="22" t="s">
        <v>1142</v>
      </c>
      <c r="O14" s="26">
        <v>66</v>
      </c>
      <c r="P14" s="26">
        <v>16.3</v>
      </c>
      <c r="Q14" s="26" t="s">
        <v>1413</v>
      </c>
      <c r="R14" s="22" t="s">
        <v>1499</v>
      </c>
      <c r="S14" s="22">
        <v>3</v>
      </c>
      <c r="T14" s="22">
        <f>499+535</f>
        <v>1034</v>
      </c>
      <c r="U14" s="22">
        <v>2</v>
      </c>
      <c r="V14" s="48">
        <v>535</v>
      </c>
      <c r="W14" s="48">
        <v>499</v>
      </c>
      <c r="X14" s="48" t="s">
        <v>59</v>
      </c>
      <c r="Y14" s="48" t="s">
        <v>59</v>
      </c>
      <c r="Z14" s="22">
        <v>0</v>
      </c>
      <c r="AA14" s="22">
        <v>0</v>
      </c>
      <c r="AB14" s="22">
        <v>0</v>
      </c>
      <c r="AC14" s="22">
        <v>18</v>
      </c>
      <c r="AD14" s="22">
        <v>21</v>
      </c>
      <c r="AE14" s="22" t="s">
        <v>1500</v>
      </c>
      <c r="AF14" s="26" t="s">
        <v>1407</v>
      </c>
      <c r="AG14" s="26" t="s">
        <v>1407</v>
      </c>
      <c r="AH14" s="41"/>
      <c r="AN14" s="41" t="s">
        <v>489</v>
      </c>
      <c r="AO14" s="41" t="s">
        <v>489</v>
      </c>
      <c r="AP14" s="41" t="s">
        <v>489</v>
      </c>
      <c r="AS14" s="41" t="s">
        <v>489</v>
      </c>
    </row>
    <row r="15" spans="1:46">
      <c r="A15" s="172" t="s">
        <v>1501</v>
      </c>
      <c r="B15" s="193">
        <v>1585</v>
      </c>
      <c r="C15" s="43" t="s">
        <v>1502</v>
      </c>
      <c r="D15" s="43" t="s">
        <v>1503</v>
      </c>
      <c r="E15" s="22" t="s">
        <v>1504</v>
      </c>
      <c r="F15" s="43" t="s">
        <v>1505</v>
      </c>
      <c r="G15" s="192" t="s">
        <v>2266</v>
      </c>
      <c r="H15" s="192" t="s">
        <v>2266</v>
      </c>
      <c r="I15" s="192" t="s">
        <v>2266</v>
      </c>
      <c r="J15" s="43" t="s">
        <v>2265</v>
      </c>
      <c r="K15" s="26">
        <v>0</v>
      </c>
      <c r="L15" s="26" t="s">
        <v>1413</v>
      </c>
      <c r="M15" s="34">
        <v>1993</v>
      </c>
      <c r="N15" s="22" t="s">
        <v>652</v>
      </c>
      <c r="O15" s="26">
        <f>ROUND((72*54+69*54+65*52)/(72+69+65), 1)</f>
        <v>53.4</v>
      </c>
      <c r="P15" s="26">
        <v>13.3</v>
      </c>
      <c r="Q15" s="26">
        <f>ROUND((64*72+44*69+45*65)/(72+69+65), 1)</f>
        <v>51.3</v>
      </c>
      <c r="R15" s="22" t="s">
        <v>1506</v>
      </c>
      <c r="S15" s="22">
        <v>3</v>
      </c>
      <c r="T15" s="22">
        <v>206</v>
      </c>
      <c r="U15" s="193">
        <v>3</v>
      </c>
      <c r="V15" s="48">
        <v>72</v>
      </c>
      <c r="W15" s="48">
        <v>65</v>
      </c>
      <c r="X15" s="48">
        <v>69</v>
      </c>
      <c r="Y15" s="48" t="s">
        <v>59</v>
      </c>
      <c r="Z15" s="22">
        <v>0</v>
      </c>
      <c r="AA15" s="22">
        <v>0</v>
      </c>
      <c r="AB15" s="22">
        <v>1</v>
      </c>
      <c r="AC15" s="22">
        <v>12</v>
      </c>
      <c r="AD15" s="22">
        <v>12</v>
      </c>
      <c r="AE15" s="22" t="s">
        <v>1507</v>
      </c>
      <c r="AF15" s="26" t="s">
        <v>1407</v>
      </c>
      <c r="AG15" s="26" t="s">
        <v>1407</v>
      </c>
      <c r="AN15" s="41" t="s">
        <v>489</v>
      </c>
      <c r="AO15" s="41" t="s">
        <v>489</v>
      </c>
      <c r="AP15" s="41" t="s">
        <v>489</v>
      </c>
      <c r="AQ15" s="41"/>
    </row>
    <row r="16" spans="1:46">
      <c r="A16" s="172" t="s">
        <v>163</v>
      </c>
      <c r="B16" s="22">
        <v>1620</v>
      </c>
      <c r="C16" s="22" t="s">
        <v>1508</v>
      </c>
      <c r="D16" s="43" t="s">
        <v>1509</v>
      </c>
      <c r="E16" s="22" t="s">
        <v>1510</v>
      </c>
      <c r="G16" s="192" t="s">
        <v>2266</v>
      </c>
      <c r="H16" s="192" t="s">
        <v>2266</v>
      </c>
      <c r="I16" s="192" t="s">
        <v>2266</v>
      </c>
      <c r="J16" s="43" t="s">
        <v>2265</v>
      </c>
      <c r="K16" s="26">
        <v>0</v>
      </c>
      <c r="L16" s="26" t="s">
        <v>59</v>
      </c>
      <c r="M16" s="34">
        <v>1990</v>
      </c>
      <c r="N16" s="22" t="s">
        <v>936</v>
      </c>
      <c r="O16" s="26">
        <f>ROUND((92*63.1+89*62)/(92+89),1)</f>
        <v>62.6</v>
      </c>
      <c r="P16" s="26">
        <v>10</v>
      </c>
      <c r="Q16" s="26">
        <f>ROUND((51+54)/(92+89)*100,1)</f>
        <v>58</v>
      </c>
      <c r="R16" s="22" t="s">
        <v>1511</v>
      </c>
      <c r="S16" s="22">
        <v>2</v>
      </c>
      <c r="T16" s="43">
        <v>181</v>
      </c>
      <c r="U16" s="22">
        <v>2</v>
      </c>
      <c r="V16" s="48">
        <v>92</v>
      </c>
      <c r="W16" s="48">
        <v>89</v>
      </c>
      <c r="X16" s="48" t="s">
        <v>59</v>
      </c>
      <c r="Y16" s="48" t="s">
        <v>59</v>
      </c>
      <c r="Z16" s="22">
        <v>0</v>
      </c>
      <c r="AA16" s="22">
        <v>0</v>
      </c>
      <c r="AB16" s="22">
        <v>0</v>
      </c>
      <c r="AC16" s="22">
        <v>6</v>
      </c>
      <c r="AD16" s="22">
        <v>30</v>
      </c>
      <c r="AE16" s="22" t="s">
        <v>1413</v>
      </c>
      <c r="AF16" s="26" t="s">
        <v>1407</v>
      </c>
      <c r="AG16" s="26" t="s">
        <v>1407</v>
      </c>
      <c r="AK16" s="41" t="s">
        <v>489</v>
      </c>
      <c r="AN16" s="41" t="s">
        <v>489</v>
      </c>
    </row>
    <row r="17" spans="1:46">
      <c r="A17" s="172" t="s">
        <v>1512</v>
      </c>
      <c r="B17" s="22">
        <v>1646</v>
      </c>
      <c r="C17" s="22" t="s">
        <v>1513</v>
      </c>
      <c r="D17" s="43" t="s">
        <v>1514</v>
      </c>
      <c r="E17" s="22" t="s">
        <v>1515</v>
      </c>
      <c r="F17" s="22" t="s">
        <v>1516</v>
      </c>
      <c r="G17" s="192" t="s">
        <v>2266</v>
      </c>
      <c r="H17" s="192" t="s">
        <v>2266</v>
      </c>
      <c r="I17" s="192" t="s">
        <v>2266</v>
      </c>
      <c r="J17" s="43" t="s">
        <v>2265</v>
      </c>
      <c r="K17" s="26">
        <v>0</v>
      </c>
      <c r="L17" s="26" t="s">
        <v>59</v>
      </c>
      <c r="M17" s="34">
        <v>1996</v>
      </c>
      <c r="N17" s="22" t="s">
        <v>496</v>
      </c>
      <c r="O17" s="26">
        <f>ROUND((22*65+17*59)/(22+17), 1)</f>
        <v>62.4</v>
      </c>
      <c r="P17" s="26">
        <v>12.2</v>
      </c>
      <c r="Q17" s="26">
        <f>ROUND((7+5)/39*100, 1)</f>
        <v>30.8</v>
      </c>
      <c r="R17" s="22" t="s">
        <v>1517</v>
      </c>
      <c r="S17" s="22">
        <v>2</v>
      </c>
      <c r="T17" s="22">
        <v>45</v>
      </c>
      <c r="U17" s="22">
        <v>2</v>
      </c>
      <c r="V17" s="61">
        <v>22</v>
      </c>
      <c r="W17" s="61">
        <v>23</v>
      </c>
      <c r="X17" s="48" t="s">
        <v>59</v>
      </c>
      <c r="Y17" s="48" t="s">
        <v>59</v>
      </c>
      <c r="Z17" s="22">
        <v>0</v>
      </c>
      <c r="AA17" s="22">
        <v>0</v>
      </c>
      <c r="AB17" s="22">
        <v>0</v>
      </c>
      <c r="AC17" s="22">
        <v>4</v>
      </c>
      <c r="AD17" s="22">
        <v>4</v>
      </c>
      <c r="AE17" s="22" t="s">
        <v>1518</v>
      </c>
      <c r="AF17" s="26" t="s">
        <v>1407</v>
      </c>
      <c r="AG17" s="26" t="s">
        <v>1407</v>
      </c>
      <c r="AN17" s="41" t="s">
        <v>489</v>
      </c>
      <c r="AT17" s="41" t="s">
        <v>489</v>
      </c>
    </row>
    <row r="18" spans="1:46">
      <c r="A18" s="28" t="s">
        <v>1526</v>
      </c>
      <c r="B18" s="22">
        <v>1841</v>
      </c>
      <c r="C18" s="22" t="s">
        <v>1527</v>
      </c>
      <c r="D18" s="43" t="s">
        <v>1528</v>
      </c>
      <c r="E18" s="22" t="s">
        <v>1529</v>
      </c>
      <c r="F18" s="22" t="s">
        <v>1530</v>
      </c>
      <c r="G18" s="192" t="s">
        <v>2266</v>
      </c>
      <c r="H18" s="192" t="s">
        <v>2266</v>
      </c>
      <c r="I18" s="192" t="s">
        <v>2266</v>
      </c>
      <c r="J18" s="22" t="s">
        <v>485</v>
      </c>
      <c r="K18" s="26">
        <v>41</v>
      </c>
      <c r="L18" s="26">
        <f>23+32+20+32</f>
        <v>107</v>
      </c>
      <c r="M18" s="34">
        <v>1995</v>
      </c>
      <c r="N18" s="22" t="s">
        <v>936</v>
      </c>
      <c r="O18" s="26">
        <f>ROUND((142*57.9+108*57.4)/(142+108), 1)</f>
        <v>57.7</v>
      </c>
      <c r="P18" s="26" t="s">
        <v>1413</v>
      </c>
      <c r="Q18" s="26">
        <f>ROUND((83+65)/(142+108)*100, 1)</f>
        <v>59.2</v>
      </c>
      <c r="R18" s="22" t="s">
        <v>1531</v>
      </c>
      <c r="S18" s="22">
        <v>2</v>
      </c>
      <c r="T18" s="43">
        <v>360</v>
      </c>
      <c r="U18" s="22">
        <v>2</v>
      </c>
      <c r="V18" s="48">
        <v>161</v>
      </c>
      <c r="W18" s="48">
        <v>199</v>
      </c>
      <c r="X18" s="48" t="s">
        <v>59</v>
      </c>
      <c r="Y18" s="48" t="s">
        <v>59</v>
      </c>
      <c r="Z18" s="22">
        <v>0</v>
      </c>
      <c r="AA18" s="22">
        <v>0</v>
      </c>
      <c r="AB18" s="22">
        <v>0</v>
      </c>
      <c r="AC18" s="22">
        <v>12</v>
      </c>
      <c r="AD18" s="22">
        <v>12</v>
      </c>
      <c r="AE18" s="22" t="s">
        <v>1532</v>
      </c>
      <c r="AF18" s="26" t="s">
        <v>1407</v>
      </c>
      <c r="AG18" s="26" t="s">
        <v>1407</v>
      </c>
      <c r="AN18" s="41" t="s">
        <v>489</v>
      </c>
      <c r="AO18" s="41" t="s">
        <v>489</v>
      </c>
      <c r="AP18" s="41" t="s">
        <v>489</v>
      </c>
      <c r="AS18" s="41" t="s">
        <v>489</v>
      </c>
    </row>
    <row r="19" spans="1:46">
      <c r="A19" s="28" t="s">
        <v>73</v>
      </c>
      <c r="B19" s="22">
        <v>1930</v>
      </c>
      <c r="C19" s="22" t="s">
        <v>1533</v>
      </c>
      <c r="D19" s="43" t="s">
        <v>1534</v>
      </c>
      <c r="E19" s="22" t="s">
        <v>1535</v>
      </c>
      <c r="F19" s="43" t="s">
        <v>1536</v>
      </c>
      <c r="G19" s="192" t="s">
        <v>2266</v>
      </c>
      <c r="H19" s="192" t="s">
        <v>2266</v>
      </c>
      <c r="I19" s="192" t="s">
        <v>2266</v>
      </c>
      <c r="J19" s="22" t="s">
        <v>485</v>
      </c>
      <c r="K19" s="26">
        <v>19</v>
      </c>
      <c r="L19" s="26">
        <v>19</v>
      </c>
      <c r="M19" s="34">
        <v>1995</v>
      </c>
      <c r="N19" s="22" t="s">
        <v>1537</v>
      </c>
      <c r="O19" s="26">
        <f>(16+23)/2</f>
        <v>19.5</v>
      </c>
      <c r="P19" s="26">
        <f>(9+12)/2</f>
        <v>10.5</v>
      </c>
      <c r="Q19" s="26">
        <v>46.3</v>
      </c>
      <c r="R19" s="22" t="s">
        <v>1538</v>
      </c>
      <c r="S19" s="22">
        <v>1</v>
      </c>
      <c r="T19" s="22">
        <v>54</v>
      </c>
      <c r="U19" s="22">
        <v>2</v>
      </c>
      <c r="V19" s="48">
        <v>24</v>
      </c>
      <c r="W19" s="48">
        <v>27</v>
      </c>
      <c r="X19" s="48" t="s">
        <v>59</v>
      </c>
      <c r="Y19" s="48" t="s">
        <v>59</v>
      </c>
      <c r="Z19" s="22">
        <v>0</v>
      </c>
      <c r="AA19" s="22">
        <v>0</v>
      </c>
      <c r="AB19" s="22">
        <v>0</v>
      </c>
      <c r="AC19" s="22">
        <v>3</v>
      </c>
      <c r="AD19" s="22">
        <v>3</v>
      </c>
      <c r="AE19" s="22" t="s">
        <v>1539</v>
      </c>
      <c r="AF19" s="26" t="s">
        <v>1407</v>
      </c>
      <c r="AG19" s="26" t="s">
        <v>1407</v>
      </c>
      <c r="AN19" s="41" t="s">
        <v>1407</v>
      </c>
    </row>
    <row r="20" spans="1:46">
      <c r="A20" s="172" t="s">
        <v>1540</v>
      </c>
      <c r="B20" s="22">
        <v>1982</v>
      </c>
      <c r="C20" s="22" t="s">
        <v>1541</v>
      </c>
      <c r="D20" s="43" t="s">
        <v>1542</v>
      </c>
      <c r="E20" s="161" t="s">
        <v>1489</v>
      </c>
      <c r="F20" s="22" t="s">
        <v>1543</v>
      </c>
      <c r="G20" s="192" t="s">
        <v>2266</v>
      </c>
      <c r="H20" s="192" t="s">
        <v>2266</v>
      </c>
      <c r="I20" s="192" t="s">
        <v>2266</v>
      </c>
      <c r="J20" s="43" t="s">
        <v>2265</v>
      </c>
      <c r="K20" s="26">
        <v>0</v>
      </c>
      <c r="L20" s="26" t="s">
        <v>59</v>
      </c>
      <c r="M20" s="34">
        <v>1998</v>
      </c>
      <c r="N20" s="22" t="s">
        <v>567</v>
      </c>
      <c r="O20" s="26">
        <f>ROUND((107*36+115*36)/(107+115), 1)</f>
        <v>36</v>
      </c>
      <c r="P20" s="26" t="s">
        <v>1413</v>
      </c>
      <c r="Q20" s="48">
        <f>ROUND((138/240)*100, 1)</f>
        <v>57.5</v>
      </c>
      <c r="R20" s="22" t="s">
        <v>1544</v>
      </c>
      <c r="S20" s="22">
        <v>1</v>
      </c>
      <c r="T20" s="22">
        <v>240</v>
      </c>
      <c r="U20" s="22">
        <v>2</v>
      </c>
      <c r="V20" s="48">
        <v>107</v>
      </c>
      <c r="W20" s="48">
        <v>115</v>
      </c>
      <c r="X20" s="48" t="s">
        <v>59</v>
      </c>
      <c r="Y20" s="48" t="s">
        <v>59</v>
      </c>
      <c r="Z20" s="22">
        <v>1</v>
      </c>
      <c r="AA20" s="22">
        <v>0</v>
      </c>
      <c r="AB20" s="22">
        <v>0</v>
      </c>
      <c r="AC20" s="22">
        <v>12</v>
      </c>
      <c r="AD20" s="22">
        <v>24</v>
      </c>
      <c r="AE20" s="22" t="s">
        <v>1545</v>
      </c>
      <c r="AF20" s="26" t="s">
        <v>1407</v>
      </c>
      <c r="AG20" s="26" t="s">
        <v>1407</v>
      </c>
      <c r="AN20" s="41" t="s">
        <v>489</v>
      </c>
    </row>
    <row r="21" spans="1:46">
      <c r="A21" s="172" t="s">
        <v>1546</v>
      </c>
      <c r="B21" s="22">
        <v>2059</v>
      </c>
      <c r="C21" s="22" t="s">
        <v>1547</v>
      </c>
      <c r="D21" s="43" t="s">
        <v>1548</v>
      </c>
      <c r="E21" s="22" t="s">
        <v>1549</v>
      </c>
      <c r="F21" s="22" t="s">
        <v>1550</v>
      </c>
      <c r="G21" s="192" t="s">
        <v>2266</v>
      </c>
      <c r="H21" s="192" t="s">
        <v>2266</v>
      </c>
      <c r="I21" s="192" t="s">
        <v>2266</v>
      </c>
      <c r="J21" s="43" t="s">
        <v>2265</v>
      </c>
      <c r="K21" s="26">
        <v>0</v>
      </c>
      <c r="L21" s="26" t="s">
        <v>59</v>
      </c>
      <c r="M21" s="34">
        <v>1999</v>
      </c>
      <c r="N21" s="22" t="s">
        <v>496</v>
      </c>
      <c r="O21" s="26">
        <f>ROUND((64*60+64*57)/128, 1)</f>
        <v>58.5</v>
      </c>
      <c r="P21" s="26" t="s">
        <v>1413</v>
      </c>
      <c r="Q21" s="26">
        <f>ROUND((0.3*64+0.35*64)/(128)*100, 1)</f>
        <v>32.5</v>
      </c>
      <c r="R21" s="22" t="s">
        <v>1551</v>
      </c>
      <c r="S21" s="22">
        <v>4</v>
      </c>
      <c r="T21" s="22">
        <v>150</v>
      </c>
      <c r="U21" s="22">
        <v>2</v>
      </c>
      <c r="V21" s="48">
        <v>75</v>
      </c>
      <c r="W21" s="48">
        <v>75</v>
      </c>
      <c r="X21" s="48" t="s">
        <v>59</v>
      </c>
      <c r="Y21" s="48" t="s">
        <v>59</v>
      </c>
      <c r="Z21" s="22">
        <v>0</v>
      </c>
      <c r="AA21" s="22">
        <v>0</v>
      </c>
      <c r="AB21" s="22">
        <v>0</v>
      </c>
      <c r="AC21" s="22">
        <v>6</v>
      </c>
      <c r="AD21" s="22">
        <v>6</v>
      </c>
      <c r="AE21" s="22" t="s">
        <v>1552</v>
      </c>
      <c r="AF21" s="26" t="s">
        <v>1407</v>
      </c>
      <c r="AG21" s="26" t="s">
        <v>1407</v>
      </c>
      <c r="AN21" s="41" t="s">
        <v>489</v>
      </c>
      <c r="AO21" s="41" t="s">
        <v>489</v>
      </c>
      <c r="AP21" s="41" t="s">
        <v>489</v>
      </c>
      <c r="AQ21" s="41" t="s">
        <v>489</v>
      </c>
    </row>
    <row r="22" spans="1:46">
      <c r="A22" s="172" t="s">
        <v>1553</v>
      </c>
      <c r="B22" s="193">
        <v>2264</v>
      </c>
      <c r="C22" s="196" t="s">
        <v>1554</v>
      </c>
      <c r="D22" s="62" t="s">
        <v>1555</v>
      </c>
      <c r="E22" s="22" t="s">
        <v>1556</v>
      </c>
      <c r="F22" s="43" t="s">
        <v>1557</v>
      </c>
      <c r="G22" s="192" t="s">
        <v>2266</v>
      </c>
      <c r="H22" s="192" t="s">
        <v>2266</v>
      </c>
      <c r="I22" s="192" t="s">
        <v>2266</v>
      </c>
      <c r="J22" s="43" t="s">
        <v>2265</v>
      </c>
      <c r="K22" s="26" t="s">
        <v>59</v>
      </c>
      <c r="L22" s="26">
        <f>21+20+23+22</f>
        <v>86</v>
      </c>
      <c r="M22" s="34">
        <v>1982</v>
      </c>
      <c r="N22" s="22" t="s">
        <v>496</v>
      </c>
      <c r="O22" s="26">
        <v>58.1</v>
      </c>
      <c r="P22" s="26" t="s">
        <v>1413</v>
      </c>
      <c r="Q22" s="26">
        <v>21</v>
      </c>
      <c r="R22" s="22" t="s">
        <v>1558</v>
      </c>
      <c r="S22" s="22">
        <v>3</v>
      </c>
      <c r="T22" s="22">
        <v>532</v>
      </c>
      <c r="U22" s="193">
        <v>4</v>
      </c>
      <c r="V22" s="48">
        <v>135</v>
      </c>
      <c r="W22" s="48">
        <v>125</v>
      </c>
      <c r="X22" s="48">
        <v>134</v>
      </c>
      <c r="Y22" s="48">
        <v>138</v>
      </c>
      <c r="Z22" s="22">
        <v>0</v>
      </c>
      <c r="AA22" s="22">
        <v>0</v>
      </c>
      <c r="AB22" s="22">
        <v>0</v>
      </c>
      <c r="AC22" s="197">
        <v>11</v>
      </c>
      <c r="AD22" s="22">
        <v>14</v>
      </c>
      <c r="AE22" s="22" t="s">
        <v>1559</v>
      </c>
      <c r="AF22" s="26" t="s">
        <v>1407</v>
      </c>
      <c r="AG22" s="26" t="s">
        <v>1407</v>
      </c>
      <c r="AN22" s="41" t="s">
        <v>489</v>
      </c>
      <c r="AO22" s="41" t="s">
        <v>489</v>
      </c>
      <c r="AP22" s="41" t="s">
        <v>489</v>
      </c>
    </row>
    <row r="23" spans="1:46">
      <c r="A23" s="28" t="s">
        <v>1567</v>
      </c>
      <c r="B23" s="22">
        <v>2317</v>
      </c>
      <c r="C23" s="22" t="s">
        <v>1568</v>
      </c>
      <c r="D23" s="43" t="s">
        <v>1569</v>
      </c>
      <c r="E23" s="22" t="s">
        <v>1570</v>
      </c>
      <c r="F23" s="22" t="s">
        <v>1571</v>
      </c>
      <c r="G23" s="192" t="s">
        <v>2266</v>
      </c>
      <c r="H23" s="192" t="s">
        <v>2266</v>
      </c>
      <c r="I23" s="192" t="s">
        <v>2266</v>
      </c>
      <c r="J23" s="22" t="s">
        <v>485</v>
      </c>
      <c r="K23" s="26">
        <v>66</v>
      </c>
      <c r="L23" s="26">
        <v>66</v>
      </c>
      <c r="M23" s="34">
        <v>1999</v>
      </c>
      <c r="N23" s="22" t="s">
        <v>496</v>
      </c>
      <c r="O23" s="26">
        <f>ROUND((307*68+291*67)/(307+291), 1)</f>
        <v>67.5</v>
      </c>
      <c r="P23" s="26">
        <v>12</v>
      </c>
      <c r="Q23" s="26">
        <f>ROUND((44.9*307+51.5*291)/(307+291), 1)</f>
        <v>48.1</v>
      </c>
      <c r="R23" s="22" t="s">
        <v>1572</v>
      </c>
      <c r="S23" s="22">
        <v>2</v>
      </c>
      <c r="T23" s="22">
        <v>598</v>
      </c>
      <c r="U23" s="22">
        <v>2</v>
      </c>
      <c r="V23" s="48">
        <v>291</v>
      </c>
      <c r="W23" s="48">
        <v>307</v>
      </c>
      <c r="X23" s="48" t="s">
        <v>59</v>
      </c>
      <c r="Y23" s="48" t="s">
        <v>59</v>
      </c>
      <c r="Z23" s="22">
        <v>0</v>
      </c>
      <c r="AA23" s="22">
        <v>1</v>
      </c>
      <c r="AB23" s="22">
        <v>0</v>
      </c>
      <c r="AC23" s="22">
        <v>12</v>
      </c>
      <c r="AD23" s="22">
        <v>12</v>
      </c>
      <c r="AE23" s="22" t="s">
        <v>1518</v>
      </c>
      <c r="AF23" s="26" t="s">
        <v>1407</v>
      </c>
      <c r="AG23" s="26" t="s">
        <v>1407</v>
      </c>
      <c r="AK23" s="41" t="s">
        <v>489</v>
      </c>
      <c r="AL23" s="41" t="s">
        <v>489</v>
      </c>
      <c r="AN23" s="41" t="s">
        <v>489</v>
      </c>
      <c r="AO23" s="41" t="s">
        <v>489</v>
      </c>
      <c r="AP23" s="41" t="s">
        <v>489</v>
      </c>
      <c r="AQ23" s="41" t="s">
        <v>489</v>
      </c>
      <c r="AR23" s="41" t="s">
        <v>489</v>
      </c>
    </row>
    <row r="24" spans="1:46">
      <c r="A24" s="172" t="s">
        <v>1573</v>
      </c>
      <c r="B24" s="22">
        <v>2707</v>
      </c>
      <c r="C24" s="43" t="s">
        <v>1574</v>
      </c>
      <c r="D24" s="43" t="s">
        <v>1575</v>
      </c>
      <c r="E24" s="22" t="s">
        <v>1576</v>
      </c>
      <c r="F24" s="22" t="s">
        <v>1016</v>
      </c>
      <c r="G24" s="192" t="s">
        <v>2266</v>
      </c>
      <c r="H24" s="192" t="s">
        <v>2266</v>
      </c>
      <c r="I24" s="192" t="s">
        <v>2266</v>
      </c>
      <c r="J24" s="43" t="s">
        <v>2265</v>
      </c>
      <c r="K24" s="26">
        <v>0</v>
      </c>
      <c r="L24" s="26" t="s">
        <v>59</v>
      </c>
      <c r="M24" s="34">
        <v>2000</v>
      </c>
      <c r="N24" s="22" t="s">
        <v>496</v>
      </c>
      <c r="O24" s="26">
        <v>55</v>
      </c>
      <c r="P24" s="26">
        <v>10</v>
      </c>
      <c r="Q24" s="26">
        <f>100-59</f>
        <v>41</v>
      </c>
      <c r="R24" s="22" t="s">
        <v>1577</v>
      </c>
      <c r="S24" s="22">
        <v>4</v>
      </c>
      <c r="T24" s="22">
        <v>280</v>
      </c>
      <c r="U24" s="22">
        <v>2</v>
      </c>
      <c r="V24" s="48">
        <v>140</v>
      </c>
      <c r="W24" s="48">
        <v>137</v>
      </c>
      <c r="X24" s="48" t="s">
        <v>59</v>
      </c>
      <c r="Y24" s="48" t="s">
        <v>59</v>
      </c>
      <c r="Z24" s="22">
        <v>0</v>
      </c>
      <c r="AA24" s="22">
        <v>1</v>
      </c>
      <c r="AB24" s="22" t="s">
        <v>59</v>
      </c>
      <c r="AC24" s="22">
        <v>12</v>
      </c>
      <c r="AD24" s="22">
        <v>12</v>
      </c>
      <c r="AE24" s="22" t="s">
        <v>59</v>
      </c>
      <c r="AF24" s="26" t="s">
        <v>1407</v>
      </c>
      <c r="AG24" s="26" t="s">
        <v>1407</v>
      </c>
      <c r="AN24" s="41" t="s">
        <v>489</v>
      </c>
      <c r="AT24" s="41" t="s">
        <v>489</v>
      </c>
    </row>
    <row r="25" spans="1:46">
      <c r="A25" s="172" t="s">
        <v>1578</v>
      </c>
      <c r="B25" s="22">
        <v>2709</v>
      </c>
      <c r="C25" s="22" t="s">
        <v>1579</v>
      </c>
      <c r="D25" s="43" t="s">
        <v>1580</v>
      </c>
      <c r="E25" s="22" t="s">
        <v>1576</v>
      </c>
      <c r="F25" s="22" t="s">
        <v>1016</v>
      </c>
      <c r="G25" s="192" t="s">
        <v>2266</v>
      </c>
      <c r="H25" s="192" t="s">
        <v>2266</v>
      </c>
      <c r="I25" s="192" t="s">
        <v>2266</v>
      </c>
      <c r="J25" s="43" t="s">
        <v>2265</v>
      </c>
      <c r="K25" s="26">
        <v>0</v>
      </c>
      <c r="L25" s="26" t="s">
        <v>59</v>
      </c>
      <c r="M25" s="34">
        <v>2001</v>
      </c>
      <c r="N25" s="22" t="s">
        <v>496</v>
      </c>
      <c r="O25" s="26">
        <v>60.5</v>
      </c>
      <c r="P25" s="26">
        <v>10</v>
      </c>
      <c r="Q25" s="26">
        <f>((126/132)+(138/140))/2*100</f>
        <v>97.012987012987011</v>
      </c>
      <c r="R25" s="22" t="s">
        <v>1581</v>
      </c>
      <c r="S25" s="22">
        <v>3</v>
      </c>
      <c r="T25" s="22">
        <v>292</v>
      </c>
      <c r="U25" s="22">
        <v>2</v>
      </c>
      <c r="V25" s="48">
        <v>146</v>
      </c>
      <c r="W25" s="48">
        <v>146</v>
      </c>
      <c r="X25" s="48" t="s">
        <v>59</v>
      </c>
      <c r="Y25" s="48" t="s">
        <v>59</v>
      </c>
      <c r="Z25" s="22">
        <v>0</v>
      </c>
      <c r="AA25" s="22">
        <v>0</v>
      </c>
      <c r="AB25" s="22" t="s">
        <v>59</v>
      </c>
      <c r="AC25" s="22">
        <v>12</v>
      </c>
      <c r="AD25" s="22">
        <v>12</v>
      </c>
      <c r="AE25" s="22" t="s">
        <v>59</v>
      </c>
      <c r="AF25" s="26" t="s">
        <v>1407</v>
      </c>
      <c r="AG25" s="26" t="s">
        <v>1407</v>
      </c>
      <c r="AK25" s="41" t="s">
        <v>489</v>
      </c>
      <c r="AL25" s="41" t="s">
        <v>489</v>
      </c>
      <c r="AN25" s="41" t="s">
        <v>489</v>
      </c>
    </row>
    <row r="26" spans="1:46">
      <c r="A26" s="172" t="s">
        <v>1582</v>
      </c>
      <c r="B26" s="22">
        <v>2737</v>
      </c>
      <c r="C26" s="43" t="s">
        <v>1583</v>
      </c>
      <c r="D26" s="43" t="s">
        <v>1584</v>
      </c>
      <c r="E26" s="22" t="s">
        <v>1585</v>
      </c>
      <c r="F26" s="22" t="s">
        <v>1586</v>
      </c>
      <c r="G26" s="192" t="s">
        <v>2266</v>
      </c>
      <c r="H26" s="192" t="s">
        <v>2266</v>
      </c>
      <c r="I26" s="192" t="s">
        <v>2266</v>
      </c>
      <c r="J26" s="43" t="s">
        <v>2265</v>
      </c>
      <c r="K26" s="26">
        <v>0</v>
      </c>
      <c r="L26" s="26" t="s">
        <v>59</v>
      </c>
      <c r="M26" s="34">
        <v>1998</v>
      </c>
      <c r="N26" s="22" t="s">
        <v>1587</v>
      </c>
      <c r="O26" s="26">
        <v>53.5</v>
      </c>
      <c r="P26" s="26">
        <v>17</v>
      </c>
      <c r="Q26" s="26">
        <f>((82/191)+(108/209))/2*100</f>
        <v>47.303289160550115</v>
      </c>
      <c r="R26" s="22" t="s">
        <v>1588</v>
      </c>
      <c r="S26" s="22">
        <v>3</v>
      </c>
      <c r="T26" s="22">
        <f>191+209</f>
        <v>400</v>
      </c>
      <c r="U26" s="22">
        <v>2</v>
      </c>
      <c r="V26" s="48">
        <v>209</v>
      </c>
      <c r="W26" s="48">
        <v>191</v>
      </c>
      <c r="X26" s="48" t="s">
        <v>59</v>
      </c>
      <c r="Y26" s="48" t="s">
        <v>59</v>
      </c>
      <c r="Z26" s="22">
        <v>0</v>
      </c>
      <c r="AA26" s="22">
        <v>0</v>
      </c>
      <c r="AB26" s="22" t="s">
        <v>59</v>
      </c>
      <c r="AC26" s="22">
        <v>12</v>
      </c>
      <c r="AD26" s="22">
        <v>12</v>
      </c>
      <c r="AE26" s="22" t="s">
        <v>59</v>
      </c>
      <c r="AF26" s="26" t="s">
        <v>1407</v>
      </c>
      <c r="AG26" s="26" t="s">
        <v>1407</v>
      </c>
      <c r="AN26" s="41" t="s">
        <v>489</v>
      </c>
    </row>
    <row r="27" spans="1:46">
      <c r="A27" s="172" t="s">
        <v>175</v>
      </c>
      <c r="B27" s="22">
        <v>2915</v>
      </c>
      <c r="C27" s="22" t="s">
        <v>1589</v>
      </c>
      <c r="D27" s="43" t="s">
        <v>1590</v>
      </c>
      <c r="E27" s="161" t="s">
        <v>1489</v>
      </c>
      <c r="F27" s="22" t="s">
        <v>1591</v>
      </c>
      <c r="G27" s="192" t="s">
        <v>2266</v>
      </c>
      <c r="H27" s="192" t="s">
        <v>2266</v>
      </c>
      <c r="I27" s="192" t="s">
        <v>2266</v>
      </c>
      <c r="J27" s="22" t="s">
        <v>1427</v>
      </c>
      <c r="K27" s="26">
        <v>0</v>
      </c>
      <c r="L27" s="26" t="s">
        <v>59</v>
      </c>
      <c r="M27" s="34">
        <v>1992</v>
      </c>
      <c r="N27" s="22" t="s">
        <v>756</v>
      </c>
      <c r="O27" s="26">
        <v>52</v>
      </c>
      <c r="P27" s="26" t="s">
        <v>1592</v>
      </c>
      <c r="Q27" s="26">
        <f>ROUND(13/19*100,1)</f>
        <v>68.400000000000006</v>
      </c>
      <c r="R27" s="22" t="s">
        <v>1593</v>
      </c>
      <c r="S27" s="22">
        <v>1</v>
      </c>
      <c r="T27" s="22">
        <v>19</v>
      </c>
      <c r="U27" s="22">
        <v>2</v>
      </c>
      <c r="V27" s="48">
        <v>9</v>
      </c>
      <c r="W27" s="48">
        <v>10</v>
      </c>
      <c r="X27" s="48" t="s">
        <v>59</v>
      </c>
      <c r="Y27" s="48" t="s">
        <v>59</v>
      </c>
      <c r="Z27" s="22">
        <v>1</v>
      </c>
      <c r="AA27" s="22">
        <v>0</v>
      </c>
      <c r="AB27" s="22" t="s">
        <v>59</v>
      </c>
      <c r="AC27" s="22">
        <v>3</v>
      </c>
      <c r="AD27" s="22">
        <v>3</v>
      </c>
      <c r="AE27" s="22" t="s">
        <v>59</v>
      </c>
      <c r="AF27" s="26" t="s">
        <v>1407</v>
      </c>
      <c r="AG27" s="26" t="s">
        <v>1407</v>
      </c>
      <c r="AN27" s="41" t="s">
        <v>489</v>
      </c>
    </row>
    <row r="28" spans="1:46">
      <c r="A28" s="172" t="s">
        <v>1594</v>
      </c>
      <c r="B28" s="22">
        <v>2925</v>
      </c>
      <c r="C28" s="22" t="s">
        <v>1595</v>
      </c>
      <c r="D28" s="43" t="s">
        <v>1596</v>
      </c>
      <c r="E28" s="161" t="s">
        <v>1489</v>
      </c>
      <c r="F28" s="22" t="s">
        <v>1597</v>
      </c>
      <c r="G28" s="192" t="s">
        <v>2266</v>
      </c>
      <c r="H28" s="192" t="s">
        <v>2266</v>
      </c>
      <c r="I28" s="192" t="s">
        <v>2266</v>
      </c>
      <c r="J28" s="43" t="s">
        <v>2265</v>
      </c>
      <c r="K28" s="26">
        <v>0</v>
      </c>
      <c r="L28" s="26" t="s">
        <v>59</v>
      </c>
      <c r="M28" s="34">
        <v>1997</v>
      </c>
      <c r="N28" s="22" t="s">
        <v>496</v>
      </c>
      <c r="O28" s="26">
        <f>AVERAGE(55.7,56.4)</f>
        <v>56.05</v>
      </c>
      <c r="P28" s="26">
        <v>9.1</v>
      </c>
      <c r="Q28" s="26">
        <v>57.25</v>
      </c>
      <c r="R28" s="22" t="s">
        <v>1598</v>
      </c>
      <c r="S28" s="22">
        <v>3</v>
      </c>
      <c r="T28" s="22">
        <f>97+88</f>
        <v>185</v>
      </c>
      <c r="U28" s="22">
        <v>2</v>
      </c>
      <c r="V28" s="48">
        <v>88</v>
      </c>
      <c r="W28" s="48">
        <v>97</v>
      </c>
      <c r="X28" s="48" t="s">
        <v>59</v>
      </c>
      <c r="Y28" s="48" t="s">
        <v>59</v>
      </c>
      <c r="Z28" s="22">
        <v>0</v>
      </c>
      <c r="AA28" s="22">
        <v>0</v>
      </c>
      <c r="AB28" s="22" t="s">
        <v>338</v>
      </c>
      <c r="AC28" s="22">
        <v>6</v>
      </c>
      <c r="AD28" s="22">
        <v>18</v>
      </c>
      <c r="AE28" s="22" t="s">
        <v>338</v>
      </c>
      <c r="AF28" s="26" t="s">
        <v>1407</v>
      </c>
      <c r="AG28" s="26" t="s">
        <v>1407</v>
      </c>
      <c r="AN28" s="41" t="s">
        <v>489</v>
      </c>
    </row>
    <row r="29" spans="1:46">
      <c r="A29" s="172" t="s">
        <v>1599</v>
      </c>
      <c r="B29" s="22">
        <v>3349</v>
      </c>
      <c r="C29" s="22" t="s">
        <v>1600</v>
      </c>
      <c r="D29" s="43" t="s">
        <v>1601</v>
      </c>
      <c r="E29" s="22" t="s">
        <v>1602</v>
      </c>
      <c r="F29" s="22" t="s">
        <v>1603</v>
      </c>
      <c r="G29" s="192" t="s">
        <v>2266</v>
      </c>
      <c r="H29" s="192" t="s">
        <v>2266</v>
      </c>
      <c r="I29" s="192" t="s">
        <v>2266</v>
      </c>
      <c r="J29" s="43" t="s">
        <v>2265</v>
      </c>
      <c r="K29" s="26">
        <v>0</v>
      </c>
      <c r="L29" s="26" t="s">
        <v>59</v>
      </c>
      <c r="M29" s="34">
        <v>1999</v>
      </c>
      <c r="N29" s="22" t="s">
        <v>628</v>
      </c>
      <c r="O29" s="26">
        <f>ROUND((23*50+23*47.5)/(23+23), 1)</f>
        <v>48.8</v>
      </c>
      <c r="P29" s="26">
        <f>ROUND((23*14.8+23*11.8)/(23+23), 1)</f>
        <v>13.3</v>
      </c>
      <c r="Q29" s="26">
        <f>((100-48)+(100-56))/2</f>
        <v>48</v>
      </c>
      <c r="R29" s="22" t="s">
        <v>1604</v>
      </c>
      <c r="S29" s="22">
        <v>3</v>
      </c>
      <c r="T29" s="22">
        <f>23+23</f>
        <v>46</v>
      </c>
      <c r="U29" s="22">
        <v>2</v>
      </c>
      <c r="V29" s="48">
        <v>23</v>
      </c>
      <c r="W29" s="48">
        <v>23</v>
      </c>
      <c r="X29" s="48" t="s">
        <v>59</v>
      </c>
      <c r="Y29" s="48" t="s">
        <v>59</v>
      </c>
      <c r="Z29" s="22">
        <v>0</v>
      </c>
      <c r="AA29" s="22">
        <v>1</v>
      </c>
      <c r="AB29" s="22" t="s">
        <v>59</v>
      </c>
      <c r="AC29" s="22" t="s">
        <v>1413</v>
      </c>
      <c r="AD29" s="22">
        <v>6</v>
      </c>
      <c r="AE29" s="22" t="s">
        <v>59</v>
      </c>
      <c r="AF29" s="26" t="s">
        <v>1407</v>
      </c>
      <c r="AG29" s="26" t="s">
        <v>1407</v>
      </c>
      <c r="AN29" s="41" t="s">
        <v>489</v>
      </c>
    </row>
    <row r="30" spans="1:46">
      <c r="A30" s="28" t="s">
        <v>1605</v>
      </c>
      <c r="B30" s="22">
        <v>3514</v>
      </c>
      <c r="C30" s="43" t="s">
        <v>1606</v>
      </c>
      <c r="D30" s="43" t="s">
        <v>1607</v>
      </c>
      <c r="E30" s="22" t="s">
        <v>1608</v>
      </c>
      <c r="F30" s="22" t="s">
        <v>1609</v>
      </c>
      <c r="G30" s="192" t="s">
        <v>2266</v>
      </c>
      <c r="H30" s="192" t="s">
        <v>2266</v>
      </c>
      <c r="I30" s="192" t="s">
        <v>2266</v>
      </c>
      <c r="J30" s="22" t="s">
        <v>485</v>
      </c>
      <c r="K30" s="26">
        <f>14+21</f>
        <v>35</v>
      </c>
      <c r="L30" s="26" t="s">
        <v>1413</v>
      </c>
      <c r="M30" s="34">
        <v>2001</v>
      </c>
      <c r="N30" s="22" t="s">
        <v>496</v>
      </c>
      <c r="O30" s="26">
        <f>ROUND((278*61.2+429*60.4)/(278+429), 1)</f>
        <v>60.7</v>
      </c>
      <c r="P30" s="26" t="s">
        <v>1413</v>
      </c>
      <c r="Q30" s="26">
        <f>((100-44)+(100-49.2))/2</f>
        <v>53.4</v>
      </c>
      <c r="R30" s="22" t="s">
        <v>1610</v>
      </c>
      <c r="S30" s="22">
        <v>4</v>
      </c>
      <c r="T30" s="22">
        <f>278+429</f>
        <v>707</v>
      </c>
      <c r="U30" s="22">
        <v>2</v>
      </c>
      <c r="V30" s="48">
        <v>429</v>
      </c>
      <c r="W30" s="48">
        <v>278</v>
      </c>
      <c r="X30" s="48" t="s">
        <v>59</v>
      </c>
      <c r="Y30" s="48" t="s">
        <v>59</v>
      </c>
      <c r="Z30" s="22">
        <v>0</v>
      </c>
      <c r="AA30" s="22">
        <v>0</v>
      </c>
      <c r="AB30" s="22">
        <v>0</v>
      </c>
      <c r="AC30" s="22">
        <v>24</v>
      </c>
      <c r="AD30" s="22">
        <v>24</v>
      </c>
      <c r="AE30" s="22" t="s">
        <v>1611</v>
      </c>
      <c r="AF30" s="26" t="s">
        <v>1407</v>
      </c>
      <c r="AG30" s="26" t="s">
        <v>1407</v>
      </c>
      <c r="AK30" s="41" t="s">
        <v>489</v>
      </c>
      <c r="AL30" s="41" t="s">
        <v>489</v>
      </c>
      <c r="AM30" s="41" t="s">
        <v>489</v>
      </c>
      <c r="AN30" s="41" t="s">
        <v>489</v>
      </c>
    </row>
    <row r="31" spans="1:46">
      <c r="A31" s="172" t="s">
        <v>1619</v>
      </c>
      <c r="B31" s="22">
        <v>3575</v>
      </c>
      <c r="C31" s="22" t="s">
        <v>1620</v>
      </c>
      <c r="D31" s="43" t="s">
        <v>1621</v>
      </c>
      <c r="E31" s="22" t="s">
        <v>1622</v>
      </c>
      <c r="F31" s="22" t="s">
        <v>1623</v>
      </c>
      <c r="G31" s="192" t="s">
        <v>2266</v>
      </c>
      <c r="H31" s="192" t="s">
        <v>2266</v>
      </c>
      <c r="I31" s="192" t="s">
        <v>2266</v>
      </c>
      <c r="J31" s="43" t="s">
        <v>2265</v>
      </c>
      <c r="K31" s="26">
        <v>0</v>
      </c>
      <c r="L31" s="26" t="s">
        <v>59</v>
      </c>
      <c r="M31" s="34">
        <v>1995</v>
      </c>
      <c r="N31" s="22" t="s">
        <v>496</v>
      </c>
      <c r="O31" s="26">
        <v>64</v>
      </c>
      <c r="P31" s="26">
        <f>ROUND((71*8.3+204*8.6)/(71+204), 1)</f>
        <v>8.5</v>
      </c>
      <c r="Q31" s="26">
        <v>99</v>
      </c>
      <c r="R31" s="22" t="s">
        <v>1624</v>
      </c>
      <c r="S31" s="22">
        <v>2</v>
      </c>
      <c r="T31" s="22">
        <f>71+204</f>
        <v>275</v>
      </c>
      <c r="U31" s="22">
        <v>2</v>
      </c>
      <c r="V31" s="48">
        <v>71</v>
      </c>
      <c r="W31" s="48">
        <v>204</v>
      </c>
      <c r="X31" s="48" t="s">
        <v>59</v>
      </c>
      <c r="Y31" s="48" t="s">
        <v>59</v>
      </c>
      <c r="Z31" s="22">
        <v>0</v>
      </c>
      <c r="AA31" s="22">
        <v>1</v>
      </c>
      <c r="AB31" s="22" t="s">
        <v>59</v>
      </c>
      <c r="AC31" s="22">
        <v>12</v>
      </c>
      <c r="AD31" s="22">
        <v>14</v>
      </c>
      <c r="AE31" s="22" t="s">
        <v>59</v>
      </c>
      <c r="AF31" s="26" t="s">
        <v>1407</v>
      </c>
      <c r="AG31" s="26" t="s">
        <v>1407</v>
      </c>
      <c r="AN31" s="41" t="s">
        <v>489</v>
      </c>
    </row>
    <row r="32" spans="1:46">
      <c r="A32" s="172" t="s">
        <v>179</v>
      </c>
      <c r="B32" s="22">
        <v>3864</v>
      </c>
      <c r="C32" s="43" t="s">
        <v>1625</v>
      </c>
      <c r="D32" s="43" t="s">
        <v>1626</v>
      </c>
      <c r="E32" s="22" t="s">
        <v>1627</v>
      </c>
      <c r="F32" s="22" t="s">
        <v>1628</v>
      </c>
      <c r="G32" s="192" t="s">
        <v>2266</v>
      </c>
      <c r="H32" s="192" t="s">
        <v>2266</v>
      </c>
      <c r="I32" s="192" t="s">
        <v>2266</v>
      </c>
      <c r="J32" s="43" t="s">
        <v>2265</v>
      </c>
      <c r="K32" s="26">
        <v>0</v>
      </c>
      <c r="L32" s="26" t="s">
        <v>59</v>
      </c>
      <c r="M32" s="34">
        <v>1996</v>
      </c>
      <c r="N32" s="22" t="s">
        <v>496</v>
      </c>
      <c r="O32" s="26" t="s">
        <v>1413</v>
      </c>
      <c r="P32" s="26" t="s">
        <v>1413</v>
      </c>
      <c r="Q32" s="26" t="s">
        <v>1413</v>
      </c>
      <c r="R32" s="22" t="s">
        <v>1629</v>
      </c>
      <c r="S32" s="22">
        <v>2</v>
      </c>
      <c r="T32" s="22">
        <v>67</v>
      </c>
      <c r="U32" s="22">
        <v>2</v>
      </c>
      <c r="V32" s="48" t="s">
        <v>61</v>
      </c>
      <c r="W32" s="48" t="s">
        <v>61</v>
      </c>
      <c r="X32" s="48" t="s">
        <v>59</v>
      </c>
      <c r="Y32" s="48" t="s">
        <v>59</v>
      </c>
      <c r="Z32" s="22">
        <v>0</v>
      </c>
      <c r="AA32" s="22">
        <v>0</v>
      </c>
      <c r="AB32" s="22" t="s">
        <v>59</v>
      </c>
      <c r="AD32" s="22">
        <v>6</v>
      </c>
      <c r="AE32" s="22" t="s">
        <v>59</v>
      </c>
      <c r="AF32" s="26" t="s">
        <v>1407</v>
      </c>
      <c r="AG32" s="26" t="s">
        <v>1407</v>
      </c>
      <c r="AN32" s="41" t="s">
        <v>489</v>
      </c>
    </row>
    <row r="33" spans="1:46">
      <c r="A33" s="172" t="s">
        <v>1630</v>
      </c>
      <c r="B33" s="22">
        <v>5024</v>
      </c>
      <c r="C33" s="22" t="s">
        <v>1631</v>
      </c>
      <c r="D33" s="43" t="s">
        <v>1632</v>
      </c>
      <c r="E33" s="22" t="s">
        <v>1398</v>
      </c>
      <c r="F33" s="22" t="s">
        <v>1399</v>
      </c>
      <c r="G33" s="192" t="s">
        <v>2266</v>
      </c>
      <c r="H33" s="192" t="s">
        <v>2266</v>
      </c>
      <c r="I33" s="192" t="s">
        <v>2266</v>
      </c>
      <c r="J33" s="43" t="s">
        <v>2265</v>
      </c>
      <c r="K33" s="26" t="s">
        <v>59</v>
      </c>
      <c r="L33" s="48" t="s">
        <v>1413</v>
      </c>
      <c r="M33" s="34">
        <v>2002</v>
      </c>
      <c r="N33" s="22" t="s">
        <v>496</v>
      </c>
      <c r="O33" s="26">
        <v>71</v>
      </c>
      <c r="P33" s="26" t="s">
        <v>1413</v>
      </c>
      <c r="Q33" s="26">
        <v>37.200000000000003</v>
      </c>
      <c r="R33" s="22" t="s">
        <v>1633</v>
      </c>
      <c r="S33" s="22">
        <v>4</v>
      </c>
      <c r="T33" s="22">
        <v>1665</v>
      </c>
      <c r="U33" s="22">
        <v>2</v>
      </c>
      <c r="V33" s="48">
        <v>821</v>
      </c>
      <c r="W33" s="48">
        <v>844</v>
      </c>
      <c r="X33" s="48" t="s">
        <v>59</v>
      </c>
      <c r="Y33" s="48" t="s">
        <v>59</v>
      </c>
      <c r="Z33" s="22">
        <v>0</v>
      </c>
      <c r="AA33" s="22">
        <v>1</v>
      </c>
      <c r="AB33" s="22">
        <v>0</v>
      </c>
      <c r="AC33" s="22">
        <v>60</v>
      </c>
      <c r="AD33" s="22">
        <v>60</v>
      </c>
      <c r="AE33" s="22" t="s">
        <v>1634</v>
      </c>
      <c r="AF33" s="26" t="s">
        <v>1407</v>
      </c>
      <c r="AG33" s="26" t="s">
        <v>1407</v>
      </c>
      <c r="AN33" s="41" t="s">
        <v>489</v>
      </c>
      <c r="AO33" s="41" t="s">
        <v>489</v>
      </c>
      <c r="AP33" s="41" t="s">
        <v>489</v>
      </c>
      <c r="AQ33" s="41" t="s">
        <v>489</v>
      </c>
    </row>
    <row r="34" spans="1:46">
      <c r="A34" s="172" t="s">
        <v>1635</v>
      </c>
      <c r="B34" s="22">
        <v>5045</v>
      </c>
      <c r="C34" s="22" t="s">
        <v>1636</v>
      </c>
      <c r="D34" s="43" t="s">
        <v>1637</v>
      </c>
      <c r="E34" s="22" t="s">
        <v>1200</v>
      </c>
      <c r="F34" s="22" t="s">
        <v>1201</v>
      </c>
      <c r="G34" s="192" t="s">
        <v>2266</v>
      </c>
      <c r="H34" s="192" t="s">
        <v>2266</v>
      </c>
      <c r="I34" s="192" t="s">
        <v>2266</v>
      </c>
      <c r="J34" s="43" t="s">
        <v>2265</v>
      </c>
      <c r="K34" s="26">
        <v>0</v>
      </c>
      <c r="L34" s="26" t="s">
        <v>59</v>
      </c>
      <c r="M34" s="34">
        <v>2005</v>
      </c>
      <c r="N34" s="22" t="s">
        <v>1203</v>
      </c>
      <c r="O34" s="26">
        <v>65</v>
      </c>
      <c r="P34" s="26">
        <v>7.2</v>
      </c>
      <c r="Q34" s="26">
        <v>66.5</v>
      </c>
      <c r="R34" s="22" t="s">
        <v>1638</v>
      </c>
      <c r="S34" s="22">
        <v>2</v>
      </c>
      <c r="T34" s="22">
        <v>205</v>
      </c>
      <c r="U34" s="22">
        <v>2</v>
      </c>
      <c r="V34" s="48">
        <v>101</v>
      </c>
      <c r="W34" s="48">
        <v>104</v>
      </c>
      <c r="X34" s="48" t="s">
        <v>59</v>
      </c>
      <c r="Y34" s="48" t="s">
        <v>59</v>
      </c>
      <c r="Z34" s="22">
        <v>0</v>
      </c>
      <c r="AA34" s="22">
        <v>0</v>
      </c>
      <c r="AB34" s="22" t="s">
        <v>59</v>
      </c>
      <c r="AC34" s="22">
        <v>24</v>
      </c>
      <c r="AD34" s="22">
        <v>24</v>
      </c>
      <c r="AE34" s="22" t="s">
        <v>59</v>
      </c>
      <c r="AF34" s="26" t="s">
        <v>1407</v>
      </c>
      <c r="AG34" s="26" t="s">
        <v>1407</v>
      </c>
      <c r="AN34" s="41" t="s">
        <v>489</v>
      </c>
      <c r="AO34" s="41" t="s">
        <v>489</v>
      </c>
      <c r="AP34" s="41" t="s">
        <v>489</v>
      </c>
      <c r="AQ34" s="41" t="s">
        <v>489</v>
      </c>
      <c r="AR34" s="41" t="s">
        <v>489</v>
      </c>
    </row>
    <row r="35" spans="1:46">
      <c r="A35" s="172" t="s">
        <v>183</v>
      </c>
      <c r="B35" s="22">
        <v>5047</v>
      </c>
      <c r="C35" s="22" t="s">
        <v>1639</v>
      </c>
      <c r="D35" s="22" t="s">
        <v>1640</v>
      </c>
      <c r="E35" s="22" t="s">
        <v>1641</v>
      </c>
      <c r="F35" s="22" t="s">
        <v>1642</v>
      </c>
      <c r="G35" s="192" t="s">
        <v>2266</v>
      </c>
      <c r="H35" s="192" t="s">
        <v>2266</v>
      </c>
      <c r="I35" s="192" t="s">
        <v>2266</v>
      </c>
      <c r="J35" s="43" t="s">
        <v>2265</v>
      </c>
      <c r="K35" s="26">
        <v>0</v>
      </c>
      <c r="L35" s="26" t="s">
        <v>59</v>
      </c>
      <c r="M35" s="34">
        <v>2009</v>
      </c>
      <c r="N35" s="22" t="s">
        <v>1643</v>
      </c>
      <c r="O35" s="26">
        <v>63</v>
      </c>
      <c r="P35" s="26">
        <v>10</v>
      </c>
      <c r="Q35" s="26">
        <f>100-63</f>
        <v>37</v>
      </c>
      <c r="R35" s="22" t="s">
        <v>1644</v>
      </c>
      <c r="S35" s="22">
        <v>3</v>
      </c>
      <c r="T35" s="22">
        <v>35</v>
      </c>
      <c r="U35" s="22">
        <v>2</v>
      </c>
      <c r="V35" s="48">
        <v>18</v>
      </c>
      <c r="W35" s="48">
        <v>17</v>
      </c>
      <c r="X35" s="48" t="s">
        <v>59</v>
      </c>
      <c r="Y35" s="48" t="s">
        <v>59</v>
      </c>
      <c r="Z35" s="22">
        <v>0</v>
      </c>
      <c r="AA35" s="22">
        <v>0</v>
      </c>
      <c r="AB35" s="22" t="s">
        <v>59</v>
      </c>
      <c r="AC35" s="22">
        <v>6</v>
      </c>
      <c r="AD35" s="22">
        <v>6</v>
      </c>
      <c r="AE35" s="22" t="s">
        <v>59</v>
      </c>
      <c r="AF35" s="26" t="s">
        <v>1407</v>
      </c>
      <c r="AG35" s="26" t="s">
        <v>1407</v>
      </c>
      <c r="AN35" s="41" t="s">
        <v>489</v>
      </c>
      <c r="AQ35" s="41" t="s">
        <v>489</v>
      </c>
      <c r="AT35" s="41" t="s">
        <v>489</v>
      </c>
    </row>
    <row r="36" spans="1:46">
      <c r="A36" s="172" t="s">
        <v>1645</v>
      </c>
      <c r="B36" s="22">
        <v>5050</v>
      </c>
      <c r="C36" s="22" t="s">
        <v>1646</v>
      </c>
      <c r="D36" s="22" t="s">
        <v>1647</v>
      </c>
      <c r="E36" s="22" t="s">
        <v>1648</v>
      </c>
      <c r="F36" s="22" t="s">
        <v>1649</v>
      </c>
      <c r="G36" s="192" t="s">
        <v>2266</v>
      </c>
      <c r="H36" s="192" t="s">
        <v>2266</v>
      </c>
      <c r="I36" s="192" t="s">
        <v>2266</v>
      </c>
      <c r="J36" s="43" t="s">
        <v>2265</v>
      </c>
      <c r="K36" s="26">
        <v>0</v>
      </c>
      <c r="L36" s="26" t="s">
        <v>59</v>
      </c>
      <c r="M36" s="34">
        <v>2006</v>
      </c>
      <c r="N36" s="22" t="s">
        <v>496</v>
      </c>
      <c r="O36" s="26">
        <v>37.299999999999997</v>
      </c>
      <c r="P36" s="26">
        <v>8.09</v>
      </c>
      <c r="Q36" s="26">
        <f>100-32.5</f>
        <v>67.5</v>
      </c>
      <c r="R36" s="22" t="s">
        <v>1650</v>
      </c>
      <c r="S36" s="22">
        <v>1</v>
      </c>
      <c r="T36" s="22">
        <v>78</v>
      </c>
      <c r="U36" s="22">
        <v>2</v>
      </c>
      <c r="V36" s="48">
        <v>36</v>
      </c>
      <c r="W36" s="48">
        <v>42</v>
      </c>
      <c r="X36" s="48" t="s">
        <v>59</v>
      </c>
      <c r="Y36" s="48" t="s">
        <v>59</v>
      </c>
      <c r="Z36" s="22">
        <v>0</v>
      </c>
      <c r="AA36" s="22">
        <v>0</v>
      </c>
      <c r="AB36" s="22" t="s">
        <v>59</v>
      </c>
      <c r="AC36" s="22">
        <v>12</v>
      </c>
      <c r="AD36" s="22">
        <v>18</v>
      </c>
      <c r="AE36" s="22" t="s">
        <v>59</v>
      </c>
      <c r="AF36" s="26" t="s">
        <v>1407</v>
      </c>
      <c r="AG36" s="26" t="s">
        <v>1407</v>
      </c>
      <c r="AN36" s="41" t="s">
        <v>489</v>
      </c>
    </row>
    <row r="37" spans="1:46">
      <c r="A37" s="172" t="s">
        <v>185</v>
      </c>
      <c r="B37" s="22">
        <v>5052</v>
      </c>
      <c r="C37" s="22" t="s">
        <v>1651</v>
      </c>
      <c r="D37" s="22" t="s">
        <v>1652</v>
      </c>
      <c r="E37" s="22" t="s">
        <v>1146</v>
      </c>
      <c r="F37" s="22" t="s">
        <v>1147</v>
      </c>
      <c r="G37" s="192" t="s">
        <v>2266</v>
      </c>
      <c r="H37" s="192" t="s">
        <v>2266</v>
      </c>
      <c r="I37" s="192" t="s">
        <v>2266</v>
      </c>
      <c r="J37" s="43" t="s">
        <v>2265</v>
      </c>
      <c r="K37" s="26" t="s">
        <v>59</v>
      </c>
      <c r="L37" s="26">
        <v>46</v>
      </c>
      <c r="M37" s="34">
        <v>2003</v>
      </c>
      <c r="N37" s="22" t="s">
        <v>628</v>
      </c>
      <c r="O37" s="48">
        <v>60.7</v>
      </c>
      <c r="P37" s="48">
        <v>12.5</v>
      </c>
      <c r="Q37" s="48">
        <f>100-49.3</f>
        <v>50.7</v>
      </c>
      <c r="R37" s="43" t="s">
        <v>1653</v>
      </c>
      <c r="S37" s="22">
        <v>2</v>
      </c>
      <c r="T37" s="43">
        <v>511</v>
      </c>
      <c r="U37" s="43">
        <v>2</v>
      </c>
      <c r="V37" s="48">
        <v>258</v>
      </c>
      <c r="W37" s="48">
        <v>253</v>
      </c>
      <c r="X37" s="48" t="s">
        <v>59</v>
      </c>
      <c r="Y37" s="48" t="s">
        <v>59</v>
      </c>
      <c r="Z37" s="43">
        <v>0</v>
      </c>
      <c r="AA37" s="22">
        <v>1</v>
      </c>
      <c r="AB37" s="43">
        <v>0</v>
      </c>
      <c r="AC37" s="22">
        <v>6</v>
      </c>
      <c r="AD37" s="22">
        <v>6</v>
      </c>
      <c r="AE37" s="22" t="s">
        <v>1654</v>
      </c>
      <c r="AF37" s="26" t="s">
        <v>1407</v>
      </c>
      <c r="AG37" s="26" t="s">
        <v>1407</v>
      </c>
      <c r="AL37" s="41" t="s">
        <v>489</v>
      </c>
      <c r="AM37" s="41" t="s">
        <v>489</v>
      </c>
      <c r="AN37" s="41" t="s">
        <v>489</v>
      </c>
      <c r="AO37" s="41" t="s">
        <v>489</v>
      </c>
      <c r="AP37" s="41" t="s">
        <v>489</v>
      </c>
      <c r="AQ37" s="41" t="s">
        <v>489</v>
      </c>
      <c r="AS37" s="41" t="s">
        <v>489</v>
      </c>
    </row>
    <row r="38" spans="1:46">
      <c r="A38" s="172" t="s">
        <v>1655</v>
      </c>
      <c r="B38" s="22">
        <v>5055</v>
      </c>
      <c r="C38" s="22" t="s">
        <v>1656</v>
      </c>
      <c r="D38" s="22" t="s">
        <v>1657</v>
      </c>
      <c r="E38" s="22" t="s">
        <v>1658</v>
      </c>
      <c r="F38" s="22" t="s">
        <v>1659</v>
      </c>
      <c r="G38" s="192" t="s">
        <v>2266</v>
      </c>
      <c r="H38" s="192" t="s">
        <v>2266</v>
      </c>
      <c r="I38" s="192" t="s">
        <v>2266</v>
      </c>
      <c r="J38" s="43" t="s">
        <v>2265</v>
      </c>
      <c r="K38" s="26" t="s">
        <v>59</v>
      </c>
      <c r="L38" s="26">
        <v>32</v>
      </c>
      <c r="M38" s="34">
        <v>2004</v>
      </c>
      <c r="N38" s="22" t="s">
        <v>1537</v>
      </c>
      <c r="O38" s="26">
        <v>64</v>
      </c>
      <c r="P38" s="26">
        <v>10.8</v>
      </c>
      <c r="Q38" s="26">
        <v>98.5</v>
      </c>
      <c r="R38" s="22" t="s">
        <v>1660</v>
      </c>
      <c r="S38" s="22">
        <v>4</v>
      </c>
      <c r="T38" s="22">
        <v>216</v>
      </c>
      <c r="U38" s="22">
        <v>2</v>
      </c>
      <c r="V38" s="48">
        <v>114</v>
      </c>
      <c r="W38" s="48">
        <v>102</v>
      </c>
      <c r="X38" s="48" t="s">
        <v>59</v>
      </c>
      <c r="Y38" s="48" t="s">
        <v>59</v>
      </c>
      <c r="Z38" s="22">
        <v>0</v>
      </c>
      <c r="AA38" s="22">
        <v>0</v>
      </c>
      <c r="AB38" s="22">
        <v>0</v>
      </c>
      <c r="AC38" s="22">
        <v>24</v>
      </c>
      <c r="AD38" s="22">
        <v>24</v>
      </c>
      <c r="AE38" s="22" t="s">
        <v>1661</v>
      </c>
      <c r="AF38" s="26" t="s">
        <v>1407</v>
      </c>
      <c r="AG38" s="26" t="s">
        <v>1407</v>
      </c>
      <c r="AN38" s="41" t="s">
        <v>489</v>
      </c>
      <c r="AQ38" s="41" t="s">
        <v>109</v>
      </c>
    </row>
    <row r="39" spans="1:46">
      <c r="A39" s="172" t="s">
        <v>1662</v>
      </c>
      <c r="B39" s="22">
        <v>5058</v>
      </c>
      <c r="C39" s="22" t="s">
        <v>1663</v>
      </c>
      <c r="D39" s="22" t="s">
        <v>1664</v>
      </c>
      <c r="E39" s="22" t="s">
        <v>1665</v>
      </c>
      <c r="F39" s="22" t="s">
        <v>1666</v>
      </c>
      <c r="G39" s="192" t="s">
        <v>2266</v>
      </c>
      <c r="H39" s="192" t="s">
        <v>2266</v>
      </c>
      <c r="I39" s="192" t="s">
        <v>2266</v>
      </c>
      <c r="J39" s="43" t="s">
        <v>2265</v>
      </c>
      <c r="K39" s="26">
        <v>0</v>
      </c>
      <c r="L39" s="26" t="s">
        <v>59</v>
      </c>
      <c r="M39" s="34">
        <v>2009</v>
      </c>
      <c r="N39" s="22" t="s">
        <v>496</v>
      </c>
      <c r="O39" s="26">
        <v>60</v>
      </c>
      <c r="P39" s="26">
        <v>12</v>
      </c>
      <c r="Q39" s="26">
        <v>57.3</v>
      </c>
      <c r="R39" s="22" t="s">
        <v>1667</v>
      </c>
      <c r="S39" s="22">
        <v>2</v>
      </c>
      <c r="T39" s="22">
        <v>78</v>
      </c>
      <c r="U39" s="22">
        <v>2</v>
      </c>
      <c r="V39" s="48">
        <v>42</v>
      </c>
      <c r="W39" s="48">
        <v>36</v>
      </c>
      <c r="X39" s="48" t="s">
        <v>59</v>
      </c>
      <c r="Y39" s="48" t="s">
        <v>59</v>
      </c>
      <c r="Z39" s="22">
        <v>0</v>
      </c>
      <c r="AA39" s="22">
        <v>0</v>
      </c>
      <c r="AB39" s="22" t="s">
        <v>59</v>
      </c>
      <c r="AC39" s="22">
        <v>12</v>
      </c>
      <c r="AD39" s="22">
        <v>12</v>
      </c>
      <c r="AE39" s="22" t="s">
        <v>59</v>
      </c>
      <c r="AF39" s="26" t="s">
        <v>1407</v>
      </c>
      <c r="AG39" s="26" t="s">
        <v>1407</v>
      </c>
      <c r="AN39" s="41" t="s">
        <v>489</v>
      </c>
      <c r="AO39" s="41" t="s">
        <v>489</v>
      </c>
      <c r="AP39" s="41" t="s">
        <v>489</v>
      </c>
      <c r="AQ39" s="41" t="s">
        <v>489</v>
      </c>
    </row>
    <row r="40" spans="1:46">
      <c r="A40" s="172" t="s">
        <v>188</v>
      </c>
      <c r="B40" s="193">
        <v>5083</v>
      </c>
      <c r="C40" s="22" t="s">
        <v>1674</v>
      </c>
      <c r="D40" s="22" t="s">
        <v>1675</v>
      </c>
      <c r="E40" s="22" t="s">
        <v>1676</v>
      </c>
      <c r="F40" s="22" t="s">
        <v>1677</v>
      </c>
      <c r="G40" s="192" t="s">
        <v>2266</v>
      </c>
      <c r="H40" s="192" t="s">
        <v>2266</v>
      </c>
      <c r="I40" s="192" t="s">
        <v>2266</v>
      </c>
      <c r="J40" s="43" t="s">
        <v>2265</v>
      </c>
      <c r="K40" s="26">
        <v>0</v>
      </c>
      <c r="L40" s="26" t="s">
        <v>59</v>
      </c>
      <c r="M40" s="34">
        <v>2006</v>
      </c>
      <c r="N40" s="22" t="s">
        <v>1678</v>
      </c>
      <c r="O40" s="26" t="s">
        <v>1679</v>
      </c>
      <c r="P40" s="26" t="s">
        <v>1413</v>
      </c>
      <c r="Q40" s="26">
        <f>ROUND((55.7+52.4+64)/3,1)</f>
        <v>57.4</v>
      </c>
      <c r="R40" s="22" t="s">
        <v>1680</v>
      </c>
      <c r="S40" s="22">
        <v>2</v>
      </c>
      <c r="T40" s="22">
        <v>231</v>
      </c>
      <c r="U40" s="193">
        <v>3</v>
      </c>
      <c r="V40" s="48">
        <v>97</v>
      </c>
      <c r="W40" s="48">
        <v>90</v>
      </c>
      <c r="X40" s="48">
        <v>44</v>
      </c>
      <c r="Y40" s="48" t="s">
        <v>59</v>
      </c>
      <c r="Z40" s="22">
        <v>0</v>
      </c>
      <c r="AA40" s="22">
        <v>1</v>
      </c>
      <c r="AB40" s="22" t="s">
        <v>59</v>
      </c>
      <c r="AC40" s="22">
        <v>6</v>
      </c>
      <c r="AD40" s="22">
        <v>6</v>
      </c>
      <c r="AE40" s="22" t="s">
        <v>59</v>
      </c>
      <c r="AF40" s="26" t="s">
        <v>1407</v>
      </c>
      <c r="AG40" s="26" t="s">
        <v>1407</v>
      </c>
      <c r="AN40" s="41" t="s">
        <v>489</v>
      </c>
    </row>
    <row r="41" spans="1:46">
      <c r="A41" s="172" t="s">
        <v>190</v>
      </c>
      <c r="B41" s="22">
        <v>5101</v>
      </c>
      <c r="C41" s="22" t="s">
        <v>1681</v>
      </c>
      <c r="D41" s="22" t="s">
        <v>1682</v>
      </c>
      <c r="E41" s="22" t="s">
        <v>1090</v>
      </c>
      <c r="F41" s="22" t="s">
        <v>1091</v>
      </c>
      <c r="G41" s="192" t="s">
        <v>2266</v>
      </c>
      <c r="H41" s="192" t="s">
        <v>2266</v>
      </c>
      <c r="I41" s="192" t="s">
        <v>2266</v>
      </c>
      <c r="J41" s="43" t="s">
        <v>2265</v>
      </c>
      <c r="K41" s="26">
        <v>0</v>
      </c>
      <c r="L41" s="26" t="s">
        <v>59</v>
      </c>
      <c r="M41" s="34">
        <v>2005</v>
      </c>
      <c r="N41" s="22" t="s">
        <v>1093</v>
      </c>
      <c r="O41" s="26">
        <f>ROUND((35*51.1+34*45.2)/(35+34), 1)</f>
        <v>48.2</v>
      </c>
      <c r="P41" s="26">
        <f>ROUND((35*13.2+34*11.3)/(35+34), 1)</f>
        <v>12.3</v>
      </c>
      <c r="Q41" s="26">
        <f>ROUND((26+28)/(34+35)*100,1)</f>
        <v>78.3</v>
      </c>
      <c r="R41" s="22" t="s">
        <v>1683</v>
      </c>
      <c r="S41" s="22">
        <v>2</v>
      </c>
      <c r="T41" s="22">
        <v>75</v>
      </c>
      <c r="U41" s="22">
        <v>2</v>
      </c>
      <c r="V41" s="48">
        <v>37</v>
      </c>
      <c r="W41" s="48">
        <v>38</v>
      </c>
      <c r="X41" s="48" t="s">
        <v>59</v>
      </c>
      <c r="Y41" s="48" t="s">
        <v>59</v>
      </c>
      <c r="Z41" s="22">
        <v>0</v>
      </c>
      <c r="AA41" s="22">
        <v>0</v>
      </c>
      <c r="AB41" s="22" t="s">
        <v>59</v>
      </c>
      <c r="AC41" s="22">
        <v>3</v>
      </c>
      <c r="AD41" s="22">
        <v>3</v>
      </c>
      <c r="AE41" s="22" t="s">
        <v>59</v>
      </c>
      <c r="AF41" s="26" t="s">
        <v>1407</v>
      </c>
      <c r="AG41" s="26" t="s">
        <v>1407</v>
      </c>
      <c r="AN41" s="41" t="s">
        <v>489</v>
      </c>
    </row>
    <row r="42" spans="1:46">
      <c r="A42" s="28" t="s">
        <v>79</v>
      </c>
      <c r="B42" s="22">
        <v>5118</v>
      </c>
      <c r="C42" s="22" t="s">
        <v>1684</v>
      </c>
      <c r="D42" s="22" t="s">
        <v>1685</v>
      </c>
      <c r="E42" s="22" t="s">
        <v>1686</v>
      </c>
      <c r="F42" s="22" t="s">
        <v>1687</v>
      </c>
      <c r="G42" s="192" t="s">
        <v>2266</v>
      </c>
      <c r="H42" s="192" t="s">
        <v>2266</v>
      </c>
      <c r="I42" s="192" t="s">
        <v>2266</v>
      </c>
      <c r="J42" s="22" t="s">
        <v>485</v>
      </c>
      <c r="K42" s="26">
        <v>24</v>
      </c>
      <c r="L42" s="26">
        <v>238</v>
      </c>
      <c r="M42" s="34">
        <v>2008</v>
      </c>
      <c r="N42" s="22" t="s">
        <v>496</v>
      </c>
      <c r="O42" s="26">
        <f>ROUND((3131*63.2+3970*62.4)/(3131+3970), 1)</f>
        <v>62.8</v>
      </c>
      <c r="P42" s="26">
        <f>ROUND((3131*0.92+3970*0.91)/(3131+3970), 1)</f>
        <v>0.9</v>
      </c>
      <c r="Q42" s="26">
        <f>((100-50.5)+(100-49))/2</f>
        <v>50.25</v>
      </c>
      <c r="R42" s="22" t="s">
        <v>1688</v>
      </c>
      <c r="S42" s="22">
        <v>2</v>
      </c>
      <c r="T42" s="22">
        <v>8405</v>
      </c>
      <c r="U42" s="22">
        <v>2</v>
      </c>
      <c r="V42" s="48">
        <v>3819</v>
      </c>
      <c r="W42" s="48">
        <v>4588</v>
      </c>
      <c r="X42" s="48" t="s">
        <v>59</v>
      </c>
      <c r="Y42" s="48" t="s">
        <v>59</v>
      </c>
      <c r="Z42" s="22">
        <v>0</v>
      </c>
      <c r="AA42" s="22">
        <v>0</v>
      </c>
      <c r="AB42" s="22">
        <v>0</v>
      </c>
      <c r="AC42" s="22">
        <v>12</v>
      </c>
      <c r="AD42" s="22">
        <v>12</v>
      </c>
      <c r="AE42" s="22" t="s">
        <v>1689</v>
      </c>
      <c r="AF42" s="26" t="s">
        <v>1407</v>
      </c>
      <c r="AG42" s="26" t="s">
        <v>1407</v>
      </c>
      <c r="AK42" s="41" t="s">
        <v>489</v>
      </c>
      <c r="AL42" s="41" t="s">
        <v>489</v>
      </c>
      <c r="AM42" s="41" t="s">
        <v>489</v>
      </c>
      <c r="AN42" s="41" t="s">
        <v>489</v>
      </c>
      <c r="AO42" s="41" t="s">
        <v>489</v>
      </c>
      <c r="AQ42" s="41" t="s">
        <v>489</v>
      </c>
      <c r="AR42" s="41" t="s">
        <v>489</v>
      </c>
    </row>
    <row r="43" spans="1:46">
      <c r="A43" s="28" t="s">
        <v>83</v>
      </c>
      <c r="B43" s="22">
        <v>5119</v>
      </c>
      <c r="C43" s="22" t="s">
        <v>1690</v>
      </c>
      <c r="D43" s="22" t="s">
        <v>1691</v>
      </c>
      <c r="E43" s="22" t="s">
        <v>1692</v>
      </c>
      <c r="F43" s="22" t="s">
        <v>1693</v>
      </c>
      <c r="G43" s="192" t="s">
        <v>2266</v>
      </c>
      <c r="H43" s="192" t="s">
        <v>2266</v>
      </c>
      <c r="I43" s="192" t="s">
        <v>2266</v>
      </c>
      <c r="J43" s="22" t="s">
        <v>485</v>
      </c>
      <c r="K43" s="26">
        <f>26+29</f>
        <v>55</v>
      </c>
      <c r="L43" s="26" t="s">
        <v>1413</v>
      </c>
      <c r="M43" s="34">
        <v>2007</v>
      </c>
      <c r="N43" s="22" t="s">
        <v>719</v>
      </c>
      <c r="O43" s="26">
        <f>ROUND((1699*65.2+1692*65)/(1699+1692), 1)</f>
        <v>65.099999999999994</v>
      </c>
      <c r="P43" s="26">
        <f>ROUND((1699*11.3+1692*11)/(1699+1692), 1)</f>
        <v>11.2</v>
      </c>
      <c r="Q43" s="26">
        <f>ROUND((48.2+49.8)/2,1)</f>
        <v>49</v>
      </c>
      <c r="R43" s="22" t="s">
        <v>1694</v>
      </c>
      <c r="S43" s="22">
        <v>2</v>
      </c>
      <c r="T43" s="22">
        <v>3391</v>
      </c>
      <c r="U43" s="22">
        <v>2</v>
      </c>
      <c r="V43" s="48">
        <v>1692</v>
      </c>
      <c r="W43" s="48">
        <v>1699</v>
      </c>
      <c r="X43" s="48" t="s">
        <v>59</v>
      </c>
      <c r="Y43" s="48" t="s">
        <v>59</v>
      </c>
      <c r="Z43" s="22">
        <v>0</v>
      </c>
      <c r="AA43" s="22">
        <v>0</v>
      </c>
      <c r="AB43" s="22">
        <v>0</v>
      </c>
      <c r="AC43" s="22">
        <v>12</v>
      </c>
      <c r="AD43" s="22">
        <v>12</v>
      </c>
      <c r="AE43" s="22" t="s">
        <v>303</v>
      </c>
      <c r="AF43" s="26" t="s">
        <v>1407</v>
      </c>
      <c r="AG43" s="26" t="s">
        <v>1407</v>
      </c>
      <c r="AN43" s="41" t="s">
        <v>489</v>
      </c>
      <c r="AO43" s="41" t="s">
        <v>489</v>
      </c>
      <c r="AP43" s="41" t="s">
        <v>489</v>
      </c>
      <c r="AQ43" s="41" t="s">
        <v>489</v>
      </c>
      <c r="AS43" s="41" t="s">
        <v>489</v>
      </c>
    </row>
    <row r="44" spans="1:46">
      <c r="A44" s="172" t="s">
        <v>191</v>
      </c>
      <c r="B44" s="22">
        <v>5144</v>
      </c>
      <c r="C44" s="22" t="s">
        <v>1695</v>
      </c>
      <c r="D44" s="22" t="s">
        <v>1696</v>
      </c>
      <c r="E44" s="22" t="s">
        <v>1697</v>
      </c>
      <c r="F44" s="22" t="s">
        <v>1698</v>
      </c>
      <c r="G44" s="192" t="s">
        <v>2266</v>
      </c>
      <c r="H44" s="192" t="s">
        <v>2266</v>
      </c>
      <c r="I44" s="192" t="s">
        <v>2266</v>
      </c>
      <c r="J44" s="43" t="s">
        <v>2265</v>
      </c>
      <c r="K44" s="26">
        <v>0</v>
      </c>
      <c r="L44" s="26" t="s">
        <v>59</v>
      </c>
      <c r="M44" s="34">
        <v>2004</v>
      </c>
      <c r="N44" s="22" t="s">
        <v>496</v>
      </c>
      <c r="O44" s="26">
        <f>ROUND((41*57.6+42*57)/(41+42), 1)</f>
        <v>57.3</v>
      </c>
      <c r="P44" s="26" t="s">
        <v>1413</v>
      </c>
      <c r="Q44" s="26">
        <f>((100-51.2)+(100-47.6))/2</f>
        <v>50.599999999999994</v>
      </c>
      <c r="R44" s="22" t="s">
        <v>1699</v>
      </c>
      <c r="S44" s="22">
        <v>2</v>
      </c>
      <c r="T44" s="22">
        <v>83</v>
      </c>
      <c r="U44" s="22">
        <v>2</v>
      </c>
      <c r="V44" s="48">
        <v>41</v>
      </c>
      <c r="W44" s="48">
        <v>42</v>
      </c>
      <c r="X44" s="48" t="s">
        <v>59</v>
      </c>
      <c r="Y44" s="48" t="s">
        <v>59</v>
      </c>
      <c r="Z44" s="22">
        <v>0</v>
      </c>
      <c r="AA44" s="22">
        <v>0</v>
      </c>
      <c r="AB44" s="22" t="s">
        <v>59</v>
      </c>
      <c r="AC44" s="22">
        <v>12</v>
      </c>
      <c r="AD44" s="22">
        <v>12</v>
      </c>
      <c r="AE44" s="22" t="s">
        <v>59</v>
      </c>
      <c r="AF44" s="26" t="s">
        <v>1407</v>
      </c>
      <c r="AG44" s="26" t="s">
        <v>1407</v>
      </c>
      <c r="AN44" s="41" t="s">
        <v>489</v>
      </c>
    </row>
    <row r="45" spans="1:46">
      <c r="A45" s="172" t="s">
        <v>193</v>
      </c>
      <c r="B45" s="22">
        <v>5147</v>
      </c>
      <c r="C45" s="22" t="s">
        <v>1700</v>
      </c>
      <c r="D45" s="43" t="s">
        <v>1701</v>
      </c>
      <c r="E45" s="22" t="s">
        <v>1702</v>
      </c>
      <c r="F45" s="22" t="s">
        <v>837</v>
      </c>
      <c r="G45" s="192" t="s">
        <v>2266</v>
      </c>
      <c r="H45" s="192" t="s">
        <v>2266</v>
      </c>
      <c r="I45" s="192" t="s">
        <v>2266</v>
      </c>
      <c r="J45" s="43" t="s">
        <v>2265</v>
      </c>
      <c r="K45" s="26">
        <v>0</v>
      </c>
      <c r="L45" s="26" t="s">
        <v>59</v>
      </c>
      <c r="M45" s="34">
        <v>2005</v>
      </c>
      <c r="N45" s="22" t="s">
        <v>1093</v>
      </c>
      <c r="O45" s="26">
        <f>ROUND((25*51+24*49.5)/(25+24), 1)</f>
        <v>50.3</v>
      </c>
      <c r="P45" s="26">
        <f>ROUND((25*11.3+24*10.6)/(25+24), 1)</f>
        <v>11</v>
      </c>
      <c r="Q45" s="26">
        <f>ROUND((36+50)/2,1)</f>
        <v>43</v>
      </c>
      <c r="R45" s="22" t="s">
        <v>1703</v>
      </c>
      <c r="S45" s="22">
        <v>2</v>
      </c>
      <c r="T45" s="22">
        <v>59</v>
      </c>
      <c r="U45" s="22">
        <v>2</v>
      </c>
      <c r="V45" s="48">
        <v>24</v>
      </c>
      <c r="W45" s="48">
        <v>25</v>
      </c>
      <c r="X45" s="48" t="s">
        <v>59</v>
      </c>
      <c r="Y45" s="48" t="s">
        <v>59</v>
      </c>
      <c r="Z45" s="22">
        <v>0</v>
      </c>
      <c r="AA45" s="22">
        <v>0</v>
      </c>
      <c r="AB45" s="22" t="s">
        <v>59</v>
      </c>
      <c r="AC45" s="22">
        <v>3</v>
      </c>
      <c r="AD45" s="22">
        <v>3</v>
      </c>
      <c r="AE45" s="22" t="s">
        <v>59</v>
      </c>
      <c r="AF45" s="26" t="s">
        <v>1407</v>
      </c>
      <c r="AG45" s="26" t="s">
        <v>1407</v>
      </c>
      <c r="AN45" s="41" t="s">
        <v>489</v>
      </c>
    </row>
    <row r="46" spans="1:46">
      <c r="A46" s="172" t="s">
        <v>1704</v>
      </c>
      <c r="B46" s="22">
        <v>5148</v>
      </c>
      <c r="C46" s="22" t="s">
        <v>1705</v>
      </c>
      <c r="D46" s="22" t="s">
        <v>1706</v>
      </c>
      <c r="E46" s="22" t="s">
        <v>1707</v>
      </c>
      <c r="F46" s="22" t="s">
        <v>1708</v>
      </c>
      <c r="G46" s="192" t="s">
        <v>2266</v>
      </c>
      <c r="H46" s="192" t="s">
        <v>2266</v>
      </c>
      <c r="I46" s="192" t="s">
        <v>2266</v>
      </c>
      <c r="J46" s="43" t="s">
        <v>2265</v>
      </c>
      <c r="K46" s="26">
        <v>0</v>
      </c>
      <c r="L46" s="26" t="s">
        <v>59</v>
      </c>
      <c r="M46" s="34">
        <v>2008</v>
      </c>
      <c r="N46" s="22" t="s">
        <v>677</v>
      </c>
      <c r="O46" s="26">
        <f>ROUND((25*64.6+24*68.1)/(25+24), 1)</f>
        <v>66.3</v>
      </c>
      <c r="P46" s="26">
        <f>ROUND((25*9.3+24*7.1)/(25+24), 1)</f>
        <v>8.1999999999999993</v>
      </c>
      <c r="Q46" s="26">
        <f>ROUND((13+16)/(25+24)*100,1)</f>
        <v>59.2</v>
      </c>
      <c r="R46" s="22" t="s">
        <v>1413</v>
      </c>
      <c r="S46" s="22">
        <v>2</v>
      </c>
      <c r="T46" s="22">
        <v>49</v>
      </c>
      <c r="U46" s="22">
        <v>2</v>
      </c>
      <c r="V46" s="48">
        <v>24</v>
      </c>
      <c r="W46" s="48">
        <v>25</v>
      </c>
      <c r="X46" s="48" t="s">
        <v>59</v>
      </c>
      <c r="Y46" s="48" t="s">
        <v>59</v>
      </c>
      <c r="Z46" s="22">
        <v>0</v>
      </c>
      <c r="AA46" s="22">
        <v>0</v>
      </c>
      <c r="AB46" s="22" t="s">
        <v>59</v>
      </c>
      <c r="AC46" s="22">
        <v>24</v>
      </c>
      <c r="AD46" s="22">
        <v>24</v>
      </c>
      <c r="AE46" s="22" t="s">
        <v>59</v>
      </c>
      <c r="AF46" s="26" t="s">
        <v>1407</v>
      </c>
      <c r="AG46" s="26" t="s">
        <v>1407</v>
      </c>
      <c r="AJ46" s="41" t="s">
        <v>489</v>
      </c>
      <c r="AN46" s="41" t="s">
        <v>489</v>
      </c>
      <c r="AO46" s="41" t="s">
        <v>489</v>
      </c>
      <c r="AP46" s="41" t="s">
        <v>489</v>
      </c>
    </row>
    <row r="47" spans="1:46">
      <c r="A47" s="28" t="s">
        <v>86</v>
      </c>
      <c r="B47" s="22">
        <v>5164</v>
      </c>
      <c r="C47" s="22" t="s">
        <v>1709</v>
      </c>
      <c r="D47" s="22" t="s">
        <v>1710</v>
      </c>
      <c r="E47" s="22" t="s">
        <v>1711</v>
      </c>
      <c r="F47" s="22" t="s">
        <v>1712</v>
      </c>
      <c r="G47" s="192" t="s">
        <v>2266</v>
      </c>
      <c r="H47" s="192" t="s">
        <v>2266</v>
      </c>
      <c r="I47" s="192" t="s">
        <v>2266</v>
      </c>
      <c r="J47" s="22" t="s">
        <v>485</v>
      </c>
      <c r="K47" s="26">
        <v>30</v>
      </c>
      <c r="L47" s="26" t="s">
        <v>1413</v>
      </c>
      <c r="M47" s="34">
        <v>2008</v>
      </c>
      <c r="N47" s="22" t="s">
        <v>719</v>
      </c>
      <c r="O47" s="26">
        <f>ROUND((822*67.1+818*67.2)/(822+818), 1)</f>
        <v>67.099999999999994</v>
      </c>
      <c r="P47" s="26">
        <f>ROUND((822*11.4+818*11.9)/(822+818), 1)</f>
        <v>11.6</v>
      </c>
      <c r="Q47" s="26">
        <f>ROUND((46.8+50.4)/2,1)</f>
        <v>48.6</v>
      </c>
      <c r="R47" s="22" t="s">
        <v>1713</v>
      </c>
      <c r="S47" s="22">
        <v>2</v>
      </c>
      <c r="T47" s="22">
        <f>822+818</f>
        <v>1640</v>
      </c>
      <c r="U47" s="22">
        <v>2</v>
      </c>
      <c r="V47" s="48">
        <v>818</v>
      </c>
      <c r="W47" s="48">
        <v>822</v>
      </c>
      <c r="X47" s="48" t="s">
        <v>59</v>
      </c>
      <c r="Y47" s="48" t="s">
        <v>59</v>
      </c>
      <c r="Z47" s="22">
        <v>0</v>
      </c>
      <c r="AA47" s="22">
        <v>0</v>
      </c>
      <c r="AB47" s="22">
        <v>0</v>
      </c>
      <c r="AC47" s="22">
        <v>12</v>
      </c>
      <c r="AD47" s="22">
        <v>12</v>
      </c>
      <c r="AE47" s="22" t="s">
        <v>1714</v>
      </c>
      <c r="AF47" s="26" t="s">
        <v>1407</v>
      </c>
      <c r="AG47" s="26" t="s">
        <v>1407</v>
      </c>
      <c r="AN47" s="41" t="s">
        <v>489</v>
      </c>
      <c r="AO47" s="41" t="s">
        <v>489</v>
      </c>
      <c r="AP47" s="41" t="s">
        <v>489</v>
      </c>
      <c r="AR47" s="41" t="s">
        <v>489</v>
      </c>
    </row>
    <row r="48" spans="1:46">
      <c r="A48" s="172" t="s">
        <v>195</v>
      </c>
      <c r="B48" s="22">
        <v>5177</v>
      </c>
      <c r="C48" s="22" t="s">
        <v>1715</v>
      </c>
      <c r="D48" s="22" t="s">
        <v>1716</v>
      </c>
      <c r="E48" s="22" t="s">
        <v>1717</v>
      </c>
      <c r="F48" s="22" t="s">
        <v>1718</v>
      </c>
      <c r="G48" s="192" t="s">
        <v>2266</v>
      </c>
      <c r="H48" s="192" t="s">
        <v>2266</v>
      </c>
      <c r="I48" s="192" t="s">
        <v>2266</v>
      </c>
      <c r="J48" s="43" t="s">
        <v>2265</v>
      </c>
      <c r="K48" s="26">
        <v>0</v>
      </c>
      <c r="L48" s="26" t="s">
        <v>59</v>
      </c>
      <c r="M48" s="34">
        <v>2008</v>
      </c>
      <c r="N48" s="22" t="s">
        <v>1203</v>
      </c>
      <c r="O48" s="26">
        <f>ROUND((100*51+50*51)/(100+50), 1)</f>
        <v>51</v>
      </c>
      <c r="P48" s="26">
        <f>ROUND((100*1+50*1)/(100+50), 1)</f>
        <v>1</v>
      </c>
      <c r="Q48" s="26">
        <f>ROUND((74+68)/2,1)</f>
        <v>71</v>
      </c>
      <c r="R48" s="22" t="s">
        <v>1719</v>
      </c>
      <c r="S48" s="22">
        <v>2</v>
      </c>
      <c r="T48" s="22">
        <v>150</v>
      </c>
      <c r="U48" s="22">
        <v>2</v>
      </c>
      <c r="V48" s="48">
        <v>50</v>
      </c>
      <c r="W48" s="48">
        <v>100</v>
      </c>
      <c r="X48" s="48" t="s">
        <v>59</v>
      </c>
      <c r="Y48" s="48" t="s">
        <v>59</v>
      </c>
      <c r="Z48" s="22">
        <v>0</v>
      </c>
      <c r="AA48" s="22">
        <v>0</v>
      </c>
      <c r="AB48" s="22" t="s">
        <v>59</v>
      </c>
      <c r="AC48" s="22">
        <v>6</v>
      </c>
      <c r="AD48" s="22">
        <v>6</v>
      </c>
      <c r="AE48" s="22" t="s">
        <v>59</v>
      </c>
      <c r="AF48" s="26" t="s">
        <v>1407</v>
      </c>
      <c r="AG48" s="26" t="s">
        <v>1407</v>
      </c>
      <c r="AN48" s="41" t="s">
        <v>489</v>
      </c>
      <c r="AO48" s="41" t="s">
        <v>489</v>
      </c>
      <c r="AP48" s="41" t="s">
        <v>489</v>
      </c>
      <c r="AQ48" s="41" t="s">
        <v>489</v>
      </c>
    </row>
    <row r="49" spans="1:47">
      <c r="A49" s="172" t="s">
        <v>196</v>
      </c>
      <c r="B49" s="22">
        <v>5190</v>
      </c>
      <c r="C49" s="22" t="s">
        <v>1720</v>
      </c>
      <c r="D49" s="22" t="s">
        <v>1721</v>
      </c>
      <c r="E49" s="22" t="s">
        <v>1722</v>
      </c>
      <c r="F49" s="22" t="s">
        <v>1723</v>
      </c>
      <c r="G49" s="192" t="s">
        <v>2266</v>
      </c>
      <c r="H49" s="192" t="s">
        <v>2266</v>
      </c>
      <c r="I49" s="192" t="s">
        <v>2266</v>
      </c>
      <c r="J49" s="43" t="s">
        <v>2265</v>
      </c>
      <c r="K49" s="26">
        <v>0</v>
      </c>
      <c r="L49" s="26" t="s">
        <v>59</v>
      </c>
      <c r="M49" s="34">
        <v>2006</v>
      </c>
      <c r="N49" s="22" t="s">
        <v>1394</v>
      </c>
      <c r="O49" s="26">
        <f>ROUND((63*52.27+67*55.9)/(63+67), 1)</f>
        <v>54.1</v>
      </c>
      <c r="P49" s="26">
        <f>ROUND((63*11.15+67*13.67)/(63+67), 1)</f>
        <v>12.4</v>
      </c>
      <c r="Q49" s="26">
        <f>((100-92.1)+(100-76.1))/2</f>
        <v>15.900000000000006</v>
      </c>
      <c r="R49" s="22" t="s">
        <v>1724</v>
      </c>
      <c r="S49" s="22">
        <v>3</v>
      </c>
      <c r="T49" s="43">
        <v>135</v>
      </c>
      <c r="U49" s="43">
        <v>2</v>
      </c>
      <c r="V49" s="48">
        <v>68</v>
      </c>
      <c r="W49" s="48">
        <v>67</v>
      </c>
      <c r="X49" s="48" t="s">
        <v>59</v>
      </c>
      <c r="Y49" s="48" t="s">
        <v>59</v>
      </c>
      <c r="Z49" s="22">
        <v>0</v>
      </c>
      <c r="AA49" s="22">
        <v>0</v>
      </c>
      <c r="AB49" s="22" t="s">
        <v>59</v>
      </c>
      <c r="AC49" s="22">
        <v>8</v>
      </c>
      <c r="AD49" s="22">
        <v>8</v>
      </c>
      <c r="AE49" s="43" t="s">
        <v>59</v>
      </c>
      <c r="AF49" s="26" t="s">
        <v>1407</v>
      </c>
      <c r="AG49" s="26" t="s">
        <v>1407</v>
      </c>
      <c r="AN49" s="41" t="s">
        <v>489</v>
      </c>
      <c r="AQ49" s="41" t="s">
        <v>489</v>
      </c>
    </row>
    <row r="50" spans="1:47">
      <c r="A50" s="28" t="s">
        <v>89</v>
      </c>
      <c r="B50" s="22">
        <v>5221</v>
      </c>
      <c r="C50" s="22" t="s">
        <v>1725</v>
      </c>
      <c r="D50" s="43" t="s">
        <v>1726</v>
      </c>
      <c r="E50" s="22" t="s">
        <v>1727</v>
      </c>
      <c r="F50" s="22" t="s">
        <v>1728</v>
      </c>
      <c r="G50" s="192" t="s">
        <v>2266</v>
      </c>
      <c r="H50" s="192" t="s">
        <v>2266</v>
      </c>
      <c r="I50" s="192" t="s">
        <v>2266</v>
      </c>
      <c r="J50" s="22" t="s">
        <v>485</v>
      </c>
      <c r="K50" s="48">
        <v>11</v>
      </c>
      <c r="L50" s="26" t="s">
        <v>1413</v>
      </c>
      <c r="M50" s="34">
        <v>2007</v>
      </c>
      <c r="N50" s="22" t="s">
        <v>496</v>
      </c>
      <c r="O50" s="48">
        <v>56.1</v>
      </c>
      <c r="P50" s="48">
        <v>11.6</v>
      </c>
      <c r="Q50" s="48">
        <f>100-49</f>
        <v>51</v>
      </c>
      <c r="R50" s="43" t="s">
        <v>1729</v>
      </c>
      <c r="S50" s="22">
        <v>2</v>
      </c>
      <c r="T50" s="43">
        <v>244</v>
      </c>
      <c r="U50" s="43">
        <v>2</v>
      </c>
      <c r="V50" s="48">
        <v>118</v>
      </c>
      <c r="W50" s="48">
        <v>126</v>
      </c>
      <c r="X50" s="48" t="s">
        <v>59</v>
      </c>
      <c r="Y50" s="48" t="s">
        <v>59</v>
      </c>
      <c r="Z50" s="22">
        <v>0</v>
      </c>
      <c r="AA50" s="22">
        <v>0</v>
      </c>
      <c r="AB50" s="22">
        <v>0</v>
      </c>
      <c r="AC50" s="43">
        <v>12</v>
      </c>
      <c r="AD50" s="22">
        <v>12</v>
      </c>
      <c r="AE50" s="43" t="s">
        <v>1413</v>
      </c>
      <c r="AF50" s="26" t="s">
        <v>1407</v>
      </c>
      <c r="AG50" s="26" t="s">
        <v>1407</v>
      </c>
      <c r="AN50" s="41" t="s">
        <v>489</v>
      </c>
    </row>
    <row r="51" spans="1:47">
      <c r="A51" s="28" t="s">
        <v>90</v>
      </c>
      <c r="B51" s="22">
        <v>5254</v>
      </c>
      <c r="C51" s="22" t="s">
        <v>1730</v>
      </c>
      <c r="D51" s="22" t="s">
        <v>1731</v>
      </c>
      <c r="E51" s="22" t="s">
        <v>1732</v>
      </c>
      <c r="F51" s="22" t="s">
        <v>1733</v>
      </c>
      <c r="G51" s="192" t="s">
        <v>2266</v>
      </c>
      <c r="H51" s="192" t="s">
        <v>2266</v>
      </c>
      <c r="I51" s="192" t="s">
        <v>2266</v>
      </c>
      <c r="J51" s="22" t="s">
        <v>485</v>
      </c>
      <c r="K51" s="48">
        <f>49+45</f>
        <v>94</v>
      </c>
      <c r="L51" s="48">
        <f>49+45</f>
        <v>94</v>
      </c>
      <c r="M51" s="34">
        <v>2003</v>
      </c>
      <c r="N51" s="22" t="s">
        <v>496</v>
      </c>
      <c r="O51" s="48">
        <v>62.6</v>
      </c>
      <c r="P51" s="48" t="s">
        <v>1734</v>
      </c>
      <c r="Q51" s="26">
        <f>ROUND((45+50)/2,1)</f>
        <v>47.5</v>
      </c>
      <c r="R51" s="43" t="s">
        <v>1735</v>
      </c>
      <c r="S51" s="22">
        <v>3</v>
      </c>
      <c r="T51" s="43">
        <v>639</v>
      </c>
      <c r="U51" s="43">
        <v>2</v>
      </c>
      <c r="V51" s="48">
        <v>279</v>
      </c>
      <c r="W51" s="48">
        <v>360</v>
      </c>
      <c r="X51" s="48" t="s">
        <v>59</v>
      </c>
      <c r="Y51" s="48" t="s">
        <v>59</v>
      </c>
      <c r="Z51" s="43">
        <v>0</v>
      </c>
      <c r="AA51" s="43">
        <v>1</v>
      </c>
      <c r="AB51" s="43">
        <v>0</v>
      </c>
      <c r="AC51" s="43">
        <v>30</v>
      </c>
      <c r="AD51" s="43">
        <v>36</v>
      </c>
      <c r="AE51" s="43" t="s">
        <v>303</v>
      </c>
      <c r="AF51" s="26" t="s">
        <v>1407</v>
      </c>
      <c r="AG51" s="26" t="s">
        <v>1407</v>
      </c>
      <c r="AH51" s="41" t="s">
        <v>489</v>
      </c>
      <c r="AI51" s="41" t="s">
        <v>489</v>
      </c>
      <c r="AN51" s="41" t="s">
        <v>489</v>
      </c>
      <c r="AO51" s="41" t="s">
        <v>489</v>
      </c>
      <c r="AP51" s="41" t="s">
        <v>489</v>
      </c>
      <c r="AQ51" s="41" t="s">
        <v>489</v>
      </c>
      <c r="AR51" s="41" t="s">
        <v>1407</v>
      </c>
    </row>
    <row r="52" spans="1:47">
      <c r="A52" s="172" t="s">
        <v>197</v>
      </c>
      <c r="B52" s="22">
        <v>5292</v>
      </c>
      <c r="C52" s="22" t="s">
        <v>1736</v>
      </c>
      <c r="D52" s="22" t="s">
        <v>1737</v>
      </c>
      <c r="E52" s="22" t="s">
        <v>1738</v>
      </c>
      <c r="F52" s="22" t="s">
        <v>1739</v>
      </c>
      <c r="G52" s="192" t="s">
        <v>2266</v>
      </c>
      <c r="H52" s="192" t="s">
        <v>2266</v>
      </c>
      <c r="I52" s="192" t="s">
        <v>2266</v>
      </c>
      <c r="J52" s="43" t="s">
        <v>2265</v>
      </c>
      <c r="K52" s="48">
        <v>0</v>
      </c>
      <c r="L52" s="48" t="s">
        <v>59</v>
      </c>
      <c r="M52" s="34">
        <v>2008</v>
      </c>
      <c r="N52" s="22" t="s">
        <v>496</v>
      </c>
      <c r="O52" s="26">
        <f>ROUND((15*55.3+15*56.7)/(15+15), 1)</f>
        <v>56</v>
      </c>
      <c r="P52" s="26">
        <f>ROUND((15*8.7+15*10.6)/(15+15), 1)</f>
        <v>9.6999999999999993</v>
      </c>
      <c r="Q52" s="26">
        <f>ROUND((6+5)/(15+15)*100,1)</f>
        <v>36.700000000000003</v>
      </c>
      <c r="R52" s="43" t="s">
        <v>1740</v>
      </c>
      <c r="S52" s="22">
        <v>2</v>
      </c>
      <c r="T52" s="43">
        <v>30</v>
      </c>
      <c r="U52" s="43">
        <v>2</v>
      </c>
      <c r="V52" s="48">
        <v>15</v>
      </c>
      <c r="W52" s="48">
        <v>15</v>
      </c>
      <c r="X52" s="48" t="s">
        <v>59</v>
      </c>
      <c r="Y52" s="48" t="s">
        <v>59</v>
      </c>
      <c r="Z52" s="43">
        <v>0</v>
      </c>
      <c r="AA52" s="43">
        <v>0</v>
      </c>
      <c r="AB52" s="43" t="s">
        <v>59</v>
      </c>
      <c r="AC52" s="43">
        <v>3</v>
      </c>
      <c r="AD52" s="43">
        <v>3</v>
      </c>
      <c r="AE52" s="43" t="s">
        <v>59</v>
      </c>
      <c r="AF52" s="26" t="s">
        <v>1407</v>
      </c>
      <c r="AG52" s="26" t="s">
        <v>1407</v>
      </c>
      <c r="AN52" s="41" t="s">
        <v>489</v>
      </c>
      <c r="AO52" s="41" t="s">
        <v>489</v>
      </c>
      <c r="AP52" s="41" t="s">
        <v>1407</v>
      </c>
      <c r="AS52" s="41" t="s">
        <v>1407</v>
      </c>
      <c r="AU52" s="46" t="s">
        <v>109</v>
      </c>
    </row>
    <row r="53" spans="1:47">
      <c r="A53" s="172" t="s">
        <v>1748</v>
      </c>
      <c r="B53" s="22">
        <v>5357</v>
      </c>
      <c r="C53" s="22" t="s">
        <v>1749</v>
      </c>
      <c r="D53" s="22" t="s">
        <v>1750</v>
      </c>
      <c r="E53" s="22" t="s">
        <v>1751</v>
      </c>
      <c r="F53" s="22" t="s">
        <v>1752</v>
      </c>
      <c r="G53" s="192" t="s">
        <v>2266</v>
      </c>
      <c r="H53" s="192" t="s">
        <v>2266</v>
      </c>
      <c r="I53" s="192" t="s">
        <v>2266</v>
      </c>
      <c r="J53" s="43" t="s">
        <v>2265</v>
      </c>
      <c r="K53" s="26">
        <v>0</v>
      </c>
      <c r="L53" s="26" t="s">
        <v>1434</v>
      </c>
      <c r="M53" s="34">
        <v>1992</v>
      </c>
      <c r="N53" s="22" t="s">
        <v>567</v>
      </c>
      <c r="O53" s="26">
        <v>55.05</v>
      </c>
      <c r="P53" s="26">
        <v>7.2</v>
      </c>
      <c r="Q53" s="26" t="s">
        <v>1413</v>
      </c>
      <c r="R53" s="22" t="s">
        <v>1753</v>
      </c>
      <c r="S53" s="22">
        <v>2</v>
      </c>
      <c r="T53" s="22">
        <v>160</v>
      </c>
      <c r="U53" s="22">
        <v>2</v>
      </c>
      <c r="V53" s="48">
        <v>80</v>
      </c>
      <c r="W53" s="48">
        <v>80</v>
      </c>
      <c r="X53" s="48" t="s">
        <v>59</v>
      </c>
      <c r="Y53" s="48" t="s">
        <v>59</v>
      </c>
      <c r="Z53" s="22">
        <v>0</v>
      </c>
      <c r="AA53" s="22">
        <v>0</v>
      </c>
      <c r="AB53" s="22" t="s">
        <v>59</v>
      </c>
      <c r="AC53" s="22">
        <v>93.6</v>
      </c>
      <c r="AD53" s="22">
        <v>159.6</v>
      </c>
      <c r="AE53" s="22" t="s">
        <v>59</v>
      </c>
      <c r="AF53" s="26" t="s">
        <v>1407</v>
      </c>
      <c r="AG53" s="26" t="s">
        <v>1407</v>
      </c>
      <c r="AH53" s="41" t="s">
        <v>489</v>
      </c>
      <c r="AI53" s="41" t="s">
        <v>489</v>
      </c>
      <c r="AJ53" s="41" t="s">
        <v>489</v>
      </c>
      <c r="AN53" s="41" t="s">
        <v>489</v>
      </c>
      <c r="AO53" s="41" t="s">
        <v>489</v>
      </c>
      <c r="AP53" s="41" t="s">
        <v>489</v>
      </c>
      <c r="AQ53" s="41" t="s">
        <v>489</v>
      </c>
      <c r="AS53" s="41" t="s">
        <v>1407</v>
      </c>
    </row>
    <row r="54" spans="1:47">
      <c r="A54" s="172" t="s">
        <v>199</v>
      </c>
      <c r="B54" s="22">
        <v>5360</v>
      </c>
      <c r="C54" s="22" t="s">
        <v>1754</v>
      </c>
      <c r="D54" s="22" t="s">
        <v>1755</v>
      </c>
      <c r="E54" s="22" t="s">
        <v>1702</v>
      </c>
      <c r="F54" s="22" t="s">
        <v>837</v>
      </c>
      <c r="G54" s="192" t="s">
        <v>2266</v>
      </c>
      <c r="H54" s="192" t="s">
        <v>2266</v>
      </c>
      <c r="I54" s="192" t="s">
        <v>2266</v>
      </c>
      <c r="J54" s="43" t="s">
        <v>2265</v>
      </c>
      <c r="K54" s="26">
        <v>0</v>
      </c>
      <c r="L54" s="26" t="s">
        <v>59</v>
      </c>
      <c r="M54" s="34">
        <v>2006</v>
      </c>
      <c r="N54" s="22" t="s">
        <v>1093</v>
      </c>
      <c r="O54" s="26">
        <f>ROUND((26*47.5+25*46.8)/(26+25), 1)</f>
        <v>47.2</v>
      </c>
      <c r="P54" s="26">
        <f>ROUND((26*9.1+25*8.8)/(26+25), 1)</f>
        <v>9</v>
      </c>
      <c r="Q54" s="26">
        <f>(42.3+44)/2</f>
        <v>43.15</v>
      </c>
      <c r="R54" s="22" t="s">
        <v>1756</v>
      </c>
      <c r="S54" s="22">
        <v>2</v>
      </c>
      <c r="T54" s="22">
        <v>100</v>
      </c>
      <c r="U54" s="22">
        <v>2</v>
      </c>
      <c r="V54" s="48">
        <v>26</v>
      </c>
      <c r="W54" s="48">
        <v>24</v>
      </c>
      <c r="X54" s="48" t="s">
        <v>59</v>
      </c>
      <c r="Y54" s="48" t="s">
        <v>59</v>
      </c>
      <c r="Z54" s="22">
        <v>0</v>
      </c>
      <c r="AA54" s="22">
        <v>0</v>
      </c>
      <c r="AB54" s="22" t="s">
        <v>59</v>
      </c>
      <c r="AC54" s="22">
        <v>12</v>
      </c>
      <c r="AD54" s="22">
        <v>12</v>
      </c>
      <c r="AE54" s="22" t="s">
        <v>59</v>
      </c>
      <c r="AF54" s="26" t="s">
        <v>1407</v>
      </c>
      <c r="AG54" s="26" t="s">
        <v>1407</v>
      </c>
      <c r="AN54" s="41" t="s">
        <v>1407</v>
      </c>
    </row>
    <row r="55" spans="1:47">
      <c r="A55" s="172" t="s">
        <v>200</v>
      </c>
      <c r="B55" s="22">
        <v>5362</v>
      </c>
      <c r="C55" s="22" t="s">
        <v>1757</v>
      </c>
      <c r="D55" s="22" t="s">
        <v>1758</v>
      </c>
      <c r="E55" s="22" t="s">
        <v>1759</v>
      </c>
      <c r="F55" s="22" t="s">
        <v>1760</v>
      </c>
      <c r="G55" s="192" t="s">
        <v>2266</v>
      </c>
      <c r="H55" s="192" t="s">
        <v>2266</v>
      </c>
      <c r="I55" s="192" t="s">
        <v>2266</v>
      </c>
      <c r="J55" s="43" t="s">
        <v>2265</v>
      </c>
      <c r="K55" s="48">
        <v>0</v>
      </c>
      <c r="L55" s="48" t="s">
        <v>59</v>
      </c>
      <c r="M55" s="49">
        <v>2004</v>
      </c>
      <c r="N55" s="43" t="s">
        <v>496</v>
      </c>
      <c r="O55" s="26">
        <f>ROUND((155*53.4+155*53)/(155+155), 1)</f>
        <v>53.2</v>
      </c>
      <c r="P55" s="26">
        <f>ROUND((155*10.7+155*11.25)/(155+155), 1)</f>
        <v>11</v>
      </c>
      <c r="Q55" s="26">
        <f>ROUND((32+35)/2,1)</f>
        <v>33.5</v>
      </c>
      <c r="R55" s="43" t="s">
        <v>1761</v>
      </c>
      <c r="S55" s="43">
        <v>2</v>
      </c>
      <c r="T55" s="43">
        <v>310</v>
      </c>
      <c r="U55" s="43">
        <v>2</v>
      </c>
      <c r="V55" s="48">
        <v>155</v>
      </c>
      <c r="W55" s="48">
        <v>155</v>
      </c>
      <c r="X55" s="48" t="s">
        <v>59</v>
      </c>
      <c r="Y55" s="48" t="s">
        <v>59</v>
      </c>
      <c r="Z55" s="22">
        <v>0</v>
      </c>
      <c r="AA55" s="43">
        <v>0</v>
      </c>
      <c r="AB55" s="43" t="s">
        <v>59</v>
      </c>
      <c r="AC55" s="43">
        <v>12</v>
      </c>
      <c r="AD55" s="43">
        <v>12</v>
      </c>
      <c r="AE55" s="43" t="s">
        <v>59</v>
      </c>
      <c r="AF55" s="26" t="s">
        <v>1407</v>
      </c>
      <c r="AG55" s="26" t="s">
        <v>1407</v>
      </c>
      <c r="AN55" s="41" t="s">
        <v>1407</v>
      </c>
      <c r="AO55" s="41" t="s">
        <v>1407</v>
      </c>
      <c r="AP55" s="41" t="s">
        <v>1407</v>
      </c>
      <c r="AQ55" s="41" t="s">
        <v>1407</v>
      </c>
    </row>
    <row r="56" spans="1:47">
      <c r="A56" s="28" t="s">
        <v>96</v>
      </c>
      <c r="B56" s="22">
        <v>5417</v>
      </c>
      <c r="C56" s="22" t="s">
        <v>1769</v>
      </c>
      <c r="D56" s="22" t="s">
        <v>1770</v>
      </c>
      <c r="E56" s="22" t="s">
        <v>1771</v>
      </c>
      <c r="F56" s="22" t="s">
        <v>1772</v>
      </c>
      <c r="G56" s="192" t="s">
        <v>2266</v>
      </c>
      <c r="H56" s="192" t="s">
        <v>2266</v>
      </c>
      <c r="I56" s="192" t="s">
        <v>2266</v>
      </c>
      <c r="J56" s="22" t="s">
        <v>485</v>
      </c>
      <c r="K56" s="48">
        <v>78</v>
      </c>
      <c r="L56" s="48">
        <v>78</v>
      </c>
      <c r="M56" s="49">
        <v>2004</v>
      </c>
      <c r="N56" s="43" t="s">
        <v>496</v>
      </c>
      <c r="O56" s="48" t="s">
        <v>1413</v>
      </c>
      <c r="P56" s="48" t="s">
        <v>1413</v>
      </c>
      <c r="Q56" s="48" t="s">
        <v>1413</v>
      </c>
      <c r="R56" s="43" t="s">
        <v>1773</v>
      </c>
      <c r="S56" s="43">
        <v>4</v>
      </c>
      <c r="T56" s="43">
        <f>252+231</f>
        <v>483</v>
      </c>
      <c r="U56" s="43">
        <v>2</v>
      </c>
      <c r="V56" s="48">
        <v>231</v>
      </c>
      <c r="W56" s="48">
        <v>252</v>
      </c>
      <c r="X56" s="48" t="s">
        <v>59</v>
      </c>
      <c r="Y56" s="48" t="s">
        <v>59</v>
      </c>
      <c r="Z56" s="22">
        <v>0</v>
      </c>
      <c r="AA56" s="22">
        <v>0</v>
      </c>
      <c r="AB56" s="22">
        <v>0</v>
      </c>
      <c r="AC56" s="43">
        <v>10</v>
      </c>
      <c r="AD56" s="43">
        <v>10</v>
      </c>
      <c r="AE56" s="43" t="s">
        <v>1774</v>
      </c>
      <c r="AF56" s="26" t="s">
        <v>1407</v>
      </c>
      <c r="AG56" s="26" t="s">
        <v>1407</v>
      </c>
      <c r="AN56" s="41" t="s">
        <v>489</v>
      </c>
      <c r="AO56" s="41" t="s">
        <v>489</v>
      </c>
      <c r="AP56" s="41" t="s">
        <v>489</v>
      </c>
      <c r="AQ56" s="41" t="s">
        <v>489</v>
      </c>
    </row>
    <row r="57" spans="1:47">
      <c r="A57" s="172" t="s">
        <v>201</v>
      </c>
      <c r="B57" s="22">
        <v>5508</v>
      </c>
      <c r="C57" s="22" t="s">
        <v>1775</v>
      </c>
      <c r="D57" s="22" t="s">
        <v>1776</v>
      </c>
      <c r="E57" s="22" t="s">
        <v>1777</v>
      </c>
      <c r="F57" s="22" t="s">
        <v>1778</v>
      </c>
      <c r="G57" s="192" t="s">
        <v>2266</v>
      </c>
      <c r="H57" s="192" t="s">
        <v>2266</v>
      </c>
      <c r="I57" s="192" t="s">
        <v>2266</v>
      </c>
      <c r="J57" s="43" t="s">
        <v>2265</v>
      </c>
      <c r="K57" s="48">
        <v>0</v>
      </c>
      <c r="L57" s="48" t="s">
        <v>59</v>
      </c>
      <c r="M57" s="34">
        <v>2007</v>
      </c>
      <c r="N57" s="43" t="s">
        <v>1036</v>
      </c>
      <c r="O57" s="26">
        <f>ROUND((25*48.1+24*49.8)/(25+24), 1)</f>
        <v>48.9</v>
      </c>
      <c r="P57" s="26">
        <f>ROUND((25*15.5+24*11.3)/(25+24), 1)</f>
        <v>13.4</v>
      </c>
      <c r="Q57" s="26">
        <f>ROUND((12+15)/(25+24)*100,1)</f>
        <v>55.1</v>
      </c>
      <c r="R57" s="43" t="s">
        <v>1413</v>
      </c>
      <c r="S57" s="43">
        <v>3</v>
      </c>
      <c r="T57" s="43">
        <f>25+24</f>
        <v>49</v>
      </c>
      <c r="U57" s="43">
        <v>2</v>
      </c>
      <c r="V57" s="48">
        <v>25</v>
      </c>
      <c r="W57" s="48">
        <v>24</v>
      </c>
      <c r="X57" s="48" t="s">
        <v>59</v>
      </c>
      <c r="Y57" s="48" t="s">
        <v>59</v>
      </c>
      <c r="Z57" s="22">
        <v>0</v>
      </c>
      <c r="AA57" s="22">
        <v>0</v>
      </c>
      <c r="AB57" s="43" t="s">
        <v>59</v>
      </c>
      <c r="AC57" s="43">
        <v>3</v>
      </c>
      <c r="AD57" s="43">
        <v>3</v>
      </c>
      <c r="AE57" s="43" t="s">
        <v>59</v>
      </c>
      <c r="AF57" s="26" t="s">
        <v>1407</v>
      </c>
      <c r="AG57" s="26" t="s">
        <v>1407</v>
      </c>
      <c r="AN57" s="41" t="s">
        <v>489</v>
      </c>
    </row>
    <row r="58" spans="1:47">
      <c r="A58" s="172" t="s">
        <v>202</v>
      </c>
      <c r="B58" s="22">
        <v>5515</v>
      </c>
      <c r="C58" s="22" t="s">
        <v>1779</v>
      </c>
      <c r="D58" s="22" t="s">
        <v>1780</v>
      </c>
      <c r="E58" s="22" t="s">
        <v>1781</v>
      </c>
      <c r="F58" s="22" t="s">
        <v>1782</v>
      </c>
      <c r="G58" s="192" t="s">
        <v>2266</v>
      </c>
      <c r="H58" s="192" t="s">
        <v>2266</v>
      </c>
      <c r="I58" s="192" t="s">
        <v>2266</v>
      </c>
      <c r="J58" s="43" t="s">
        <v>2265</v>
      </c>
      <c r="K58" s="48">
        <v>0</v>
      </c>
      <c r="L58" s="48" t="s">
        <v>59</v>
      </c>
      <c r="M58" s="34">
        <v>2007</v>
      </c>
      <c r="N58" s="43" t="s">
        <v>496</v>
      </c>
      <c r="O58" s="26">
        <f>ROUND((102*57+95*55.7)/(102+95), 1)</f>
        <v>56.4</v>
      </c>
      <c r="P58" s="26">
        <f>ROUND((102*11.4+95*13.1)/(102+95), 1)</f>
        <v>12.2</v>
      </c>
      <c r="Q58" s="26">
        <f>ROUND((36+30)/(102+95)*100,1)</f>
        <v>33.5</v>
      </c>
      <c r="R58" s="43" t="s">
        <v>1783</v>
      </c>
      <c r="S58" s="43">
        <v>2</v>
      </c>
      <c r="T58" s="43">
        <f>102+95</f>
        <v>197</v>
      </c>
      <c r="U58" s="43">
        <v>2</v>
      </c>
      <c r="V58" s="48">
        <v>102</v>
      </c>
      <c r="W58" s="48">
        <v>95</v>
      </c>
      <c r="X58" s="48" t="s">
        <v>59</v>
      </c>
      <c r="Y58" s="48" t="s">
        <v>59</v>
      </c>
      <c r="Z58" s="22">
        <v>0</v>
      </c>
      <c r="AA58" s="22">
        <v>0</v>
      </c>
      <c r="AB58" s="43" t="s">
        <v>59</v>
      </c>
      <c r="AC58" s="43">
        <v>6</v>
      </c>
      <c r="AD58" s="43">
        <v>6</v>
      </c>
      <c r="AE58" s="43" t="s">
        <v>59</v>
      </c>
      <c r="AF58" s="26" t="s">
        <v>1407</v>
      </c>
      <c r="AG58" s="26" t="s">
        <v>1407</v>
      </c>
      <c r="AN58" s="41" t="s">
        <v>489</v>
      </c>
      <c r="AO58" s="41" t="s">
        <v>489</v>
      </c>
      <c r="AP58" s="41" t="s">
        <v>489</v>
      </c>
    </row>
    <row r="59" spans="1:47">
      <c r="A59" s="172" t="s">
        <v>1784</v>
      </c>
      <c r="B59" s="22">
        <v>5518</v>
      </c>
      <c r="C59" s="22" t="s">
        <v>1785</v>
      </c>
      <c r="D59" s="22" t="s">
        <v>1786</v>
      </c>
      <c r="E59" s="22" t="s">
        <v>1787</v>
      </c>
      <c r="F59" s="22" t="s">
        <v>1788</v>
      </c>
      <c r="G59" s="192" t="s">
        <v>2266</v>
      </c>
      <c r="H59" s="192" t="s">
        <v>2266</v>
      </c>
      <c r="I59" s="192" t="s">
        <v>2266</v>
      </c>
      <c r="J59" s="43" t="s">
        <v>1427</v>
      </c>
      <c r="K59" s="48">
        <v>0</v>
      </c>
      <c r="L59" s="48" t="s">
        <v>59</v>
      </c>
      <c r="M59" s="34">
        <v>2007</v>
      </c>
      <c r="N59" s="43" t="s">
        <v>1057</v>
      </c>
      <c r="O59" s="48">
        <v>41.3</v>
      </c>
      <c r="P59" s="48">
        <v>11.3</v>
      </c>
      <c r="Q59" s="26">
        <f>ROUND(15/30*100,1)</f>
        <v>50</v>
      </c>
      <c r="R59" s="43" t="s">
        <v>1789</v>
      </c>
      <c r="S59" s="43">
        <v>1</v>
      </c>
      <c r="T59" s="43">
        <v>30</v>
      </c>
      <c r="U59" s="43">
        <v>2</v>
      </c>
      <c r="V59" s="48">
        <v>15</v>
      </c>
      <c r="W59" s="48">
        <v>15</v>
      </c>
      <c r="X59" s="48" t="s">
        <v>59</v>
      </c>
      <c r="Y59" s="48" t="s">
        <v>59</v>
      </c>
      <c r="Z59" s="43">
        <v>0</v>
      </c>
      <c r="AA59" s="43">
        <v>0</v>
      </c>
      <c r="AB59" s="43" t="s">
        <v>59</v>
      </c>
      <c r="AC59" s="43">
        <v>6</v>
      </c>
      <c r="AD59" s="43">
        <v>6</v>
      </c>
      <c r="AE59" s="43" t="s">
        <v>59</v>
      </c>
      <c r="AF59" s="26" t="s">
        <v>1407</v>
      </c>
      <c r="AG59" s="26" t="s">
        <v>1407</v>
      </c>
      <c r="AN59" s="41" t="s">
        <v>489</v>
      </c>
      <c r="AT59" s="41" t="s">
        <v>489</v>
      </c>
    </row>
    <row r="60" spans="1:47">
      <c r="A60" s="172" t="s">
        <v>204</v>
      </c>
      <c r="B60" s="22">
        <v>5558</v>
      </c>
      <c r="C60" s="22" t="s">
        <v>1790</v>
      </c>
      <c r="D60" s="22" t="s">
        <v>1791</v>
      </c>
      <c r="E60" s="22" t="s">
        <v>1439</v>
      </c>
      <c r="F60" s="22" t="s">
        <v>1440</v>
      </c>
      <c r="G60" s="192" t="s">
        <v>2266</v>
      </c>
      <c r="H60" s="192" t="s">
        <v>2266</v>
      </c>
      <c r="I60" s="192" t="s">
        <v>2266</v>
      </c>
      <c r="J60" s="43" t="s">
        <v>2265</v>
      </c>
      <c r="K60" s="48">
        <v>0</v>
      </c>
      <c r="L60" s="48" t="s">
        <v>59</v>
      </c>
      <c r="M60" s="49">
        <v>2003</v>
      </c>
      <c r="N60" s="43" t="s">
        <v>496</v>
      </c>
      <c r="O60" s="26">
        <f>ROUND((96*55+96*57)/(96+96), 1)</f>
        <v>56</v>
      </c>
      <c r="P60" s="48" t="s">
        <v>1413</v>
      </c>
      <c r="Q60" s="26">
        <f>((100-74)+(100-70))/2</f>
        <v>28</v>
      </c>
      <c r="R60" s="43" t="s">
        <v>1792</v>
      </c>
      <c r="S60" s="43">
        <v>2</v>
      </c>
      <c r="T60" s="43">
        <v>186</v>
      </c>
      <c r="U60" s="43">
        <v>2</v>
      </c>
      <c r="V60" s="48">
        <v>90</v>
      </c>
      <c r="W60" s="48">
        <v>96</v>
      </c>
      <c r="X60" s="48" t="s">
        <v>59</v>
      </c>
      <c r="Y60" s="48" t="s">
        <v>59</v>
      </c>
      <c r="Z60" s="43">
        <v>0</v>
      </c>
      <c r="AA60" s="43">
        <v>1</v>
      </c>
      <c r="AB60" s="43" t="s">
        <v>59</v>
      </c>
      <c r="AC60" s="43">
        <v>12</v>
      </c>
      <c r="AD60" s="43">
        <v>12</v>
      </c>
      <c r="AE60" s="43" t="s">
        <v>59</v>
      </c>
      <c r="AF60" s="26" t="s">
        <v>1407</v>
      </c>
      <c r="AG60" s="26" t="s">
        <v>1407</v>
      </c>
      <c r="AH60" s="41" t="s">
        <v>1407</v>
      </c>
      <c r="AK60" s="41" t="s">
        <v>1407</v>
      </c>
      <c r="AL60" s="41" t="s">
        <v>1407</v>
      </c>
      <c r="AM60" s="41" t="s">
        <v>1407</v>
      </c>
      <c r="AN60" s="41" t="s">
        <v>1407</v>
      </c>
    </row>
    <row r="61" spans="1:47">
      <c r="A61" s="172" t="s">
        <v>205</v>
      </c>
      <c r="B61" s="22">
        <v>5573</v>
      </c>
      <c r="C61" s="22" t="s">
        <v>1793</v>
      </c>
      <c r="D61" s="22" t="s">
        <v>1794</v>
      </c>
      <c r="E61" s="22" t="s">
        <v>1795</v>
      </c>
      <c r="F61" s="22" t="s">
        <v>1796</v>
      </c>
      <c r="G61" s="192" t="s">
        <v>2266</v>
      </c>
      <c r="H61" s="192" t="s">
        <v>2266</v>
      </c>
      <c r="I61" s="192" t="s">
        <v>2266</v>
      </c>
      <c r="J61" s="43" t="s">
        <v>2265</v>
      </c>
      <c r="K61" s="48">
        <v>0</v>
      </c>
      <c r="L61" s="48" t="s">
        <v>59</v>
      </c>
      <c r="M61" s="49">
        <v>2003</v>
      </c>
      <c r="N61" s="43" t="s">
        <v>628</v>
      </c>
      <c r="O61" s="26">
        <f>ROUND((36*59+25*60.4)/(36+25), 1)</f>
        <v>59.6</v>
      </c>
      <c r="P61" s="26">
        <f>ROUND((36*12.1+25*7.92)/(36+25), 1)</f>
        <v>10.4</v>
      </c>
      <c r="Q61" s="26">
        <f>ROUND((30.6+32)/2,1)</f>
        <v>31.3</v>
      </c>
      <c r="R61" s="43" t="s">
        <v>1797</v>
      </c>
      <c r="S61" s="43">
        <v>2</v>
      </c>
      <c r="T61" s="43">
        <v>87</v>
      </c>
      <c r="U61" s="43">
        <v>2</v>
      </c>
      <c r="V61" s="48">
        <v>46</v>
      </c>
      <c r="W61" s="48">
        <v>41</v>
      </c>
      <c r="X61" s="48" t="s">
        <v>59</v>
      </c>
      <c r="Y61" s="48" t="s">
        <v>59</v>
      </c>
      <c r="Z61" s="22">
        <v>0</v>
      </c>
      <c r="AA61" s="22">
        <v>0</v>
      </c>
      <c r="AB61" s="43" t="s">
        <v>59</v>
      </c>
      <c r="AC61" s="43">
        <v>3</v>
      </c>
      <c r="AD61" s="43">
        <v>3</v>
      </c>
      <c r="AE61" s="43" t="s">
        <v>59</v>
      </c>
      <c r="AF61" s="26" t="s">
        <v>1407</v>
      </c>
      <c r="AG61" s="26" t="s">
        <v>1407</v>
      </c>
      <c r="AN61" s="41" t="s">
        <v>489</v>
      </c>
    </row>
    <row r="62" spans="1:47">
      <c r="A62" s="172" t="s">
        <v>206</v>
      </c>
      <c r="B62" s="22">
        <v>5579</v>
      </c>
      <c r="C62" s="22" t="s">
        <v>1798</v>
      </c>
      <c r="D62" s="22" t="s">
        <v>1799</v>
      </c>
      <c r="E62" s="22" t="s">
        <v>1800</v>
      </c>
      <c r="F62" s="22" t="s">
        <v>1801</v>
      </c>
      <c r="G62" s="192" t="s">
        <v>2266</v>
      </c>
      <c r="H62" s="192" t="s">
        <v>2266</v>
      </c>
      <c r="I62" s="192" t="s">
        <v>2266</v>
      </c>
      <c r="J62" s="43" t="s">
        <v>2265</v>
      </c>
      <c r="K62" s="48">
        <v>0</v>
      </c>
      <c r="L62" s="48" t="s">
        <v>59</v>
      </c>
      <c r="M62" s="49">
        <v>2006</v>
      </c>
      <c r="N62" s="43" t="s">
        <v>496</v>
      </c>
      <c r="O62" s="26">
        <f>ROUND((31*68.2+31*66.2)/(31+31), 1)</f>
        <v>67.2</v>
      </c>
      <c r="P62" s="26">
        <f>ROUND((31*6.2+31*5.7)/(31+31), 1)</f>
        <v>6</v>
      </c>
      <c r="Q62" s="26">
        <f>ROUND((52+58)/2,1)</f>
        <v>55</v>
      </c>
      <c r="R62" s="43" t="s">
        <v>1802</v>
      </c>
      <c r="S62" s="43">
        <v>3</v>
      </c>
      <c r="T62" s="43">
        <v>62</v>
      </c>
      <c r="U62" s="43">
        <v>2</v>
      </c>
      <c r="V62" s="48">
        <v>31</v>
      </c>
      <c r="W62" s="48">
        <v>31</v>
      </c>
      <c r="X62" s="48" t="s">
        <v>59</v>
      </c>
      <c r="Y62" s="48" t="s">
        <v>59</v>
      </c>
      <c r="Z62" s="22">
        <v>0</v>
      </c>
      <c r="AA62" s="43">
        <v>1</v>
      </c>
      <c r="AB62" s="43" t="s">
        <v>59</v>
      </c>
      <c r="AC62" s="43">
        <v>6</v>
      </c>
      <c r="AD62" s="43">
        <v>6</v>
      </c>
      <c r="AE62" s="43" t="s">
        <v>59</v>
      </c>
      <c r="AF62" s="26" t="s">
        <v>1407</v>
      </c>
      <c r="AG62" s="26" t="s">
        <v>1407</v>
      </c>
      <c r="AN62" s="41" t="s">
        <v>489</v>
      </c>
      <c r="AO62" s="41" t="s">
        <v>489</v>
      </c>
      <c r="AP62" s="41" t="s">
        <v>489</v>
      </c>
    </row>
    <row r="63" spans="1:47">
      <c r="A63" s="172" t="s">
        <v>207</v>
      </c>
      <c r="B63" s="22">
        <v>5637</v>
      </c>
      <c r="C63" s="22" t="s">
        <v>1803</v>
      </c>
      <c r="D63" s="22" t="s">
        <v>1804</v>
      </c>
      <c r="E63" s="22" t="s">
        <v>1090</v>
      </c>
      <c r="F63" s="22" t="s">
        <v>1091</v>
      </c>
      <c r="G63" s="192" t="s">
        <v>2266</v>
      </c>
      <c r="H63" s="192" t="s">
        <v>2266</v>
      </c>
      <c r="I63" s="192" t="s">
        <v>2266</v>
      </c>
      <c r="J63" s="43" t="s">
        <v>2265</v>
      </c>
      <c r="K63" s="48">
        <v>0</v>
      </c>
      <c r="L63" s="48" t="s">
        <v>59</v>
      </c>
      <c r="M63" s="49">
        <v>2004</v>
      </c>
      <c r="N63" s="43" t="s">
        <v>1093</v>
      </c>
      <c r="O63" s="26">
        <f>ROUND((40*54.6+40*51.3)/(40+40), 1)</f>
        <v>53</v>
      </c>
      <c r="P63" s="26">
        <f>ROUND((40*8.6+40*9.1)/(40+40), 1)</f>
        <v>8.9</v>
      </c>
      <c r="Q63" s="26">
        <f>ROUND((23+26)/(40+40)*100,1)</f>
        <v>61.3</v>
      </c>
      <c r="R63" s="43" t="s">
        <v>1805</v>
      </c>
      <c r="S63" s="43">
        <v>2</v>
      </c>
      <c r="T63" s="43">
        <v>80</v>
      </c>
      <c r="U63" s="43">
        <v>2</v>
      </c>
      <c r="V63" s="48">
        <v>40</v>
      </c>
      <c r="W63" s="48">
        <v>40</v>
      </c>
      <c r="X63" s="48" t="s">
        <v>59</v>
      </c>
      <c r="Y63" s="48" t="s">
        <v>59</v>
      </c>
      <c r="Z63" s="22">
        <v>0</v>
      </c>
      <c r="AA63" s="22">
        <v>0</v>
      </c>
      <c r="AB63" s="43" t="s">
        <v>59</v>
      </c>
      <c r="AC63" s="43">
        <v>24</v>
      </c>
      <c r="AD63" s="43">
        <v>30</v>
      </c>
      <c r="AE63" s="43" t="s">
        <v>59</v>
      </c>
      <c r="AF63" s="26" t="s">
        <v>1407</v>
      </c>
      <c r="AG63" s="26" t="s">
        <v>1407</v>
      </c>
      <c r="AN63" s="41" t="s">
        <v>489</v>
      </c>
    </row>
    <row r="64" spans="1:47">
      <c r="A64" s="172" t="s">
        <v>1806</v>
      </c>
      <c r="B64" s="22">
        <v>5683</v>
      </c>
      <c r="C64" s="22" t="s">
        <v>1807</v>
      </c>
      <c r="D64" s="22" t="s">
        <v>1808</v>
      </c>
      <c r="E64" s="63" t="s">
        <v>1809</v>
      </c>
      <c r="F64" s="22" t="s">
        <v>1810</v>
      </c>
      <c r="G64" s="192" t="s">
        <v>2266</v>
      </c>
      <c r="H64" s="192" t="s">
        <v>2266</v>
      </c>
      <c r="I64" s="192" t="s">
        <v>2266</v>
      </c>
      <c r="J64" s="43" t="s">
        <v>2265</v>
      </c>
      <c r="K64" s="48">
        <v>0</v>
      </c>
      <c r="L64" s="48" t="s">
        <v>59</v>
      </c>
      <c r="M64" s="49">
        <v>2003</v>
      </c>
      <c r="N64" s="43" t="s">
        <v>694</v>
      </c>
      <c r="O64" s="26">
        <f>ROUND((19*27+16*23)/(19+16), 1)</f>
        <v>25.2</v>
      </c>
      <c r="P64" s="26">
        <f>ROUND((19*11+16*5)/(19+16), 1)</f>
        <v>8.3000000000000007</v>
      </c>
      <c r="Q64" s="26">
        <f>ROUND((10+11)/(19+16)*100,1)</f>
        <v>60</v>
      </c>
      <c r="R64" s="43" t="s">
        <v>1811</v>
      </c>
      <c r="S64" s="43">
        <v>1</v>
      </c>
      <c r="T64" s="43">
        <v>40</v>
      </c>
      <c r="U64" s="43">
        <v>2</v>
      </c>
      <c r="V64" s="48">
        <v>20</v>
      </c>
      <c r="W64" s="48">
        <v>20</v>
      </c>
      <c r="X64" s="48" t="s">
        <v>59</v>
      </c>
      <c r="Y64" s="48" t="s">
        <v>59</v>
      </c>
      <c r="Z64" s="22">
        <v>0</v>
      </c>
      <c r="AA64" s="22">
        <v>0</v>
      </c>
      <c r="AB64" s="43" t="s">
        <v>59</v>
      </c>
      <c r="AC64" s="43">
        <v>6</v>
      </c>
      <c r="AD64" s="43">
        <v>12</v>
      </c>
      <c r="AE64" s="43" t="s">
        <v>59</v>
      </c>
      <c r="AF64" s="26" t="s">
        <v>1407</v>
      </c>
      <c r="AG64" s="26" t="s">
        <v>1407</v>
      </c>
      <c r="AN64" s="41" t="s">
        <v>489</v>
      </c>
      <c r="AT64" s="41" t="s">
        <v>489</v>
      </c>
    </row>
    <row r="65" spans="1:46">
      <c r="A65" s="172" t="s">
        <v>209</v>
      </c>
      <c r="B65" s="22">
        <v>5700</v>
      </c>
      <c r="C65" s="22" t="s">
        <v>1812</v>
      </c>
      <c r="D65" s="22" t="s">
        <v>1813</v>
      </c>
      <c r="E65" s="22" t="s">
        <v>1814</v>
      </c>
      <c r="F65" s="22" t="s">
        <v>1815</v>
      </c>
      <c r="G65" s="192" t="s">
        <v>2266</v>
      </c>
      <c r="H65" s="192" t="s">
        <v>2266</v>
      </c>
      <c r="I65" s="192" t="s">
        <v>2266</v>
      </c>
      <c r="J65" s="43" t="s">
        <v>2265</v>
      </c>
      <c r="K65" s="48">
        <v>0</v>
      </c>
      <c r="L65" s="48" t="s">
        <v>59</v>
      </c>
      <c r="M65" s="49">
        <v>2006</v>
      </c>
      <c r="N65" s="43" t="s">
        <v>735</v>
      </c>
      <c r="O65" s="48" t="s">
        <v>1413</v>
      </c>
      <c r="P65" s="48" t="s">
        <v>1413</v>
      </c>
      <c r="Q65" s="48" t="s">
        <v>1413</v>
      </c>
      <c r="R65" s="43" t="s">
        <v>1816</v>
      </c>
      <c r="S65" s="43">
        <v>3</v>
      </c>
      <c r="T65" s="43">
        <f>101+74</f>
        <v>175</v>
      </c>
      <c r="U65" s="43">
        <v>2</v>
      </c>
      <c r="V65" s="48">
        <v>74</v>
      </c>
      <c r="W65" s="48">
        <v>101</v>
      </c>
      <c r="X65" s="48" t="s">
        <v>59</v>
      </c>
      <c r="Y65" s="48" t="s">
        <v>59</v>
      </c>
      <c r="Z65" s="22">
        <v>0</v>
      </c>
      <c r="AA65" s="22">
        <v>0</v>
      </c>
      <c r="AB65" s="43" t="s">
        <v>59</v>
      </c>
      <c r="AC65" s="43">
        <v>12</v>
      </c>
      <c r="AD65" s="43">
        <v>12</v>
      </c>
      <c r="AE65" s="43" t="s">
        <v>59</v>
      </c>
      <c r="AF65" s="26" t="s">
        <v>1407</v>
      </c>
      <c r="AG65" s="26" t="s">
        <v>1407</v>
      </c>
      <c r="AN65" s="41" t="s">
        <v>489</v>
      </c>
      <c r="AO65" s="41" t="s">
        <v>489</v>
      </c>
      <c r="AP65" s="41" t="s">
        <v>489</v>
      </c>
      <c r="AQ65" s="41" t="s">
        <v>489</v>
      </c>
    </row>
    <row r="66" spans="1:46">
      <c r="A66" s="28" t="s">
        <v>1817</v>
      </c>
      <c r="B66" s="193">
        <v>5774</v>
      </c>
      <c r="C66" s="22" t="s">
        <v>1818</v>
      </c>
      <c r="D66" s="22" t="s">
        <v>1819</v>
      </c>
      <c r="E66" s="22" t="s">
        <v>1820</v>
      </c>
      <c r="F66" s="22" t="s">
        <v>1821</v>
      </c>
      <c r="G66" s="192" t="s">
        <v>2266</v>
      </c>
      <c r="H66" s="192" t="s">
        <v>2266</v>
      </c>
      <c r="I66" s="192" t="s">
        <v>2266</v>
      </c>
      <c r="J66" s="22" t="s">
        <v>485</v>
      </c>
      <c r="K66" s="48">
        <v>11</v>
      </c>
      <c r="L66" s="48" t="s">
        <v>1413</v>
      </c>
      <c r="M66" s="49">
        <v>2003</v>
      </c>
      <c r="N66" s="43" t="s">
        <v>496</v>
      </c>
      <c r="O66" s="26">
        <f>ROUND((30*69.7+38*34.4+51*68.6)/(30+38+51), 1)</f>
        <v>58</v>
      </c>
      <c r="P66" s="26">
        <f>ROUND((30*10.7+38*8.9+51*8.6)/(30+38+51), 1)</f>
        <v>9.1999999999999993</v>
      </c>
      <c r="Q66" s="26">
        <f>ROUND((15+15+30)/(30+38+51)*100,1)</f>
        <v>50.4</v>
      </c>
      <c r="R66" s="43" t="s">
        <v>1822</v>
      </c>
      <c r="S66" s="43">
        <v>4</v>
      </c>
      <c r="T66" s="43">
        <f>30+38+51</f>
        <v>119</v>
      </c>
      <c r="U66" s="64">
        <v>3</v>
      </c>
      <c r="V66" s="48">
        <v>51</v>
      </c>
      <c r="W66" s="48">
        <v>38</v>
      </c>
      <c r="X66" s="48">
        <v>30</v>
      </c>
      <c r="Y66" s="48" t="s">
        <v>59</v>
      </c>
      <c r="Z66" s="43">
        <v>0</v>
      </c>
      <c r="AA66" s="22">
        <v>0</v>
      </c>
      <c r="AB66" s="43">
        <v>0</v>
      </c>
      <c r="AC66" s="43">
        <v>6</v>
      </c>
      <c r="AD66" s="43">
        <v>12</v>
      </c>
      <c r="AE66" s="29" t="s">
        <v>3538</v>
      </c>
      <c r="AF66" s="26" t="s">
        <v>1407</v>
      </c>
      <c r="AG66" s="26" t="s">
        <v>1407</v>
      </c>
      <c r="AN66" s="41" t="s">
        <v>489</v>
      </c>
      <c r="AO66" s="41" t="s">
        <v>489</v>
      </c>
      <c r="AP66" s="41" t="s">
        <v>489</v>
      </c>
    </row>
    <row r="67" spans="1:46">
      <c r="A67" s="172" t="s">
        <v>210</v>
      </c>
      <c r="B67" s="22">
        <v>5809</v>
      </c>
      <c r="C67" s="22" t="s">
        <v>1824</v>
      </c>
      <c r="D67" s="22" t="s">
        <v>1825</v>
      </c>
      <c r="E67" s="22" t="s">
        <v>1826</v>
      </c>
      <c r="F67" s="22" t="s">
        <v>1278</v>
      </c>
      <c r="G67" s="192" t="s">
        <v>2266</v>
      </c>
      <c r="H67" s="192" t="s">
        <v>2266</v>
      </c>
      <c r="I67" s="192" t="s">
        <v>2266</v>
      </c>
      <c r="J67" s="43" t="s">
        <v>2265</v>
      </c>
      <c r="K67" s="48">
        <v>0</v>
      </c>
      <c r="L67" s="48" t="s">
        <v>59</v>
      </c>
      <c r="M67" s="34">
        <v>2006</v>
      </c>
      <c r="N67" s="43" t="s">
        <v>496</v>
      </c>
      <c r="O67" s="26">
        <f>ROUND((182*64+150*65)/(182+150), 1)</f>
        <v>64.5</v>
      </c>
      <c r="P67" s="26">
        <f>ROUND((182*20+150*12)/(182+150), 1)</f>
        <v>16.399999999999999</v>
      </c>
      <c r="Q67" s="26">
        <f>ROUND((52+57)/2,1)</f>
        <v>54.5</v>
      </c>
      <c r="R67" s="43" t="s">
        <v>1827</v>
      </c>
      <c r="S67" s="43">
        <v>2</v>
      </c>
      <c r="T67" s="43">
        <f>182+150</f>
        <v>332</v>
      </c>
      <c r="U67" s="43">
        <v>2</v>
      </c>
      <c r="V67" s="48">
        <v>182</v>
      </c>
      <c r="W67" s="48">
        <v>150</v>
      </c>
      <c r="X67" s="48" t="s">
        <v>59</v>
      </c>
      <c r="Y67" s="48" t="s">
        <v>59</v>
      </c>
      <c r="Z67" s="43">
        <v>0</v>
      </c>
      <c r="AA67" s="22">
        <v>0</v>
      </c>
      <c r="AB67" s="43" t="s">
        <v>59</v>
      </c>
      <c r="AC67" s="43">
        <v>12</v>
      </c>
      <c r="AD67" s="43">
        <v>12</v>
      </c>
      <c r="AE67" s="43" t="s">
        <v>59</v>
      </c>
      <c r="AF67" s="26" t="s">
        <v>1407</v>
      </c>
      <c r="AG67" s="26" t="s">
        <v>1407</v>
      </c>
      <c r="AK67" s="41" t="s">
        <v>489</v>
      </c>
      <c r="AL67" s="41" t="s">
        <v>489</v>
      </c>
      <c r="AM67" s="41" t="s">
        <v>489</v>
      </c>
      <c r="AN67" s="41" t="s">
        <v>489</v>
      </c>
      <c r="AO67" s="41" t="s">
        <v>489</v>
      </c>
      <c r="AP67" s="41" t="s">
        <v>489</v>
      </c>
      <c r="AQ67" s="41" t="s">
        <v>489</v>
      </c>
    </row>
    <row r="68" spans="1:46">
      <c r="A68" s="172" t="s">
        <v>1828</v>
      </c>
      <c r="B68" s="22">
        <v>5852</v>
      </c>
      <c r="C68" s="22" t="s">
        <v>1829</v>
      </c>
      <c r="D68" s="22" t="s">
        <v>1830</v>
      </c>
      <c r="E68" s="22" t="s">
        <v>1831</v>
      </c>
      <c r="F68" s="22" t="s">
        <v>1330</v>
      </c>
      <c r="G68" s="192" t="s">
        <v>2266</v>
      </c>
      <c r="H68" s="192" t="s">
        <v>2266</v>
      </c>
      <c r="I68" s="192" t="s">
        <v>2266</v>
      </c>
      <c r="J68" s="43" t="s">
        <v>2265</v>
      </c>
      <c r="K68" s="48">
        <v>0</v>
      </c>
      <c r="L68" s="48" t="s">
        <v>59</v>
      </c>
      <c r="M68" s="49">
        <v>2004</v>
      </c>
      <c r="N68" s="43" t="s">
        <v>1491</v>
      </c>
      <c r="O68" s="26">
        <f>ROUND((47*24.5+46*23.2)/(47+46), 1)</f>
        <v>23.9</v>
      </c>
      <c r="P68" s="26">
        <f>ROUND((47*4.2+46*4.2)/(47+46), 1)</f>
        <v>4.2</v>
      </c>
      <c r="Q68" s="26">
        <f>ROUND(55/93*100,1)</f>
        <v>59.1</v>
      </c>
      <c r="R68" s="43" t="s">
        <v>1832</v>
      </c>
      <c r="S68" s="43">
        <v>1</v>
      </c>
      <c r="T68" s="43">
        <v>93</v>
      </c>
      <c r="U68" s="43">
        <v>2</v>
      </c>
      <c r="V68" s="48">
        <v>46</v>
      </c>
      <c r="W68" s="48">
        <v>47</v>
      </c>
      <c r="X68" s="48" t="s">
        <v>59</v>
      </c>
      <c r="Y68" s="48" t="s">
        <v>59</v>
      </c>
      <c r="Z68" s="43">
        <v>0</v>
      </c>
      <c r="AA68" s="22">
        <v>0</v>
      </c>
      <c r="AB68" s="43" t="s">
        <v>59</v>
      </c>
      <c r="AC68" s="43">
        <v>9</v>
      </c>
      <c r="AD68" s="43">
        <v>9</v>
      </c>
      <c r="AE68" s="43" t="s">
        <v>59</v>
      </c>
      <c r="AF68" s="26" t="s">
        <v>1407</v>
      </c>
      <c r="AG68" s="26" t="s">
        <v>1407</v>
      </c>
      <c r="AN68" s="41" t="s">
        <v>489</v>
      </c>
      <c r="AT68" s="41" t="s">
        <v>489</v>
      </c>
    </row>
    <row r="69" spans="1:46">
      <c r="A69" s="28" t="s">
        <v>103</v>
      </c>
      <c r="B69" s="193">
        <v>5870</v>
      </c>
      <c r="C69" s="22" t="s">
        <v>1833</v>
      </c>
      <c r="D69" s="22" t="s">
        <v>1834</v>
      </c>
      <c r="E69" s="22" t="s">
        <v>1835</v>
      </c>
      <c r="F69" s="22" t="s">
        <v>1836</v>
      </c>
      <c r="G69" s="192" t="s">
        <v>2266</v>
      </c>
      <c r="H69" s="192" t="s">
        <v>2266</v>
      </c>
      <c r="I69" s="192" t="s">
        <v>2266</v>
      </c>
      <c r="J69" s="22" t="s">
        <v>485</v>
      </c>
      <c r="K69" s="48">
        <v>345</v>
      </c>
      <c r="L69" s="48">
        <v>345</v>
      </c>
      <c r="M69" s="49">
        <v>2002</v>
      </c>
      <c r="N69" s="43" t="s">
        <v>496</v>
      </c>
      <c r="O69" s="48">
        <v>59</v>
      </c>
      <c r="P69" s="48">
        <v>13</v>
      </c>
      <c r="Q69" s="48">
        <f>100-67</f>
        <v>33</v>
      </c>
      <c r="R69" s="43" t="s">
        <v>1837</v>
      </c>
      <c r="S69" s="43">
        <v>2</v>
      </c>
      <c r="T69" s="43">
        <v>4138</v>
      </c>
      <c r="U69" s="64">
        <v>4</v>
      </c>
      <c r="V69" s="48">
        <v>983</v>
      </c>
      <c r="W69" s="48">
        <v>1043</v>
      </c>
      <c r="X69" s="48">
        <v>1049</v>
      </c>
      <c r="Y69" s="48">
        <v>1063</v>
      </c>
      <c r="Z69" s="43">
        <v>0</v>
      </c>
      <c r="AA69" s="22">
        <v>0</v>
      </c>
      <c r="AB69" s="22">
        <v>0</v>
      </c>
      <c r="AC69" s="43">
        <v>36</v>
      </c>
      <c r="AD69" s="43">
        <v>36</v>
      </c>
      <c r="AE69" s="43" t="s">
        <v>1838</v>
      </c>
      <c r="AF69" s="26" t="s">
        <v>1407</v>
      </c>
      <c r="AG69" s="26" t="s">
        <v>1407</v>
      </c>
      <c r="AN69" s="41" t="s">
        <v>489</v>
      </c>
      <c r="AO69" s="41" t="s">
        <v>1407</v>
      </c>
      <c r="AQ69" s="41" t="s">
        <v>1407</v>
      </c>
    </row>
    <row r="70" spans="1:46">
      <c r="A70" s="28" t="s">
        <v>1839</v>
      </c>
      <c r="B70" s="22">
        <v>5895</v>
      </c>
      <c r="C70" s="22" t="s">
        <v>1840</v>
      </c>
      <c r="D70" s="22" t="s">
        <v>1841</v>
      </c>
      <c r="E70" s="22" t="s">
        <v>1842</v>
      </c>
      <c r="F70" s="22" t="s">
        <v>1843</v>
      </c>
      <c r="G70" s="192" t="s">
        <v>2266</v>
      </c>
      <c r="H70" s="192" t="s">
        <v>2266</v>
      </c>
      <c r="I70" s="192" t="s">
        <v>2266</v>
      </c>
      <c r="J70" s="22" t="s">
        <v>485</v>
      </c>
      <c r="K70" s="48">
        <v>90</v>
      </c>
      <c r="L70" s="48">
        <v>90</v>
      </c>
      <c r="M70" s="49">
        <v>1999</v>
      </c>
      <c r="N70" s="43" t="s">
        <v>1844</v>
      </c>
      <c r="O70" s="26" t="s">
        <v>1679</v>
      </c>
      <c r="P70" s="48" t="s">
        <v>1679</v>
      </c>
      <c r="Q70" s="48">
        <v>55.9</v>
      </c>
      <c r="R70" s="43" t="s">
        <v>1845</v>
      </c>
      <c r="S70" s="43">
        <v>2</v>
      </c>
      <c r="T70" s="43">
        <f>313+347</f>
        <v>660</v>
      </c>
      <c r="U70" s="43">
        <v>2</v>
      </c>
      <c r="V70" s="48">
        <v>313</v>
      </c>
      <c r="W70" s="48">
        <v>347</v>
      </c>
      <c r="X70" s="48" t="s">
        <v>59</v>
      </c>
      <c r="Y70" s="48" t="s">
        <v>59</v>
      </c>
      <c r="Z70" s="43">
        <v>0</v>
      </c>
      <c r="AA70" s="22">
        <v>1</v>
      </c>
      <c r="AB70" s="43">
        <v>0</v>
      </c>
      <c r="AC70" s="43">
        <v>3</v>
      </c>
      <c r="AD70" s="43">
        <v>15</v>
      </c>
      <c r="AE70" s="43" t="s">
        <v>287</v>
      </c>
      <c r="AG70" s="26" t="s">
        <v>1407</v>
      </c>
      <c r="AK70" s="41" t="s">
        <v>489</v>
      </c>
      <c r="AL70" s="41" t="s">
        <v>489</v>
      </c>
      <c r="AM70" s="41" t="s">
        <v>489</v>
      </c>
      <c r="AN70" s="41" t="s">
        <v>489</v>
      </c>
    </row>
    <row r="71" spans="1:46">
      <c r="A71" s="28" t="s">
        <v>1846</v>
      </c>
      <c r="B71" s="22">
        <v>5899</v>
      </c>
      <c r="C71" s="22" t="s">
        <v>1847</v>
      </c>
      <c r="D71" s="22" t="s">
        <v>1848</v>
      </c>
      <c r="E71" s="22" t="s">
        <v>1849</v>
      </c>
      <c r="F71" s="22" t="s">
        <v>588</v>
      </c>
      <c r="G71" s="192" t="s">
        <v>2266</v>
      </c>
      <c r="H71" s="192" t="s">
        <v>2266</v>
      </c>
      <c r="I71" s="192" t="s">
        <v>2266</v>
      </c>
      <c r="J71" s="22" t="s">
        <v>485</v>
      </c>
      <c r="K71" s="48">
        <v>12</v>
      </c>
      <c r="L71" s="26">
        <v>329</v>
      </c>
      <c r="M71" s="34">
        <v>2005</v>
      </c>
      <c r="N71" s="43" t="s">
        <v>496</v>
      </c>
      <c r="O71" s="26">
        <f>ROUND((428*57.6+326*58)/(428+326), 1)</f>
        <v>57.8</v>
      </c>
      <c r="P71" s="48" t="s">
        <v>1413</v>
      </c>
      <c r="Q71" s="26">
        <f>ROUND((53.7+54.9)/2,1)</f>
        <v>54.3</v>
      </c>
      <c r="R71" s="43" t="s">
        <v>1850</v>
      </c>
      <c r="S71" s="43">
        <v>4</v>
      </c>
      <c r="T71" s="43">
        <f>428+326</f>
        <v>754</v>
      </c>
      <c r="U71" s="43">
        <v>2</v>
      </c>
      <c r="V71" s="48">
        <v>326</v>
      </c>
      <c r="W71" s="48">
        <v>428</v>
      </c>
      <c r="X71" s="48" t="s">
        <v>59</v>
      </c>
      <c r="Y71" s="48" t="s">
        <v>59</v>
      </c>
      <c r="Z71" s="43">
        <v>0</v>
      </c>
      <c r="AA71" s="22">
        <v>0</v>
      </c>
      <c r="AB71" s="22">
        <v>0</v>
      </c>
      <c r="AC71" s="43">
        <v>18</v>
      </c>
      <c r="AD71" s="43">
        <f>18+12</f>
        <v>30</v>
      </c>
      <c r="AE71" s="43" t="s">
        <v>1851</v>
      </c>
      <c r="AF71" s="26" t="s">
        <v>1407</v>
      </c>
      <c r="AG71" s="26" t="s">
        <v>1407</v>
      </c>
      <c r="AH71" s="41" t="s">
        <v>1407</v>
      </c>
      <c r="AK71" s="41" t="s">
        <v>1407</v>
      </c>
      <c r="AL71" s="41" t="s">
        <v>1407</v>
      </c>
      <c r="AM71" s="41" t="s">
        <v>1407</v>
      </c>
      <c r="AN71" s="41" t="s">
        <v>1407</v>
      </c>
      <c r="AO71" s="41" t="s">
        <v>1407</v>
      </c>
      <c r="AQ71" s="41" t="s">
        <v>1407</v>
      </c>
    </row>
    <row r="72" spans="1:46">
      <c r="A72" s="172" t="s">
        <v>213</v>
      </c>
      <c r="B72" s="22">
        <v>5914</v>
      </c>
      <c r="C72" s="22" t="s">
        <v>1852</v>
      </c>
      <c r="D72" s="22" t="s">
        <v>1853</v>
      </c>
      <c r="E72" s="22" t="s">
        <v>1854</v>
      </c>
      <c r="F72" s="22" t="s">
        <v>1855</v>
      </c>
      <c r="G72" s="192" t="s">
        <v>2266</v>
      </c>
      <c r="H72" s="192" t="s">
        <v>2266</v>
      </c>
      <c r="I72" s="192" t="s">
        <v>2266</v>
      </c>
      <c r="J72" s="43" t="s">
        <v>2265</v>
      </c>
      <c r="K72" s="26">
        <v>0</v>
      </c>
      <c r="L72" s="26" t="s">
        <v>1434</v>
      </c>
      <c r="M72" s="34">
        <v>2004</v>
      </c>
      <c r="N72" s="22" t="s">
        <v>496</v>
      </c>
      <c r="O72" s="26">
        <v>63.5</v>
      </c>
      <c r="P72" s="26">
        <v>7</v>
      </c>
      <c r="Q72" s="26">
        <v>99.5</v>
      </c>
      <c r="R72" s="22" t="s">
        <v>1856</v>
      </c>
      <c r="S72" s="22">
        <v>3</v>
      </c>
      <c r="T72" s="22">
        <f>52+52</f>
        <v>104</v>
      </c>
      <c r="U72" s="22">
        <v>2</v>
      </c>
      <c r="V72" s="48">
        <v>52</v>
      </c>
      <c r="W72" s="48">
        <v>52</v>
      </c>
      <c r="X72" s="48" t="s">
        <v>59</v>
      </c>
      <c r="Y72" s="48" t="s">
        <v>59</v>
      </c>
      <c r="Z72" s="22">
        <v>0</v>
      </c>
      <c r="AA72" s="22">
        <v>0</v>
      </c>
      <c r="AB72" s="22" t="s">
        <v>59</v>
      </c>
      <c r="AC72" s="22">
        <v>12</v>
      </c>
      <c r="AD72" s="22">
        <v>12</v>
      </c>
      <c r="AE72" s="22" t="s">
        <v>59</v>
      </c>
      <c r="AF72" s="26" t="s">
        <v>1407</v>
      </c>
      <c r="AG72" s="26" t="s">
        <v>1407</v>
      </c>
      <c r="AN72" s="41" t="s">
        <v>489</v>
      </c>
      <c r="AQ72" s="41" t="s">
        <v>489</v>
      </c>
      <c r="AR72" s="41" t="s">
        <v>489</v>
      </c>
    </row>
    <row r="73" spans="1:46">
      <c r="A73" s="28" t="s">
        <v>1857</v>
      </c>
      <c r="B73" s="22">
        <v>5941</v>
      </c>
      <c r="C73" s="22" t="s">
        <v>1858</v>
      </c>
      <c r="D73" s="22" t="s">
        <v>1859</v>
      </c>
      <c r="E73" s="22" t="s">
        <v>1860</v>
      </c>
      <c r="F73" s="22" t="s">
        <v>1766</v>
      </c>
      <c r="G73" s="192" t="s">
        <v>2266</v>
      </c>
      <c r="H73" s="192" t="s">
        <v>2266</v>
      </c>
      <c r="I73" s="192" t="s">
        <v>2266</v>
      </c>
      <c r="J73" s="22" t="s">
        <v>485</v>
      </c>
      <c r="K73" s="26">
        <v>9</v>
      </c>
      <c r="L73" s="26">
        <v>42</v>
      </c>
      <c r="M73" s="49">
        <v>2000</v>
      </c>
      <c r="N73" s="43" t="s">
        <v>1861</v>
      </c>
      <c r="O73" s="48">
        <f>ROUND((58*351+58*418)/(351+418), 1)</f>
        <v>58</v>
      </c>
      <c r="P73" s="26">
        <v>15.5</v>
      </c>
      <c r="Q73" s="26">
        <f>ROUND((0.45*351+0.5*418)/(351+418), 2)*100</f>
        <v>48</v>
      </c>
      <c r="R73" s="22" t="s">
        <v>1862</v>
      </c>
      <c r="S73" s="22">
        <v>3</v>
      </c>
      <c r="T73" s="22">
        <v>1350</v>
      </c>
      <c r="U73" s="22">
        <v>2</v>
      </c>
      <c r="V73" s="48">
        <v>750</v>
      </c>
      <c r="W73" s="48">
        <v>600</v>
      </c>
      <c r="X73" s="48" t="s">
        <v>59</v>
      </c>
      <c r="Y73" s="48" t="s">
        <v>59</v>
      </c>
      <c r="Z73" s="22">
        <v>0</v>
      </c>
      <c r="AA73" s="22">
        <v>0</v>
      </c>
      <c r="AB73" s="22">
        <v>0</v>
      </c>
      <c r="AC73" s="22">
        <v>12</v>
      </c>
      <c r="AD73" s="22">
        <v>12</v>
      </c>
      <c r="AE73" s="22" t="s">
        <v>1863</v>
      </c>
      <c r="AF73" s="26" t="s">
        <v>1407</v>
      </c>
      <c r="AG73" s="26" t="s">
        <v>1407</v>
      </c>
      <c r="AK73" s="41" t="s">
        <v>489</v>
      </c>
      <c r="AL73" s="41" t="s">
        <v>489</v>
      </c>
      <c r="AM73" s="41" t="s">
        <v>489</v>
      </c>
      <c r="AN73" s="41" t="s">
        <v>489</v>
      </c>
      <c r="AO73" s="41" t="s">
        <v>489</v>
      </c>
      <c r="AP73" s="41" t="s">
        <v>489</v>
      </c>
      <c r="AQ73" s="41"/>
    </row>
    <row r="74" spans="1:46">
      <c r="A74" s="172" t="s">
        <v>214</v>
      </c>
      <c r="B74" s="22">
        <v>5943</v>
      </c>
      <c r="C74" s="22" t="s">
        <v>1864</v>
      </c>
      <c r="D74" s="22" t="s">
        <v>1865</v>
      </c>
      <c r="E74" s="22" t="s">
        <v>1866</v>
      </c>
      <c r="F74" s="22" t="s">
        <v>1022</v>
      </c>
      <c r="G74" s="192" t="s">
        <v>2266</v>
      </c>
      <c r="H74" s="192" t="s">
        <v>2266</v>
      </c>
      <c r="I74" s="192" t="s">
        <v>2266</v>
      </c>
      <c r="J74" s="43" t="s">
        <v>2265</v>
      </c>
      <c r="K74" s="48">
        <v>0</v>
      </c>
      <c r="L74" s="48" t="s">
        <v>59</v>
      </c>
      <c r="M74" s="34">
        <v>2005</v>
      </c>
      <c r="N74" s="43" t="s">
        <v>496</v>
      </c>
      <c r="O74" s="48">
        <v>44</v>
      </c>
      <c r="P74" s="48">
        <v>15</v>
      </c>
      <c r="Q74" s="48">
        <f>100-62</f>
        <v>38</v>
      </c>
      <c r="R74" s="22" t="s">
        <v>1867</v>
      </c>
      <c r="S74" s="22">
        <v>3</v>
      </c>
      <c r="T74" s="22">
        <v>49</v>
      </c>
      <c r="U74" s="22">
        <v>2</v>
      </c>
      <c r="V74" s="48">
        <v>23</v>
      </c>
      <c r="W74" s="48">
        <v>24</v>
      </c>
      <c r="X74" s="48" t="s">
        <v>59</v>
      </c>
      <c r="Y74" s="48" t="s">
        <v>59</v>
      </c>
      <c r="Z74" s="22">
        <v>0</v>
      </c>
      <c r="AA74" s="22">
        <v>0</v>
      </c>
      <c r="AB74" s="22" t="s">
        <v>59</v>
      </c>
      <c r="AC74" s="22">
        <v>1</v>
      </c>
      <c r="AD74" s="22">
        <v>3</v>
      </c>
      <c r="AE74" s="22" t="s">
        <v>59</v>
      </c>
      <c r="AF74" s="26" t="s">
        <v>1407</v>
      </c>
      <c r="AG74" s="26" t="s">
        <v>1407</v>
      </c>
      <c r="AN74" s="41" t="s">
        <v>489</v>
      </c>
    </row>
    <row r="75" spans="1:46">
      <c r="A75" s="172" t="s">
        <v>215</v>
      </c>
      <c r="B75" s="22">
        <v>5948</v>
      </c>
      <c r="C75" s="22" t="s">
        <v>1868</v>
      </c>
      <c r="D75" s="22" t="s">
        <v>1869</v>
      </c>
      <c r="E75" s="22" t="s">
        <v>1870</v>
      </c>
      <c r="F75" s="22" t="s">
        <v>1871</v>
      </c>
      <c r="G75" s="192" t="s">
        <v>2266</v>
      </c>
      <c r="H75" s="192" t="s">
        <v>2266</v>
      </c>
      <c r="I75" s="192" t="s">
        <v>2266</v>
      </c>
      <c r="J75" s="43" t="s">
        <v>2265</v>
      </c>
      <c r="K75" s="48">
        <v>0</v>
      </c>
      <c r="L75" s="48" t="s">
        <v>59</v>
      </c>
      <c r="M75" s="49">
        <v>2002</v>
      </c>
      <c r="N75" s="43" t="s">
        <v>1093</v>
      </c>
      <c r="O75" s="26">
        <f>ROUND((15*61+10*60.4)/(15+10), 1)</f>
        <v>60.8</v>
      </c>
      <c r="P75" s="26">
        <f>ROUND((15*6.1+10*6.4)/(15+10), 1)</f>
        <v>6.2</v>
      </c>
      <c r="Q75" s="26">
        <f>ROUND((6+3)/(15+10)*100,1)</f>
        <v>36</v>
      </c>
      <c r="R75" s="22" t="s">
        <v>1756</v>
      </c>
      <c r="S75" s="22">
        <v>2</v>
      </c>
      <c r="T75" s="22">
        <v>35</v>
      </c>
      <c r="U75" s="22">
        <v>2</v>
      </c>
      <c r="V75" s="48">
        <v>15</v>
      </c>
      <c r="W75" s="48">
        <v>20</v>
      </c>
      <c r="X75" s="48" t="s">
        <v>59</v>
      </c>
      <c r="Y75" s="48" t="s">
        <v>59</v>
      </c>
      <c r="Z75" s="22">
        <v>0</v>
      </c>
      <c r="AA75" s="22">
        <v>0</v>
      </c>
      <c r="AB75" s="22" t="s">
        <v>59</v>
      </c>
      <c r="AC75" s="22">
        <v>3</v>
      </c>
      <c r="AD75" s="22">
        <v>3</v>
      </c>
      <c r="AE75" s="22" t="s">
        <v>59</v>
      </c>
      <c r="AF75" s="26" t="s">
        <v>1407</v>
      </c>
      <c r="AG75" s="26" t="s">
        <v>1407</v>
      </c>
      <c r="AN75" s="41" t="s">
        <v>489</v>
      </c>
    </row>
    <row r="76" spans="1:46">
      <c r="A76" s="172" t="s">
        <v>216</v>
      </c>
      <c r="B76" s="22">
        <v>5949</v>
      </c>
      <c r="C76" s="22" t="s">
        <v>1872</v>
      </c>
      <c r="D76" s="22" t="s">
        <v>1873</v>
      </c>
      <c r="E76" s="22" t="s">
        <v>1874</v>
      </c>
      <c r="F76" s="22" t="s">
        <v>1875</v>
      </c>
      <c r="G76" s="192" t="s">
        <v>2266</v>
      </c>
      <c r="H76" s="192" t="s">
        <v>2266</v>
      </c>
      <c r="I76" s="192" t="s">
        <v>2266</v>
      </c>
      <c r="J76" s="43" t="s">
        <v>2265</v>
      </c>
      <c r="K76" s="48">
        <v>0</v>
      </c>
      <c r="L76" s="48" t="s">
        <v>59</v>
      </c>
      <c r="M76" s="34">
        <v>2005</v>
      </c>
      <c r="N76" s="43" t="s">
        <v>496</v>
      </c>
      <c r="O76" s="26">
        <f>ROUND((39*51+41*52.2)/(39+41), 1)</f>
        <v>51.6</v>
      </c>
      <c r="P76" s="26">
        <f>ROUND((39*9+41*11.2)/(39+41), 1)</f>
        <v>10.1</v>
      </c>
      <c r="Q76" s="26">
        <f>ROUND((46.1+48.8)/2,1)</f>
        <v>47.5</v>
      </c>
      <c r="R76" s="22" t="s">
        <v>1876</v>
      </c>
      <c r="S76" s="22">
        <v>2</v>
      </c>
      <c r="T76" s="22">
        <v>80</v>
      </c>
      <c r="U76" s="22">
        <v>2</v>
      </c>
      <c r="V76" s="48">
        <v>39</v>
      </c>
      <c r="W76" s="48">
        <v>41</v>
      </c>
      <c r="X76" s="48" t="s">
        <v>59</v>
      </c>
      <c r="Y76" s="48" t="s">
        <v>59</v>
      </c>
      <c r="Z76" s="43">
        <v>0</v>
      </c>
      <c r="AA76" s="43">
        <v>0</v>
      </c>
      <c r="AB76" s="22" t="s">
        <v>59</v>
      </c>
      <c r="AC76" s="43">
        <v>12</v>
      </c>
      <c r="AD76" s="43">
        <v>24</v>
      </c>
      <c r="AE76" s="22" t="s">
        <v>59</v>
      </c>
      <c r="AF76" s="26" t="s">
        <v>1407</v>
      </c>
      <c r="AG76" s="26" t="s">
        <v>1407</v>
      </c>
      <c r="AK76" s="41" t="s">
        <v>489</v>
      </c>
      <c r="AL76" s="41" t="s">
        <v>489</v>
      </c>
      <c r="AM76" s="41"/>
      <c r="AN76" s="41" t="s">
        <v>489</v>
      </c>
    </row>
    <row r="77" spans="1:46">
      <c r="A77" s="172" t="s">
        <v>1877</v>
      </c>
      <c r="B77" s="22">
        <v>5972</v>
      </c>
      <c r="C77" s="22" t="s">
        <v>1878</v>
      </c>
      <c r="D77" s="22" t="s">
        <v>1879</v>
      </c>
      <c r="E77" s="22" t="s">
        <v>1880</v>
      </c>
      <c r="F77" s="22" t="s">
        <v>1881</v>
      </c>
      <c r="G77" s="192" t="s">
        <v>2266</v>
      </c>
      <c r="H77" s="192" t="s">
        <v>2266</v>
      </c>
      <c r="I77" s="192" t="s">
        <v>2266</v>
      </c>
      <c r="J77" s="43" t="s">
        <v>2265</v>
      </c>
      <c r="K77" s="26">
        <v>0</v>
      </c>
      <c r="L77" s="26" t="s">
        <v>1434</v>
      </c>
      <c r="M77" s="34">
        <v>2002</v>
      </c>
      <c r="N77" s="22" t="s">
        <v>496</v>
      </c>
      <c r="O77" s="26">
        <v>55.5</v>
      </c>
      <c r="P77" s="26">
        <v>12</v>
      </c>
      <c r="Q77" s="26">
        <v>43.8</v>
      </c>
      <c r="R77" s="22" t="s">
        <v>1882</v>
      </c>
      <c r="S77" s="22">
        <v>2</v>
      </c>
      <c r="T77" s="22">
        <v>217</v>
      </c>
      <c r="U77" s="22">
        <v>2</v>
      </c>
      <c r="V77" s="48">
        <v>105</v>
      </c>
      <c r="W77" s="48">
        <v>112</v>
      </c>
      <c r="X77" s="48" t="s">
        <v>59</v>
      </c>
      <c r="Y77" s="48" t="s">
        <v>59</v>
      </c>
      <c r="Z77" s="22">
        <v>0</v>
      </c>
      <c r="AA77" s="22">
        <v>1</v>
      </c>
      <c r="AB77" s="22" t="s">
        <v>59</v>
      </c>
      <c r="AC77" s="22">
        <v>12</v>
      </c>
      <c r="AD77" s="22">
        <v>12</v>
      </c>
      <c r="AE77" s="22" t="s">
        <v>59</v>
      </c>
      <c r="AF77" s="26" t="s">
        <v>1407</v>
      </c>
      <c r="AG77" s="26" t="s">
        <v>1407</v>
      </c>
      <c r="AH77" s="41" t="s">
        <v>1407</v>
      </c>
      <c r="AN77" s="41" t="s">
        <v>1407</v>
      </c>
      <c r="AO77" s="41" t="s">
        <v>1407</v>
      </c>
      <c r="AP77" s="41" t="s">
        <v>1407</v>
      </c>
    </row>
    <row r="78" spans="1:46">
      <c r="A78" s="172" t="s">
        <v>1883</v>
      </c>
      <c r="B78" s="22">
        <v>5978</v>
      </c>
      <c r="C78" s="22" t="s">
        <v>1884</v>
      </c>
      <c r="D78" s="22" t="s">
        <v>1885</v>
      </c>
      <c r="E78" s="22" t="s">
        <v>1886</v>
      </c>
      <c r="F78" s="22" t="s">
        <v>1887</v>
      </c>
      <c r="G78" s="192" t="s">
        <v>2266</v>
      </c>
      <c r="H78" s="192" t="s">
        <v>2266</v>
      </c>
      <c r="I78" s="192" t="s">
        <v>2266</v>
      </c>
      <c r="J78" s="43" t="s">
        <v>2265</v>
      </c>
      <c r="K78" s="48">
        <v>0</v>
      </c>
      <c r="L78" s="48" t="s">
        <v>59</v>
      </c>
      <c r="M78" s="49">
        <v>2002</v>
      </c>
      <c r="N78" s="43" t="s">
        <v>496</v>
      </c>
      <c r="O78" s="26">
        <f>ROUND((43*51.6+34*51.9)/(43+34), 1)</f>
        <v>51.7</v>
      </c>
      <c r="P78" s="26">
        <f>ROUND((43*11.6+34*10.4)/(43+34), 1)</f>
        <v>11.1</v>
      </c>
      <c r="Q78" s="26">
        <f>((100-48)+(100-38))/2</f>
        <v>57</v>
      </c>
      <c r="R78" s="43" t="s">
        <v>1888</v>
      </c>
      <c r="S78" s="43">
        <v>2</v>
      </c>
      <c r="T78" s="43">
        <v>77</v>
      </c>
      <c r="U78" s="43">
        <v>2</v>
      </c>
      <c r="V78" s="48">
        <v>34</v>
      </c>
      <c r="W78" s="48">
        <v>43</v>
      </c>
      <c r="X78" s="48" t="s">
        <v>59</v>
      </c>
      <c r="Y78" s="48" t="s">
        <v>59</v>
      </c>
      <c r="Z78" s="22">
        <v>0</v>
      </c>
      <c r="AA78" s="22">
        <v>0</v>
      </c>
      <c r="AB78" s="43" t="s">
        <v>59</v>
      </c>
      <c r="AC78" s="43">
        <v>6</v>
      </c>
      <c r="AD78" s="43">
        <v>12</v>
      </c>
      <c r="AE78" s="43" t="s">
        <v>59</v>
      </c>
      <c r="AF78" s="26" t="s">
        <v>1407</v>
      </c>
      <c r="AG78" s="26" t="s">
        <v>1407</v>
      </c>
      <c r="AN78" s="41" t="s">
        <v>489</v>
      </c>
    </row>
    <row r="79" spans="1:46">
      <c r="A79" s="172" t="s">
        <v>220</v>
      </c>
      <c r="B79" s="22">
        <v>5981</v>
      </c>
      <c r="C79" s="22" t="s">
        <v>1889</v>
      </c>
      <c r="D79" s="22" t="s">
        <v>1890</v>
      </c>
      <c r="E79" s="22" t="s">
        <v>1891</v>
      </c>
      <c r="F79" s="22" t="s">
        <v>1892</v>
      </c>
      <c r="G79" s="192" t="s">
        <v>2266</v>
      </c>
      <c r="H79" s="192" t="s">
        <v>2266</v>
      </c>
      <c r="I79" s="192" t="s">
        <v>2266</v>
      </c>
      <c r="J79" s="43" t="s">
        <v>2265</v>
      </c>
      <c r="K79" s="48">
        <v>0</v>
      </c>
      <c r="L79" s="48" t="s">
        <v>59</v>
      </c>
      <c r="M79" s="49">
        <v>2001</v>
      </c>
      <c r="N79" s="43" t="s">
        <v>496</v>
      </c>
      <c r="O79" s="48">
        <v>58.02</v>
      </c>
      <c r="P79" s="48">
        <v>12.73</v>
      </c>
      <c r="Q79" s="48">
        <v>46.7</v>
      </c>
      <c r="R79" s="43" t="s">
        <v>1893</v>
      </c>
      <c r="S79" s="43">
        <v>3</v>
      </c>
      <c r="T79" s="43">
        <v>507</v>
      </c>
      <c r="U79" s="43">
        <v>2</v>
      </c>
      <c r="V79" s="48">
        <v>160</v>
      </c>
      <c r="W79" s="48">
        <v>176</v>
      </c>
      <c r="X79" s="48" t="s">
        <v>59</v>
      </c>
      <c r="Y79" s="48" t="s">
        <v>59</v>
      </c>
      <c r="Z79" s="22">
        <v>0</v>
      </c>
      <c r="AA79" s="22">
        <v>0</v>
      </c>
      <c r="AB79" s="43" t="s">
        <v>59</v>
      </c>
      <c r="AC79" s="43">
        <v>12</v>
      </c>
      <c r="AD79" s="43">
        <v>12</v>
      </c>
      <c r="AE79" s="43" t="s">
        <v>59</v>
      </c>
      <c r="AF79" s="26" t="s">
        <v>1407</v>
      </c>
      <c r="AG79" s="26" t="s">
        <v>1407</v>
      </c>
      <c r="AL79" s="41" t="s">
        <v>489</v>
      </c>
      <c r="AN79" s="41" t="s">
        <v>489</v>
      </c>
    </row>
    <row r="80" spans="1:46">
      <c r="A80" s="28" t="s">
        <v>1894</v>
      </c>
      <c r="B80" s="22">
        <v>5996</v>
      </c>
      <c r="C80" s="22" t="s">
        <v>1895</v>
      </c>
      <c r="D80" s="22" t="s">
        <v>1896</v>
      </c>
      <c r="E80" s="22" t="s">
        <v>1897</v>
      </c>
      <c r="F80" s="22" t="s">
        <v>901</v>
      </c>
      <c r="G80" s="192" t="s">
        <v>2266</v>
      </c>
      <c r="H80" s="192" t="s">
        <v>2266</v>
      </c>
      <c r="I80" s="192" t="s">
        <v>2266</v>
      </c>
      <c r="J80" s="22" t="s">
        <v>485</v>
      </c>
      <c r="K80" s="48">
        <v>52</v>
      </c>
      <c r="L80" s="48">
        <v>52</v>
      </c>
      <c r="M80" s="34">
        <v>2005</v>
      </c>
      <c r="N80" s="43" t="s">
        <v>496</v>
      </c>
      <c r="O80" s="26">
        <v>63</v>
      </c>
      <c r="P80" s="26">
        <v>62.97</v>
      </c>
      <c r="Q80" s="26">
        <f>((100-52.3)+(100-50))/2</f>
        <v>48.85</v>
      </c>
      <c r="R80" s="43" t="s">
        <v>1898</v>
      </c>
      <c r="S80" s="43">
        <v>2</v>
      </c>
      <c r="T80" s="43">
        <v>886</v>
      </c>
      <c r="U80" s="43">
        <v>2</v>
      </c>
      <c r="V80" s="48">
        <v>417</v>
      </c>
      <c r="W80" s="48">
        <v>469</v>
      </c>
      <c r="X80" s="48" t="s">
        <v>59</v>
      </c>
      <c r="Y80" s="48" t="s">
        <v>59</v>
      </c>
      <c r="Z80" s="22">
        <v>0</v>
      </c>
      <c r="AA80" s="43">
        <v>0</v>
      </c>
      <c r="AB80" s="22">
        <v>0</v>
      </c>
      <c r="AC80" s="43">
        <v>12</v>
      </c>
      <c r="AD80" s="43">
        <v>12</v>
      </c>
      <c r="AE80" s="43" t="s">
        <v>1899</v>
      </c>
      <c r="AF80" s="26" t="s">
        <v>1407</v>
      </c>
      <c r="AG80" s="26" t="s">
        <v>1407</v>
      </c>
      <c r="AK80" s="41" t="s">
        <v>489</v>
      </c>
      <c r="AL80" s="41" t="s">
        <v>489</v>
      </c>
      <c r="AM80" s="41" t="s">
        <v>489</v>
      </c>
      <c r="AN80" s="41" t="s">
        <v>489</v>
      </c>
    </row>
    <row r="81" spans="1:46">
      <c r="A81" s="172" t="s">
        <v>221</v>
      </c>
      <c r="B81" s="22">
        <v>6006</v>
      </c>
      <c r="C81" s="22" t="s">
        <v>1900</v>
      </c>
      <c r="D81" s="22" t="s">
        <v>1901</v>
      </c>
      <c r="E81" s="22" t="s">
        <v>1902</v>
      </c>
      <c r="F81" s="22" t="s">
        <v>1903</v>
      </c>
      <c r="G81" s="192" t="s">
        <v>2266</v>
      </c>
      <c r="H81" s="192" t="s">
        <v>2266</v>
      </c>
      <c r="I81" s="192" t="s">
        <v>2266</v>
      </c>
      <c r="J81" s="43" t="s">
        <v>2265</v>
      </c>
      <c r="K81" s="48">
        <v>0</v>
      </c>
      <c r="L81" s="48" t="s">
        <v>59</v>
      </c>
      <c r="M81" s="49">
        <v>2001</v>
      </c>
      <c r="N81" s="43" t="s">
        <v>628</v>
      </c>
      <c r="O81" s="26">
        <f>ROUND((19*67+20*58)/(19+20), 1)</f>
        <v>62.4</v>
      </c>
      <c r="P81" s="48" t="s">
        <v>1413</v>
      </c>
      <c r="Q81" s="26">
        <f>ROUND(((19-6)+(20-7))/(19+20)*100,1)</f>
        <v>66.7</v>
      </c>
      <c r="R81" s="43" t="s">
        <v>1904</v>
      </c>
      <c r="S81" s="43">
        <v>2</v>
      </c>
      <c r="T81" s="43">
        <v>40</v>
      </c>
      <c r="U81" s="43">
        <v>2</v>
      </c>
      <c r="V81" s="48">
        <v>19</v>
      </c>
      <c r="W81" s="48">
        <v>20</v>
      </c>
      <c r="X81" s="48" t="s">
        <v>59</v>
      </c>
      <c r="Y81" s="48" t="s">
        <v>59</v>
      </c>
      <c r="Z81" s="22">
        <v>0</v>
      </c>
      <c r="AA81" s="43">
        <v>0</v>
      </c>
      <c r="AB81" s="43" t="s">
        <v>59</v>
      </c>
      <c r="AC81" s="43">
        <v>3</v>
      </c>
      <c r="AD81" s="43">
        <v>3</v>
      </c>
      <c r="AE81" s="43" t="s">
        <v>59</v>
      </c>
      <c r="AF81" s="26" t="s">
        <v>1407</v>
      </c>
      <c r="AG81" s="26" t="s">
        <v>1407</v>
      </c>
      <c r="AN81" s="41" t="s">
        <v>489</v>
      </c>
      <c r="AO81" s="41" t="s">
        <v>489</v>
      </c>
      <c r="AP81" s="41" t="s">
        <v>489</v>
      </c>
      <c r="AQ81" s="41" t="s">
        <v>489</v>
      </c>
    </row>
    <row r="82" spans="1:46">
      <c r="A82" s="172" t="s">
        <v>1905</v>
      </c>
      <c r="B82" s="22">
        <v>6032</v>
      </c>
      <c r="C82" s="22" t="s">
        <v>1906</v>
      </c>
      <c r="D82" s="22" t="s">
        <v>1907</v>
      </c>
      <c r="E82" s="22" t="s">
        <v>1908</v>
      </c>
      <c r="F82" s="22" t="s">
        <v>1909</v>
      </c>
      <c r="G82" s="192" t="s">
        <v>2266</v>
      </c>
      <c r="H82" s="192" t="s">
        <v>2266</v>
      </c>
      <c r="I82" s="192" t="s">
        <v>2266</v>
      </c>
      <c r="J82" s="22" t="s">
        <v>1910</v>
      </c>
      <c r="K82" s="26">
        <v>0</v>
      </c>
      <c r="L82" s="26" t="s">
        <v>59</v>
      </c>
      <c r="M82" s="34">
        <v>2002</v>
      </c>
      <c r="N82" s="22" t="s">
        <v>496</v>
      </c>
      <c r="O82" s="26">
        <f>ROUND((132*56.8+127*57.6)/(132+127), 1)</f>
        <v>57.2</v>
      </c>
      <c r="P82" s="26" t="s">
        <v>1413</v>
      </c>
      <c r="Q82" s="26">
        <f>(54.5+59.1)/2</f>
        <v>56.8</v>
      </c>
      <c r="R82" s="22" t="s">
        <v>1911</v>
      </c>
      <c r="S82" s="22">
        <v>4</v>
      </c>
      <c r="T82" s="22">
        <f>132+127</f>
        <v>259</v>
      </c>
      <c r="U82" s="22">
        <v>2</v>
      </c>
      <c r="V82" s="48">
        <v>127</v>
      </c>
      <c r="W82" s="48">
        <v>132</v>
      </c>
      <c r="X82" s="48" t="s">
        <v>59</v>
      </c>
      <c r="Y82" s="48" t="s">
        <v>59</v>
      </c>
      <c r="Z82" s="22">
        <v>0</v>
      </c>
      <c r="AA82" s="43">
        <v>0</v>
      </c>
      <c r="AB82" s="22" t="s">
        <v>59</v>
      </c>
      <c r="AC82" s="22">
        <v>6</v>
      </c>
      <c r="AD82" s="22">
        <v>6</v>
      </c>
      <c r="AE82" s="22" t="s">
        <v>59</v>
      </c>
      <c r="AF82" s="26" t="s">
        <v>1407</v>
      </c>
      <c r="AG82" s="26" t="s">
        <v>1407</v>
      </c>
      <c r="AN82" s="41" t="s">
        <v>489</v>
      </c>
    </row>
    <row r="83" spans="1:46">
      <c r="A83" s="172" t="s">
        <v>224</v>
      </c>
      <c r="B83" s="22">
        <v>6102</v>
      </c>
      <c r="C83" s="22" t="s">
        <v>1920</v>
      </c>
      <c r="D83" s="22" t="s">
        <v>1921</v>
      </c>
      <c r="E83" s="22" t="s">
        <v>1922</v>
      </c>
      <c r="F83" s="22" t="s">
        <v>1923</v>
      </c>
      <c r="G83" s="192" t="s">
        <v>2266</v>
      </c>
      <c r="H83" s="192" t="s">
        <v>2266</v>
      </c>
      <c r="I83" s="192" t="s">
        <v>2266</v>
      </c>
      <c r="J83" s="43" t="s">
        <v>2265</v>
      </c>
      <c r="K83" s="48">
        <v>0</v>
      </c>
      <c r="L83" s="48" t="s">
        <v>59</v>
      </c>
      <c r="M83" s="34">
        <v>2000</v>
      </c>
      <c r="N83" s="43" t="s">
        <v>496</v>
      </c>
      <c r="O83" s="48">
        <v>61</v>
      </c>
      <c r="P83" s="26">
        <f>ROUND((123*10+123*11)/(123+123), 1)</f>
        <v>10.5</v>
      </c>
      <c r="Q83" s="26">
        <f>ROUND((98+95)/2,1)</f>
        <v>96.5</v>
      </c>
      <c r="R83" s="43" t="s">
        <v>1924</v>
      </c>
      <c r="S83" s="43">
        <v>2</v>
      </c>
      <c r="T83" s="43">
        <v>246</v>
      </c>
      <c r="U83" s="43">
        <v>2</v>
      </c>
      <c r="V83" s="48">
        <v>123</v>
      </c>
      <c r="W83" s="48">
        <v>123</v>
      </c>
      <c r="X83" s="48" t="s">
        <v>59</v>
      </c>
      <c r="Y83" s="48" t="s">
        <v>59</v>
      </c>
      <c r="Z83" s="22">
        <v>0</v>
      </c>
      <c r="AA83" s="22">
        <v>0</v>
      </c>
      <c r="AB83" s="43" t="s">
        <v>59</v>
      </c>
      <c r="AC83" s="43">
        <v>18</v>
      </c>
      <c r="AD83" s="43">
        <v>19</v>
      </c>
      <c r="AE83" s="43" t="s">
        <v>59</v>
      </c>
      <c r="AF83" s="26" t="s">
        <v>1407</v>
      </c>
      <c r="AG83" s="26" t="s">
        <v>1407</v>
      </c>
      <c r="AH83" s="41" t="s">
        <v>1407</v>
      </c>
      <c r="AI83" s="41" t="s">
        <v>1407</v>
      </c>
      <c r="AK83" s="41" t="s">
        <v>1407</v>
      </c>
      <c r="AN83" s="41" t="s">
        <v>1407</v>
      </c>
      <c r="AO83" s="41" t="s">
        <v>1407</v>
      </c>
      <c r="AP83" s="41" t="s">
        <v>1407</v>
      </c>
      <c r="AQ83" s="41" t="s">
        <v>1407</v>
      </c>
    </row>
    <row r="84" spans="1:46">
      <c r="A84" s="172" t="s">
        <v>1925</v>
      </c>
      <c r="B84" s="22">
        <v>6106</v>
      </c>
      <c r="C84" s="22" t="s">
        <v>1926</v>
      </c>
      <c r="D84" s="22" t="s">
        <v>1927</v>
      </c>
      <c r="E84" s="22" t="s">
        <v>1928</v>
      </c>
      <c r="F84" s="22" t="s">
        <v>1929</v>
      </c>
      <c r="G84" s="192" t="s">
        <v>2266</v>
      </c>
      <c r="H84" s="192" t="s">
        <v>2266</v>
      </c>
      <c r="I84" s="192" t="s">
        <v>2266</v>
      </c>
      <c r="J84" s="43" t="s">
        <v>2265</v>
      </c>
      <c r="K84" s="48">
        <v>0</v>
      </c>
      <c r="L84" s="48" t="s">
        <v>59</v>
      </c>
      <c r="M84" s="34">
        <v>2004</v>
      </c>
      <c r="N84" s="43" t="s">
        <v>628</v>
      </c>
      <c r="O84" s="26">
        <f>ROUND((16*44+15*41.8)/(16+15), 1)</f>
        <v>42.9</v>
      </c>
      <c r="P84" s="48" t="s">
        <v>1930</v>
      </c>
      <c r="Q84" s="26">
        <f>((100-68.8)+(100-66.7))/2</f>
        <v>32.25</v>
      </c>
      <c r="R84" s="43" t="s">
        <v>1413</v>
      </c>
      <c r="S84" s="43">
        <v>1</v>
      </c>
      <c r="T84" s="43">
        <v>31</v>
      </c>
      <c r="U84" s="43">
        <v>2</v>
      </c>
      <c r="V84" s="48">
        <v>16</v>
      </c>
      <c r="W84" s="48">
        <v>15</v>
      </c>
      <c r="X84" s="48" t="s">
        <v>59</v>
      </c>
      <c r="Y84" s="48" t="s">
        <v>59</v>
      </c>
      <c r="Z84" s="22">
        <v>0</v>
      </c>
      <c r="AA84" s="22">
        <v>0</v>
      </c>
      <c r="AB84" s="43" t="s">
        <v>59</v>
      </c>
      <c r="AC84" s="43">
        <v>6</v>
      </c>
      <c r="AD84" s="43">
        <v>6</v>
      </c>
      <c r="AE84" s="43" t="s">
        <v>59</v>
      </c>
      <c r="AF84" s="26" t="s">
        <v>1407</v>
      </c>
      <c r="AG84" s="26" t="s">
        <v>1407</v>
      </c>
      <c r="AN84" s="41" t="s">
        <v>489</v>
      </c>
      <c r="AT84" s="41" t="s">
        <v>489</v>
      </c>
    </row>
    <row r="85" spans="1:46">
      <c r="A85" s="28" t="s">
        <v>123</v>
      </c>
      <c r="B85" s="22">
        <v>6136</v>
      </c>
      <c r="C85" s="22" t="s">
        <v>1931</v>
      </c>
      <c r="D85" s="22" t="s">
        <v>1932</v>
      </c>
      <c r="E85" s="22" t="s">
        <v>1933</v>
      </c>
      <c r="F85" s="22" t="s">
        <v>1733</v>
      </c>
      <c r="G85" s="192" t="s">
        <v>2266</v>
      </c>
      <c r="H85" s="192" t="s">
        <v>2266</v>
      </c>
      <c r="I85" s="192" t="s">
        <v>2266</v>
      </c>
      <c r="J85" s="22" t="s">
        <v>485</v>
      </c>
      <c r="K85" s="48">
        <v>30</v>
      </c>
      <c r="L85" s="26">
        <v>50</v>
      </c>
      <c r="M85" s="49">
        <v>2001</v>
      </c>
      <c r="N85" s="43" t="s">
        <v>1115</v>
      </c>
      <c r="O85" s="26">
        <f>ROUND((96*64.7+87*65.6)/(96+87), 1)</f>
        <v>65.099999999999994</v>
      </c>
      <c r="P85" s="26">
        <f>ROUND((96*12.3+87*10.8)/(96+87), 1)</f>
        <v>11.6</v>
      </c>
      <c r="Q85" s="26">
        <f>ROUND((54+57)/2,1)</f>
        <v>55.5</v>
      </c>
      <c r="R85" s="43" t="s">
        <v>1934</v>
      </c>
      <c r="S85" s="43">
        <v>2</v>
      </c>
      <c r="T85" s="43">
        <v>183</v>
      </c>
      <c r="U85" s="43">
        <v>2</v>
      </c>
      <c r="V85" s="48">
        <v>87</v>
      </c>
      <c r="W85" s="48">
        <v>96</v>
      </c>
      <c r="X85" s="48" t="s">
        <v>59</v>
      </c>
      <c r="Y85" s="48" t="s">
        <v>59</v>
      </c>
      <c r="Z85" s="22">
        <v>0</v>
      </c>
      <c r="AA85" s="22">
        <v>0</v>
      </c>
      <c r="AB85" s="22">
        <v>0</v>
      </c>
      <c r="AC85" s="43">
        <v>18</v>
      </c>
      <c r="AD85" s="43">
        <v>18</v>
      </c>
      <c r="AE85" s="43" t="s">
        <v>1935</v>
      </c>
      <c r="AF85" s="26" t="s">
        <v>1407</v>
      </c>
      <c r="AG85" s="26" t="s">
        <v>1407</v>
      </c>
      <c r="AH85" s="41" t="s">
        <v>1407</v>
      </c>
      <c r="AI85" s="41" t="s">
        <v>1407</v>
      </c>
      <c r="AK85" s="194" t="s">
        <v>489</v>
      </c>
      <c r="AL85" s="41" t="s">
        <v>1407</v>
      </c>
      <c r="AM85" s="194" t="s">
        <v>489</v>
      </c>
      <c r="AN85" s="41" t="s">
        <v>1407</v>
      </c>
      <c r="AO85" s="41" t="s">
        <v>1407</v>
      </c>
      <c r="AP85" s="41" t="s">
        <v>1407</v>
      </c>
    </row>
    <row r="86" spans="1:46">
      <c r="A86" s="172" t="s">
        <v>226</v>
      </c>
      <c r="B86" s="22">
        <v>6140</v>
      </c>
      <c r="C86" s="22" t="s">
        <v>1936</v>
      </c>
      <c r="D86" s="22" t="s">
        <v>1937</v>
      </c>
      <c r="E86" s="22" t="s">
        <v>1090</v>
      </c>
      <c r="F86" s="22" t="s">
        <v>1091</v>
      </c>
      <c r="G86" s="192" t="s">
        <v>2266</v>
      </c>
      <c r="H86" s="192" t="s">
        <v>2266</v>
      </c>
      <c r="I86" s="192" t="s">
        <v>2266</v>
      </c>
      <c r="J86" s="43" t="s">
        <v>2265</v>
      </c>
      <c r="K86" s="48">
        <v>0</v>
      </c>
      <c r="L86" s="48" t="s">
        <v>59</v>
      </c>
      <c r="M86" s="49">
        <v>2001</v>
      </c>
      <c r="N86" s="43" t="s">
        <v>1093</v>
      </c>
      <c r="O86" s="26">
        <f>ROUND((55*54.7+55*53.5)/(55+55), 1)</f>
        <v>54.1</v>
      </c>
      <c r="P86" s="26">
        <f>ROUND((55*9.4+55*8.8)/(55+55), 1)</f>
        <v>9.1</v>
      </c>
      <c r="Q86" s="26">
        <f>ROUND((32+35)/(55+55)*100,1)</f>
        <v>60.9</v>
      </c>
      <c r="R86" s="43" t="s">
        <v>1938</v>
      </c>
      <c r="S86" s="43">
        <v>2</v>
      </c>
      <c r="T86" s="43">
        <v>110</v>
      </c>
      <c r="U86" s="43">
        <v>2</v>
      </c>
      <c r="V86" s="48">
        <v>55</v>
      </c>
      <c r="W86" s="48">
        <v>55</v>
      </c>
      <c r="X86" s="48" t="s">
        <v>59</v>
      </c>
      <c r="Y86" s="48" t="s">
        <v>59</v>
      </c>
      <c r="Z86" s="22">
        <v>0</v>
      </c>
      <c r="AA86" s="22">
        <v>0</v>
      </c>
      <c r="AB86" s="43" t="s">
        <v>59</v>
      </c>
      <c r="AC86" s="43">
        <v>3</v>
      </c>
      <c r="AD86" s="43">
        <v>3</v>
      </c>
      <c r="AE86" s="43" t="s">
        <v>59</v>
      </c>
      <c r="AF86" s="26" t="s">
        <v>1407</v>
      </c>
      <c r="AG86" s="26" t="s">
        <v>1407</v>
      </c>
      <c r="AN86" s="41" t="s">
        <v>489</v>
      </c>
    </row>
    <row r="87" spans="1:46">
      <c r="A87" s="172" t="s">
        <v>227</v>
      </c>
      <c r="B87" s="22">
        <v>6152</v>
      </c>
      <c r="C87" s="22" t="s">
        <v>1939</v>
      </c>
      <c r="D87" s="22" t="s">
        <v>1940</v>
      </c>
      <c r="E87" s="22" t="s">
        <v>1941</v>
      </c>
      <c r="F87" s="22" t="s">
        <v>1942</v>
      </c>
      <c r="G87" s="192" t="s">
        <v>2266</v>
      </c>
      <c r="H87" s="192" t="s">
        <v>2266</v>
      </c>
      <c r="I87" s="192" t="s">
        <v>2266</v>
      </c>
      <c r="J87" s="43" t="s">
        <v>2265</v>
      </c>
      <c r="K87" s="48">
        <v>0</v>
      </c>
      <c r="L87" s="48" t="s">
        <v>59</v>
      </c>
      <c r="M87" s="49">
        <v>1999</v>
      </c>
      <c r="N87" s="43" t="s">
        <v>496</v>
      </c>
      <c r="O87" s="26">
        <f>ROUND((186*57+172*56.9)/(186+172), 1)</f>
        <v>57</v>
      </c>
      <c r="P87" s="26">
        <f>ROUND((186*0.9+172*1)/(186+172), 1)</f>
        <v>0.9</v>
      </c>
      <c r="Q87" s="26">
        <f>((100-72.6)+(100-70.9))/2</f>
        <v>28.25</v>
      </c>
      <c r="R87" s="43" t="s">
        <v>1943</v>
      </c>
      <c r="S87" s="43">
        <v>2</v>
      </c>
      <c r="T87" s="43">
        <v>358</v>
      </c>
      <c r="U87" s="43">
        <v>2</v>
      </c>
      <c r="V87" s="48">
        <v>172</v>
      </c>
      <c r="W87" s="48">
        <v>186</v>
      </c>
      <c r="X87" s="48" t="s">
        <v>59</v>
      </c>
      <c r="Y87" s="48" t="s">
        <v>59</v>
      </c>
      <c r="Z87" s="22">
        <v>0</v>
      </c>
      <c r="AA87" s="22">
        <v>0</v>
      </c>
      <c r="AB87" s="43" t="s">
        <v>59</v>
      </c>
      <c r="AC87" s="43">
        <v>12</v>
      </c>
      <c r="AD87" s="43">
        <v>25.3</v>
      </c>
      <c r="AE87" s="43" t="s">
        <v>59</v>
      </c>
      <c r="AF87" s="26" t="s">
        <v>1407</v>
      </c>
      <c r="AG87" s="26" t="s">
        <v>1407</v>
      </c>
      <c r="AN87" s="41" t="s">
        <v>489</v>
      </c>
      <c r="AO87" s="41" t="s">
        <v>489</v>
      </c>
      <c r="AP87" s="41" t="s">
        <v>489</v>
      </c>
      <c r="AQ87" s="41" t="s">
        <v>489</v>
      </c>
      <c r="AT87" s="41" t="s">
        <v>489</v>
      </c>
    </row>
    <row r="88" spans="1:46">
      <c r="A88" s="172" t="s">
        <v>228</v>
      </c>
      <c r="B88" s="22">
        <v>6191</v>
      </c>
      <c r="C88" s="22" t="s">
        <v>1951</v>
      </c>
      <c r="D88" s="22" t="s">
        <v>1952</v>
      </c>
      <c r="E88" s="22" t="s">
        <v>1953</v>
      </c>
      <c r="F88" s="22" t="s">
        <v>1954</v>
      </c>
      <c r="G88" s="192" t="s">
        <v>2266</v>
      </c>
      <c r="H88" s="192" t="s">
        <v>2266</v>
      </c>
      <c r="I88" s="192" t="s">
        <v>2266</v>
      </c>
      <c r="J88" s="43" t="s">
        <v>2265</v>
      </c>
      <c r="K88" s="48">
        <v>0</v>
      </c>
      <c r="L88" s="48" t="s">
        <v>59</v>
      </c>
      <c r="M88" s="34">
        <v>2003</v>
      </c>
      <c r="N88" s="22" t="s">
        <v>496</v>
      </c>
      <c r="O88" s="26">
        <v>50.9</v>
      </c>
      <c r="P88" s="26">
        <v>15.6</v>
      </c>
      <c r="Q88" s="26">
        <v>53.9</v>
      </c>
      <c r="R88" s="22" t="s">
        <v>1955</v>
      </c>
      <c r="S88" s="22">
        <v>3</v>
      </c>
      <c r="T88" s="22">
        <v>196</v>
      </c>
      <c r="U88" s="22">
        <v>2</v>
      </c>
      <c r="V88" s="48">
        <v>98</v>
      </c>
      <c r="W88" s="48">
        <v>97</v>
      </c>
      <c r="X88" s="48" t="s">
        <v>59</v>
      </c>
      <c r="Y88" s="48" t="s">
        <v>59</v>
      </c>
      <c r="Z88" s="22">
        <v>0</v>
      </c>
      <c r="AA88" s="22">
        <v>0</v>
      </c>
      <c r="AB88" s="22" t="s">
        <v>59</v>
      </c>
      <c r="AC88" s="22">
        <v>12</v>
      </c>
      <c r="AD88" s="22">
        <v>6</v>
      </c>
      <c r="AE88" s="22" t="s">
        <v>59</v>
      </c>
      <c r="AF88" s="26" t="s">
        <v>1407</v>
      </c>
      <c r="AG88" s="26" t="s">
        <v>1407</v>
      </c>
      <c r="AN88" s="41" t="s">
        <v>489</v>
      </c>
    </row>
    <row r="89" spans="1:46">
      <c r="A89" s="172" t="s">
        <v>230</v>
      </c>
      <c r="B89" s="22">
        <v>6241</v>
      </c>
      <c r="C89" s="22" t="s">
        <v>1968</v>
      </c>
      <c r="D89" s="22" t="s">
        <v>1969</v>
      </c>
      <c r="E89" s="22" t="s">
        <v>1970</v>
      </c>
      <c r="F89" s="22" t="s">
        <v>1971</v>
      </c>
      <c r="G89" s="192" t="s">
        <v>2266</v>
      </c>
      <c r="H89" s="192" t="s">
        <v>2266</v>
      </c>
      <c r="I89" s="192" t="s">
        <v>2266</v>
      </c>
      <c r="J89" s="43" t="s">
        <v>2265</v>
      </c>
      <c r="K89" s="48">
        <v>0</v>
      </c>
      <c r="L89" s="48" t="s">
        <v>59</v>
      </c>
      <c r="M89" s="49">
        <v>1998</v>
      </c>
      <c r="N89" s="43" t="s">
        <v>496</v>
      </c>
      <c r="O89" s="26">
        <f>ROUND((79*60.5+78*60.6)/(79+78), 1)</f>
        <v>60.5</v>
      </c>
      <c r="P89" s="26">
        <f>ROUND((79*8.5+78*9.6)/(79+78), 1)</f>
        <v>9</v>
      </c>
      <c r="Q89" s="26">
        <f>((100-54)+(100-64))/2</f>
        <v>41</v>
      </c>
      <c r="R89" s="43" t="s">
        <v>1972</v>
      </c>
      <c r="S89" s="43">
        <v>2</v>
      </c>
      <c r="T89" s="43">
        <f>78+79</f>
        <v>157</v>
      </c>
      <c r="U89" s="43">
        <v>2</v>
      </c>
      <c r="V89" s="48">
        <v>78</v>
      </c>
      <c r="W89" s="48">
        <v>79</v>
      </c>
      <c r="X89" s="48" t="s">
        <v>59</v>
      </c>
      <c r="Y89" s="48" t="s">
        <v>59</v>
      </c>
      <c r="Z89" s="22">
        <v>0</v>
      </c>
      <c r="AA89" s="43">
        <v>0</v>
      </c>
      <c r="AB89" s="43" t="s">
        <v>59</v>
      </c>
      <c r="AC89" s="43">
        <v>12</v>
      </c>
      <c r="AD89" s="43">
        <v>24</v>
      </c>
      <c r="AE89" s="43" t="s">
        <v>59</v>
      </c>
      <c r="AF89" s="26" t="s">
        <v>1407</v>
      </c>
      <c r="AG89" s="26" t="s">
        <v>1407</v>
      </c>
      <c r="AK89" s="41" t="s">
        <v>489</v>
      </c>
      <c r="AL89" s="41" t="s">
        <v>489</v>
      </c>
      <c r="AN89" s="41" t="s">
        <v>489</v>
      </c>
      <c r="AR89" s="41" t="s">
        <v>489</v>
      </c>
    </row>
    <row r="90" spans="1:46">
      <c r="A90" s="172" t="s">
        <v>1973</v>
      </c>
      <c r="B90" s="193">
        <v>6253</v>
      </c>
      <c r="C90" s="22" t="s">
        <v>1974</v>
      </c>
      <c r="D90" s="22" t="s">
        <v>1975</v>
      </c>
      <c r="E90" s="22" t="s">
        <v>1976</v>
      </c>
      <c r="F90" s="22" t="s">
        <v>1977</v>
      </c>
      <c r="G90" s="192" t="s">
        <v>2266</v>
      </c>
      <c r="H90" s="192" t="s">
        <v>2266</v>
      </c>
      <c r="I90" s="192" t="s">
        <v>2266</v>
      </c>
      <c r="J90" s="43" t="s">
        <v>2265</v>
      </c>
      <c r="K90" s="26">
        <v>0</v>
      </c>
      <c r="L90" s="26" t="s">
        <v>1434</v>
      </c>
      <c r="M90" s="34">
        <v>1996</v>
      </c>
      <c r="N90" s="22" t="s">
        <v>496</v>
      </c>
      <c r="O90" s="26">
        <v>59</v>
      </c>
      <c r="P90" s="26">
        <v>9</v>
      </c>
      <c r="Q90" s="26">
        <f>100-77</f>
        <v>23</v>
      </c>
      <c r="R90" s="22" t="s">
        <v>1978</v>
      </c>
      <c r="S90" s="22">
        <v>2</v>
      </c>
      <c r="T90" s="22">
        <v>186</v>
      </c>
      <c r="U90" s="193">
        <v>4</v>
      </c>
      <c r="V90" s="48">
        <v>34</v>
      </c>
      <c r="W90" s="48">
        <v>38</v>
      </c>
      <c r="X90" s="48">
        <v>41</v>
      </c>
      <c r="Y90" s="48">
        <v>36</v>
      </c>
      <c r="Z90" s="22">
        <v>0</v>
      </c>
      <c r="AA90" s="22">
        <v>1</v>
      </c>
      <c r="AB90" s="22" t="s">
        <v>59</v>
      </c>
      <c r="AC90" s="22">
        <v>24</v>
      </c>
      <c r="AD90" s="22">
        <v>24</v>
      </c>
      <c r="AE90" s="22" t="s">
        <v>59</v>
      </c>
      <c r="AF90" s="26" t="s">
        <v>1407</v>
      </c>
      <c r="AG90" s="26" t="s">
        <v>1407</v>
      </c>
      <c r="AN90" s="41" t="s">
        <v>489</v>
      </c>
      <c r="AO90" s="41" t="s">
        <v>1407</v>
      </c>
      <c r="AP90" s="41" t="s">
        <v>1407</v>
      </c>
      <c r="AQ90" s="41" t="s">
        <v>1407</v>
      </c>
    </row>
    <row r="91" spans="1:46">
      <c r="A91" s="172" t="s">
        <v>234</v>
      </c>
      <c r="B91" s="22">
        <v>6287</v>
      </c>
      <c r="C91" s="22" t="s">
        <v>1979</v>
      </c>
      <c r="D91" s="22" t="s">
        <v>1980</v>
      </c>
      <c r="E91" s="22" t="s">
        <v>1981</v>
      </c>
      <c r="F91" s="22" t="s">
        <v>1982</v>
      </c>
      <c r="G91" s="192" t="s">
        <v>2266</v>
      </c>
      <c r="H91" s="192" t="s">
        <v>2266</v>
      </c>
      <c r="I91" s="192" t="s">
        <v>2266</v>
      </c>
      <c r="J91" s="43" t="s">
        <v>2265</v>
      </c>
      <c r="K91" s="48">
        <v>0</v>
      </c>
      <c r="L91" s="48" t="s">
        <v>59</v>
      </c>
      <c r="M91" s="49">
        <v>2000</v>
      </c>
      <c r="N91" s="43" t="s">
        <v>496</v>
      </c>
      <c r="O91" s="48">
        <f>ROUND((54.8*85+55.5*84)/(85+84), 1)</f>
        <v>55.1</v>
      </c>
      <c r="P91" s="26">
        <v>10.199999999999999</v>
      </c>
      <c r="Q91" s="26">
        <f>ROUND((0.553*85+0.5*84)/(85+84), 2)*100</f>
        <v>53</v>
      </c>
      <c r="R91" s="22" t="s">
        <v>1983</v>
      </c>
      <c r="S91" s="22">
        <v>3</v>
      </c>
      <c r="T91" s="22">
        <v>169</v>
      </c>
      <c r="U91" s="22">
        <v>2</v>
      </c>
      <c r="V91" s="48">
        <v>85</v>
      </c>
      <c r="W91" s="48">
        <v>84</v>
      </c>
      <c r="X91" s="48" t="s">
        <v>59</v>
      </c>
      <c r="Y91" s="48" t="s">
        <v>59</v>
      </c>
      <c r="Z91" s="43">
        <v>0</v>
      </c>
      <c r="AA91" s="43">
        <v>0</v>
      </c>
      <c r="AB91" s="43">
        <v>0</v>
      </c>
      <c r="AC91" s="22">
        <v>12</v>
      </c>
      <c r="AD91" s="22">
        <v>12</v>
      </c>
      <c r="AE91" s="22" t="s">
        <v>1984</v>
      </c>
      <c r="AF91" s="26" t="s">
        <v>1407</v>
      </c>
      <c r="AG91" s="26" t="s">
        <v>1407</v>
      </c>
      <c r="AK91" s="41" t="s">
        <v>489</v>
      </c>
      <c r="AL91" s="41" t="s">
        <v>489</v>
      </c>
      <c r="AN91" s="41" t="s">
        <v>489</v>
      </c>
      <c r="AO91" s="41" t="s">
        <v>489</v>
      </c>
      <c r="AP91" s="41" t="s">
        <v>489</v>
      </c>
      <c r="AQ91" s="41" t="s">
        <v>489</v>
      </c>
      <c r="AR91" s="41" t="s">
        <v>489</v>
      </c>
    </row>
    <row r="92" spans="1:46">
      <c r="A92" s="172" t="s">
        <v>235</v>
      </c>
      <c r="B92" s="22">
        <v>6366</v>
      </c>
      <c r="C92" s="22" t="s">
        <v>1999</v>
      </c>
      <c r="D92" s="22" t="s">
        <v>2000</v>
      </c>
      <c r="E92" s="22" t="s">
        <v>2001</v>
      </c>
      <c r="F92" s="22" t="s">
        <v>990</v>
      </c>
      <c r="G92" s="192" t="s">
        <v>2266</v>
      </c>
      <c r="H92" s="192" t="s">
        <v>2266</v>
      </c>
      <c r="I92" s="192" t="s">
        <v>2266</v>
      </c>
      <c r="J92" s="43" t="s">
        <v>2265</v>
      </c>
      <c r="K92" s="48">
        <v>0</v>
      </c>
      <c r="L92" s="48" t="s">
        <v>59</v>
      </c>
      <c r="M92" s="49">
        <v>2002</v>
      </c>
      <c r="N92" s="43" t="s">
        <v>652</v>
      </c>
      <c r="O92" s="26">
        <f>ROUND((92*70.5+88*70.3)/(92+88), 1)</f>
        <v>70.400000000000006</v>
      </c>
      <c r="P92" s="26">
        <f>ROUND((92*7.1+88*8.3)/(92+88), 1)</f>
        <v>7.7</v>
      </c>
      <c r="Q92" s="26">
        <f>ROUND((47.8+56.8)/2,1)</f>
        <v>52.3</v>
      </c>
      <c r="R92" s="43" t="s">
        <v>2002</v>
      </c>
      <c r="S92" s="43">
        <v>2</v>
      </c>
      <c r="T92" s="43">
        <v>198</v>
      </c>
      <c r="U92" s="43">
        <v>2</v>
      </c>
      <c r="V92" s="48">
        <v>99</v>
      </c>
      <c r="W92" s="48">
        <v>99</v>
      </c>
      <c r="X92" s="48" t="s">
        <v>59</v>
      </c>
      <c r="Y92" s="48" t="s">
        <v>59</v>
      </c>
      <c r="Z92" s="43">
        <v>0</v>
      </c>
      <c r="AA92" s="43">
        <v>0</v>
      </c>
      <c r="AB92" s="43" t="s">
        <v>59</v>
      </c>
      <c r="AC92" s="43">
        <v>12</v>
      </c>
      <c r="AD92" s="43">
        <v>12</v>
      </c>
      <c r="AE92" s="43" t="s">
        <v>59</v>
      </c>
      <c r="AF92" s="26" t="s">
        <v>1407</v>
      </c>
      <c r="AG92" s="26" t="s">
        <v>1407</v>
      </c>
      <c r="AI92" s="41" t="s">
        <v>489</v>
      </c>
      <c r="AJ92" s="41" t="s">
        <v>489</v>
      </c>
      <c r="AN92" s="41" t="s">
        <v>489</v>
      </c>
      <c r="AO92" s="41" t="s">
        <v>489</v>
      </c>
      <c r="AP92" s="41" t="s">
        <v>489</v>
      </c>
    </row>
    <row r="93" spans="1:46">
      <c r="A93" s="172" t="s">
        <v>238</v>
      </c>
      <c r="B93" s="22">
        <v>6407</v>
      </c>
      <c r="C93" s="22" t="s">
        <v>2003</v>
      </c>
      <c r="D93" s="22" t="s">
        <v>2004</v>
      </c>
      <c r="E93" s="22" t="s">
        <v>2005</v>
      </c>
      <c r="F93" s="22" t="s">
        <v>2006</v>
      </c>
      <c r="G93" s="192" t="s">
        <v>2266</v>
      </c>
      <c r="H93" s="192" t="s">
        <v>2266</v>
      </c>
      <c r="I93" s="192" t="s">
        <v>2266</v>
      </c>
      <c r="J93" s="43" t="s">
        <v>2265</v>
      </c>
      <c r="K93" s="48">
        <v>0</v>
      </c>
      <c r="L93" s="48" t="s">
        <v>59</v>
      </c>
      <c r="M93" s="49">
        <v>2004</v>
      </c>
      <c r="N93" s="43" t="s">
        <v>694</v>
      </c>
      <c r="O93" s="26">
        <f>ROUND((56*62.4+56*64.9)/(56+56), 1)</f>
        <v>63.7</v>
      </c>
      <c r="P93" s="26">
        <f>ROUND((56*10.5+56*10.9)/(56+56), 1)</f>
        <v>10.7</v>
      </c>
      <c r="Q93" s="26">
        <f>ROUND((24+24)/(56+56)*100,1)</f>
        <v>42.9</v>
      </c>
      <c r="R93" s="43" t="s">
        <v>2007</v>
      </c>
      <c r="S93" s="43">
        <v>2</v>
      </c>
      <c r="T93" s="43">
        <v>114</v>
      </c>
      <c r="U93" s="43">
        <v>2</v>
      </c>
      <c r="V93" s="48">
        <v>56</v>
      </c>
      <c r="W93" s="48">
        <v>58</v>
      </c>
      <c r="X93" s="48" t="s">
        <v>59</v>
      </c>
      <c r="Y93" s="48" t="s">
        <v>59</v>
      </c>
      <c r="Z93" s="43">
        <v>0</v>
      </c>
      <c r="AA93" s="43">
        <v>0</v>
      </c>
      <c r="AB93" s="43" t="s">
        <v>59</v>
      </c>
      <c r="AC93" s="43">
        <v>13</v>
      </c>
      <c r="AD93" s="43">
        <v>13</v>
      </c>
      <c r="AE93" s="43" t="s">
        <v>59</v>
      </c>
      <c r="AF93" s="26" t="s">
        <v>1407</v>
      </c>
      <c r="AG93" s="26" t="s">
        <v>1407</v>
      </c>
      <c r="AN93" s="41" t="s">
        <v>489</v>
      </c>
      <c r="AO93" s="41" t="s">
        <v>489</v>
      </c>
      <c r="AP93" s="41" t="s">
        <v>489</v>
      </c>
      <c r="AQ93" s="41" t="s">
        <v>489</v>
      </c>
    </row>
    <row r="94" spans="1:46">
      <c r="A94" s="172" t="s">
        <v>239</v>
      </c>
      <c r="B94" s="22">
        <v>6459</v>
      </c>
      <c r="C94" s="22" t="s">
        <v>2008</v>
      </c>
      <c r="D94" s="22" t="s">
        <v>2009</v>
      </c>
      <c r="E94" s="22" t="s">
        <v>2010</v>
      </c>
      <c r="F94" s="22" t="s">
        <v>2011</v>
      </c>
      <c r="G94" s="192" t="s">
        <v>2266</v>
      </c>
      <c r="H94" s="192" t="s">
        <v>2266</v>
      </c>
      <c r="I94" s="192" t="s">
        <v>2266</v>
      </c>
      <c r="J94" s="43" t="s">
        <v>2265</v>
      </c>
      <c r="K94" s="48">
        <v>0</v>
      </c>
      <c r="L94" s="48" t="s">
        <v>59</v>
      </c>
      <c r="M94" s="49">
        <v>2006</v>
      </c>
      <c r="N94" s="43" t="s">
        <v>1142</v>
      </c>
      <c r="O94" s="48">
        <v>59</v>
      </c>
      <c r="P94" s="48">
        <v>10</v>
      </c>
      <c r="Q94" s="26">
        <f>ROUND((120-31)/(120)*100,1)</f>
        <v>74.2</v>
      </c>
      <c r="R94" s="43" t="s">
        <v>2012</v>
      </c>
      <c r="S94" s="43">
        <v>2</v>
      </c>
      <c r="T94" s="43">
        <v>120</v>
      </c>
      <c r="U94" s="43">
        <v>2</v>
      </c>
      <c r="V94" s="48">
        <v>60</v>
      </c>
      <c r="W94" s="48">
        <v>60</v>
      </c>
      <c r="X94" s="48" t="s">
        <v>59</v>
      </c>
      <c r="Y94" s="48" t="s">
        <v>59</v>
      </c>
      <c r="Z94" s="43">
        <v>0</v>
      </c>
      <c r="AA94" s="43">
        <v>0</v>
      </c>
      <c r="AB94" s="43" t="s">
        <v>59</v>
      </c>
      <c r="AC94" s="43">
        <v>24</v>
      </c>
      <c r="AD94" s="43">
        <v>24</v>
      </c>
      <c r="AE94" s="43" t="s">
        <v>59</v>
      </c>
      <c r="AF94" s="26" t="s">
        <v>1407</v>
      </c>
      <c r="AG94" s="26" t="s">
        <v>1407</v>
      </c>
      <c r="AI94" s="41" t="s">
        <v>489</v>
      </c>
      <c r="AJ94" s="41" t="s">
        <v>489</v>
      </c>
      <c r="AN94" s="41" t="s">
        <v>489</v>
      </c>
      <c r="AO94" s="41" t="s">
        <v>489</v>
      </c>
      <c r="AP94" s="41" t="s">
        <v>489</v>
      </c>
      <c r="AQ94" s="41" t="s">
        <v>489</v>
      </c>
      <c r="AS94" s="41" t="s">
        <v>489</v>
      </c>
    </row>
    <row r="95" spans="1:46">
      <c r="A95" s="28" t="s">
        <v>124</v>
      </c>
      <c r="B95" s="22">
        <v>6485</v>
      </c>
      <c r="C95" s="22" t="s">
        <v>2013</v>
      </c>
      <c r="D95" s="22" t="s">
        <v>2014</v>
      </c>
      <c r="E95" s="22" t="s">
        <v>2015</v>
      </c>
      <c r="F95" s="22" t="s">
        <v>2016</v>
      </c>
      <c r="G95" s="192" t="s">
        <v>2266</v>
      </c>
      <c r="H95" s="192" t="s">
        <v>2266</v>
      </c>
      <c r="I95" s="192" t="s">
        <v>2266</v>
      </c>
      <c r="J95" s="22" t="s">
        <v>485</v>
      </c>
      <c r="K95" s="48">
        <v>56</v>
      </c>
      <c r="L95" s="48" t="s">
        <v>1413</v>
      </c>
      <c r="M95" s="34">
        <v>2007</v>
      </c>
      <c r="N95" s="43" t="s">
        <v>652</v>
      </c>
      <c r="O95" s="48">
        <v>62</v>
      </c>
      <c r="P95" s="48">
        <v>11</v>
      </c>
      <c r="Q95" s="48">
        <v>51</v>
      </c>
      <c r="R95" s="43" t="s">
        <v>2017</v>
      </c>
      <c r="S95" s="43">
        <v>2</v>
      </c>
      <c r="T95" s="43">
        <v>335</v>
      </c>
      <c r="U95" s="43">
        <v>2</v>
      </c>
      <c r="V95" s="48">
        <v>159</v>
      </c>
      <c r="W95" s="48">
        <v>176</v>
      </c>
      <c r="X95" s="48" t="s">
        <v>59</v>
      </c>
      <c r="Y95" s="48" t="s">
        <v>59</v>
      </c>
      <c r="Z95" s="43">
        <v>0</v>
      </c>
      <c r="AA95" s="43">
        <v>0</v>
      </c>
      <c r="AB95" s="43">
        <v>0</v>
      </c>
      <c r="AC95" s="43">
        <v>6</v>
      </c>
      <c r="AD95" s="43">
        <v>6</v>
      </c>
      <c r="AE95" s="43" t="s">
        <v>1413</v>
      </c>
      <c r="AF95" s="26" t="s">
        <v>1407</v>
      </c>
      <c r="AG95" s="26" t="s">
        <v>1407</v>
      </c>
      <c r="AN95" s="41" t="s">
        <v>489</v>
      </c>
      <c r="AO95" s="41" t="s">
        <v>489</v>
      </c>
      <c r="AP95" s="41" t="s">
        <v>489</v>
      </c>
    </row>
    <row r="96" spans="1:46">
      <c r="A96" s="28" t="s">
        <v>125</v>
      </c>
      <c r="B96" s="22">
        <v>6534</v>
      </c>
      <c r="C96" s="22" t="s">
        <v>2029</v>
      </c>
      <c r="D96" s="22" t="s">
        <v>2030</v>
      </c>
      <c r="E96" s="22" t="s">
        <v>2031</v>
      </c>
      <c r="F96" s="22" t="s">
        <v>2032</v>
      </c>
      <c r="G96" s="192" t="s">
        <v>2266</v>
      </c>
      <c r="H96" s="192" t="s">
        <v>2266</v>
      </c>
      <c r="I96" s="192" t="s">
        <v>2266</v>
      </c>
      <c r="J96" s="22" t="s">
        <v>485</v>
      </c>
      <c r="K96" s="48">
        <v>6</v>
      </c>
      <c r="L96" s="48" t="s">
        <v>1413</v>
      </c>
      <c r="M96" s="49">
        <v>2001</v>
      </c>
      <c r="N96" s="43" t="s">
        <v>1491</v>
      </c>
      <c r="O96" s="48">
        <v>58.9</v>
      </c>
      <c r="P96" s="48">
        <v>11.7</v>
      </c>
      <c r="Q96" s="48">
        <v>51</v>
      </c>
      <c r="R96" s="43" t="s">
        <v>2033</v>
      </c>
      <c r="S96" s="43">
        <v>2</v>
      </c>
      <c r="T96" s="43">
        <v>361</v>
      </c>
      <c r="U96" s="43">
        <v>2</v>
      </c>
      <c r="V96" s="48">
        <v>181</v>
      </c>
      <c r="W96" s="48">
        <v>180</v>
      </c>
      <c r="X96" s="48" t="s">
        <v>59</v>
      </c>
      <c r="Y96" s="48" t="s">
        <v>59</v>
      </c>
      <c r="Z96" s="43">
        <v>0</v>
      </c>
      <c r="AA96" s="43">
        <v>0</v>
      </c>
      <c r="AB96" s="43">
        <v>0</v>
      </c>
      <c r="AC96" s="43">
        <v>12</v>
      </c>
      <c r="AD96" s="43">
        <v>12</v>
      </c>
      <c r="AE96" s="43" t="s">
        <v>2034</v>
      </c>
      <c r="AF96" s="26" t="s">
        <v>1407</v>
      </c>
      <c r="AG96" s="26" t="s">
        <v>1407</v>
      </c>
      <c r="AN96" s="41" t="s">
        <v>489</v>
      </c>
      <c r="AO96" s="41" t="s">
        <v>489</v>
      </c>
      <c r="AP96" s="41" t="s">
        <v>489</v>
      </c>
    </row>
    <row r="97" spans="1:46">
      <c r="A97" s="172" t="s">
        <v>240</v>
      </c>
      <c r="B97" s="22">
        <v>6559</v>
      </c>
      <c r="C97" s="22" t="s">
        <v>2042</v>
      </c>
      <c r="D97" s="22" t="s">
        <v>2043</v>
      </c>
      <c r="E97" s="22" t="s">
        <v>525</v>
      </c>
      <c r="F97" s="22" t="s">
        <v>526</v>
      </c>
      <c r="G97" s="192" t="s">
        <v>2266</v>
      </c>
      <c r="H97" s="192" t="s">
        <v>2266</v>
      </c>
      <c r="I97" s="192" t="s">
        <v>2266</v>
      </c>
      <c r="J97" s="43" t="s">
        <v>2265</v>
      </c>
      <c r="K97" s="48">
        <v>0</v>
      </c>
      <c r="L97" s="48" t="s">
        <v>59</v>
      </c>
      <c r="M97" s="49">
        <v>2006</v>
      </c>
      <c r="N97" s="43" t="s">
        <v>496</v>
      </c>
      <c r="O97" s="48">
        <v>51.04</v>
      </c>
      <c r="P97" s="48">
        <v>11.03</v>
      </c>
      <c r="Q97" s="48">
        <f>100-65</f>
        <v>35</v>
      </c>
      <c r="R97" s="43" t="s">
        <v>2044</v>
      </c>
      <c r="S97" s="43">
        <v>2</v>
      </c>
      <c r="T97" s="43">
        <v>30</v>
      </c>
      <c r="U97" s="43">
        <v>2</v>
      </c>
      <c r="V97" s="48">
        <v>15</v>
      </c>
      <c r="W97" s="48">
        <v>15</v>
      </c>
      <c r="X97" s="48" t="s">
        <v>59</v>
      </c>
      <c r="Y97" s="48" t="s">
        <v>59</v>
      </c>
      <c r="Z97" s="43">
        <v>0</v>
      </c>
      <c r="AA97" s="43">
        <v>0</v>
      </c>
      <c r="AB97" s="43" t="s">
        <v>59</v>
      </c>
      <c r="AC97" s="43">
        <v>3</v>
      </c>
      <c r="AD97" s="43">
        <v>3</v>
      </c>
      <c r="AE97" s="43" t="s">
        <v>59</v>
      </c>
      <c r="AF97" s="26" t="s">
        <v>1407</v>
      </c>
      <c r="AG97" s="26" t="s">
        <v>1407</v>
      </c>
      <c r="AN97" s="41" t="s">
        <v>489</v>
      </c>
    </row>
    <row r="98" spans="1:46">
      <c r="A98" s="172" t="s">
        <v>241</v>
      </c>
      <c r="B98" s="22">
        <v>6575</v>
      </c>
      <c r="C98" s="22" t="s">
        <v>2051</v>
      </c>
      <c r="D98" s="22" t="s">
        <v>2052</v>
      </c>
      <c r="E98" s="22" t="s">
        <v>2053</v>
      </c>
      <c r="F98" s="22" t="s">
        <v>2054</v>
      </c>
      <c r="G98" s="192" t="s">
        <v>2266</v>
      </c>
      <c r="H98" s="192" t="s">
        <v>2266</v>
      </c>
      <c r="I98" s="192" t="s">
        <v>2266</v>
      </c>
      <c r="J98" s="43" t="s">
        <v>2265</v>
      </c>
      <c r="K98" s="48">
        <v>0</v>
      </c>
      <c r="L98" s="48" t="s">
        <v>59</v>
      </c>
      <c r="M98" s="34">
        <v>2006</v>
      </c>
      <c r="N98" s="43" t="s">
        <v>496</v>
      </c>
      <c r="O98" s="48" t="s">
        <v>1679</v>
      </c>
      <c r="P98" s="48" t="s">
        <v>1413</v>
      </c>
      <c r="Q98" s="48">
        <f>100-61.1</f>
        <v>38.9</v>
      </c>
      <c r="R98" s="43" t="s">
        <v>2055</v>
      </c>
      <c r="S98" s="43">
        <v>2</v>
      </c>
      <c r="T98" s="43">
        <f>76+73</f>
        <v>149</v>
      </c>
      <c r="U98" s="43">
        <v>2</v>
      </c>
      <c r="V98" s="48">
        <v>73</v>
      </c>
      <c r="W98" s="48">
        <v>76</v>
      </c>
      <c r="X98" s="48" t="s">
        <v>59</v>
      </c>
      <c r="Y98" s="48" t="s">
        <v>59</v>
      </c>
      <c r="Z98" s="43">
        <v>0</v>
      </c>
      <c r="AA98" s="43">
        <v>0</v>
      </c>
      <c r="AB98" s="43" t="s">
        <v>59</v>
      </c>
      <c r="AC98" s="43">
        <v>9</v>
      </c>
      <c r="AD98" s="43">
        <v>9</v>
      </c>
      <c r="AE98" s="43" t="s">
        <v>59</v>
      </c>
      <c r="AF98" s="26" t="s">
        <v>1407</v>
      </c>
      <c r="AG98" s="26" t="s">
        <v>1407</v>
      </c>
      <c r="AN98" s="41" t="s">
        <v>489</v>
      </c>
      <c r="AO98" s="41" t="s">
        <v>489</v>
      </c>
      <c r="AP98" s="41" t="s">
        <v>489</v>
      </c>
      <c r="AQ98" s="41" t="s">
        <v>489</v>
      </c>
    </row>
    <row r="99" spans="1:46">
      <c r="A99" s="171" t="s">
        <v>242</v>
      </c>
      <c r="B99" s="22">
        <v>6605</v>
      </c>
      <c r="C99" s="22" t="s">
        <v>2056</v>
      </c>
      <c r="D99" s="22" t="s">
        <v>2057</v>
      </c>
      <c r="E99" s="22" t="s">
        <v>2058</v>
      </c>
      <c r="F99" s="22" t="s">
        <v>2059</v>
      </c>
      <c r="G99" s="192" t="s">
        <v>2266</v>
      </c>
      <c r="H99" s="192" t="s">
        <v>2266</v>
      </c>
      <c r="I99" s="192" t="s">
        <v>2266</v>
      </c>
      <c r="J99" s="43" t="s">
        <v>2265</v>
      </c>
      <c r="K99" s="48">
        <v>0</v>
      </c>
      <c r="L99" s="48" t="s">
        <v>59</v>
      </c>
      <c r="M99" s="49">
        <v>2003</v>
      </c>
      <c r="N99" s="43" t="s">
        <v>628</v>
      </c>
      <c r="O99" s="26">
        <f>ROUND((50*55.4+49*55.9)/(50+49), 1)</f>
        <v>55.6</v>
      </c>
      <c r="P99" s="26">
        <f>ROUND((50*12.9+11.5*55.9)/(50+49), 1)</f>
        <v>13</v>
      </c>
      <c r="Q99" s="26">
        <f>ROUND((38+39)/2,1)</f>
        <v>38.5</v>
      </c>
      <c r="R99" s="43" t="s">
        <v>2060</v>
      </c>
      <c r="S99" s="43">
        <v>2</v>
      </c>
      <c r="T99" s="43">
        <f>50+49</f>
        <v>99</v>
      </c>
      <c r="U99" s="43">
        <v>2</v>
      </c>
      <c r="V99" s="48">
        <v>49</v>
      </c>
      <c r="W99" s="48">
        <v>50</v>
      </c>
      <c r="X99" s="48" t="s">
        <v>59</v>
      </c>
      <c r="Y99" s="48" t="s">
        <v>59</v>
      </c>
      <c r="Z99" s="43">
        <v>0</v>
      </c>
      <c r="AA99" s="43">
        <v>0</v>
      </c>
      <c r="AB99" s="43" t="s">
        <v>59</v>
      </c>
      <c r="AC99" s="43">
        <v>12</v>
      </c>
      <c r="AD99" s="43">
        <v>12</v>
      </c>
      <c r="AE99" s="43" t="s">
        <v>59</v>
      </c>
      <c r="AF99" s="26" t="s">
        <v>1407</v>
      </c>
      <c r="AG99" s="26" t="s">
        <v>1407</v>
      </c>
      <c r="AN99" s="41" t="s">
        <v>489</v>
      </c>
      <c r="AO99" s="41" t="s">
        <v>489</v>
      </c>
      <c r="AP99" s="41" t="s">
        <v>489</v>
      </c>
    </row>
    <row r="100" spans="1:46">
      <c r="A100" s="172" t="s">
        <v>243</v>
      </c>
      <c r="B100" s="22">
        <v>7498</v>
      </c>
      <c r="C100" s="22" t="s">
        <v>2061</v>
      </c>
      <c r="D100" s="22" t="s">
        <v>2062</v>
      </c>
      <c r="E100" s="22" t="s">
        <v>2063</v>
      </c>
      <c r="F100" s="22" t="s">
        <v>2064</v>
      </c>
      <c r="G100" s="192" t="s">
        <v>2266</v>
      </c>
      <c r="H100" s="192" t="s">
        <v>2266</v>
      </c>
      <c r="I100" s="192" t="s">
        <v>2266</v>
      </c>
      <c r="J100" s="43" t="s">
        <v>2265</v>
      </c>
      <c r="K100" s="26">
        <v>0</v>
      </c>
      <c r="L100" s="26" t="s">
        <v>1434</v>
      </c>
      <c r="M100" s="34">
        <v>1994</v>
      </c>
      <c r="N100" s="22" t="s">
        <v>936</v>
      </c>
      <c r="O100" s="26">
        <v>58.8</v>
      </c>
      <c r="P100" s="26">
        <v>18.100000000000001</v>
      </c>
      <c r="Q100" s="26">
        <v>56</v>
      </c>
      <c r="R100" s="22" t="s">
        <v>2065</v>
      </c>
      <c r="S100" s="22">
        <v>4</v>
      </c>
      <c r="T100" s="22">
        <v>274</v>
      </c>
      <c r="U100" s="22">
        <v>2</v>
      </c>
      <c r="V100" s="48">
        <v>135</v>
      </c>
      <c r="W100" s="48">
        <v>139</v>
      </c>
      <c r="X100" s="48" t="s">
        <v>59</v>
      </c>
      <c r="Y100" s="48" t="s">
        <v>59</v>
      </c>
      <c r="Z100" s="22">
        <v>0</v>
      </c>
      <c r="AA100" s="22">
        <v>0</v>
      </c>
      <c r="AB100" s="22" t="s">
        <v>59</v>
      </c>
      <c r="AC100" s="22">
        <v>24</v>
      </c>
      <c r="AD100" s="22">
        <v>24</v>
      </c>
      <c r="AE100" s="22" t="s">
        <v>338</v>
      </c>
      <c r="AF100" s="26" t="s">
        <v>1407</v>
      </c>
      <c r="AG100" s="26" t="s">
        <v>1407</v>
      </c>
      <c r="AN100" s="41" t="s">
        <v>489</v>
      </c>
      <c r="AO100" s="41" t="s">
        <v>489</v>
      </c>
      <c r="AP100" s="41" t="s">
        <v>489</v>
      </c>
    </row>
    <row r="101" spans="1:46">
      <c r="A101" s="28" t="s">
        <v>127</v>
      </c>
      <c r="B101" s="22">
        <v>7500</v>
      </c>
      <c r="C101" s="22" t="s">
        <v>2066</v>
      </c>
      <c r="D101" s="22" t="s">
        <v>2067</v>
      </c>
      <c r="E101" s="22" t="s">
        <v>2068</v>
      </c>
      <c r="F101" s="22" t="s">
        <v>2069</v>
      </c>
      <c r="G101" s="192" t="s">
        <v>2266</v>
      </c>
      <c r="H101" s="192" t="s">
        <v>2266</v>
      </c>
      <c r="I101" s="192" t="s">
        <v>2266</v>
      </c>
      <c r="J101" s="22" t="s">
        <v>485</v>
      </c>
      <c r="K101" s="26">
        <v>58</v>
      </c>
      <c r="L101" s="26">
        <v>58</v>
      </c>
      <c r="M101" s="34">
        <v>2003</v>
      </c>
      <c r="N101" s="22" t="s">
        <v>936</v>
      </c>
      <c r="O101" s="26">
        <f>ROUND((66.6*1934+65.7*1674)/(1934+1674), 0)</f>
        <v>66</v>
      </c>
      <c r="P101" s="26">
        <v>11.5</v>
      </c>
      <c r="Q101" s="26">
        <f>ROUND((52*1934+54*1674)/3608,0)</f>
        <v>53</v>
      </c>
      <c r="R101" s="22" t="s">
        <v>2070</v>
      </c>
      <c r="S101" s="22">
        <v>2</v>
      </c>
      <c r="T101" s="22">
        <v>3608</v>
      </c>
      <c r="U101" s="22">
        <v>2</v>
      </c>
      <c r="V101" s="48">
        <v>1934</v>
      </c>
      <c r="W101" s="48">
        <v>1674</v>
      </c>
      <c r="X101" s="48" t="s">
        <v>59</v>
      </c>
      <c r="Y101" s="48" t="s">
        <v>59</v>
      </c>
      <c r="Z101" s="22">
        <v>0</v>
      </c>
      <c r="AA101" s="22">
        <v>0</v>
      </c>
      <c r="AB101" s="22">
        <v>0</v>
      </c>
      <c r="AC101" s="22">
        <v>15</v>
      </c>
      <c r="AD101" s="22">
        <v>15</v>
      </c>
      <c r="AE101" s="22" t="s">
        <v>2071</v>
      </c>
      <c r="AF101" s="26" t="s">
        <v>1407</v>
      </c>
      <c r="AG101" s="26" t="s">
        <v>1407</v>
      </c>
      <c r="AH101" s="41" t="s">
        <v>1407</v>
      </c>
      <c r="AJ101" s="41" t="s">
        <v>1407</v>
      </c>
      <c r="AK101" s="41" t="s">
        <v>1407</v>
      </c>
      <c r="AL101" s="41" t="s">
        <v>1407</v>
      </c>
      <c r="AM101" s="41" t="s">
        <v>1407</v>
      </c>
      <c r="AN101" s="41" t="s">
        <v>1407</v>
      </c>
      <c r="AO101" s="41" t="s">
        <v>1407</v>
      </c>
      <c r="AP101" s="41" t="s">
        <v>1407</v>
      </c>
      <c r="AS101" s="41" t="s">
        <v>1407</v>
      </c>
    </row>
    <row r="102" spans="1:46">
      <c r="A102" s="28" t="s">
        <v>131</v>
      </c>
      <c r="B102" s="193">
        <v>7503</v>
      </c>
      <c r="C102" s="22" t="s">
        <v>2072</v>
      </c>
      <c r="D102" s="22" t="s">
        <v>2073</v>
      </c>
      <c r="E102" s="22" t="s">
        <v>2074</v>
      </c>
      <c r="F102" s="22" t="s">
        <v>588</v>
      </c>
      <c r="G102" s="192" t="s">
        <v>2266</v>
      </c>
      <c r="H102" s="192" t="s">
        <v>2266</v>
      </c>
      <c r="I102" s="192" t="s">
        <v>2266</v>
      </c>
      <c r="J102" s="22" t="s">
        <v>485</v>
      </c>
      <c r="K102" s="48">
        <v>123</v>
      </c>
      <c r="L102" s="48">
        <v>123</v>
      </c>
      <c r="M102" s="49">
        <v>2005</v>
      </c>
      <c r="N102" s="43" t="s">
        <v>496</v>
      </c>
      <c r="O102" s="48">
        <v>56.1</v>
      </c>
      <c r="P102" s="48">
        <v>12.1</v>
      </c>
      <c r="Q102" s="48">
        <f>100-46.1</f>
        <v>53.9</v>
      </c>
      <c r="R102" s="43" t="s">
        <v>2075</v>
      </c>
      <c r="S102" s="43">
        <v>4</v>
      </c>
      <c r="T102" s="43">
        <v>3703</v>
      </c>
      <c r="U102" s="64">
        <v>4</v>
      </c>
      <c r="V102" s="48">
        <v>847</v>
      </c>
      <c r="W102" s="48">
        <v>869</v>
      </c>
      <c r="X102" s="48">
        <v>1041</v>
      </c>
      <c r="Y102" s="48">
        <v>946</v>
      </c>
      <c r="Z102" s="43">
        <v>0</v>
      </c>
      <c r="AA102" s="43">
        <v>0</v>
      </c>
      <c r="AB102" s="43">
        <v>0</v>
      </c>
      <c r="AC102" s="43">
        <v>12</v>
      </c>
      <c r="AD102" s="43">
        <v>12</v>
      </c>
      <c r="AE102" s="43" t="s">
        <v>2076</v>
      </c>
      <c r="AF102" s="26" t="s">
        <v>1407</v>
      </c>
      <c r="AG102" s="26" t="s">
        <v>1407</v>
      </c>
      <c r="AN102" s="41" t="s">
        <v>489</v>
      </c>
      <c r="AQ102" s="41" t="s">
        <v>1407</v>
      </c>
    </row>
    <row r="103" spans="1:46">
      <c r="A103" s="28" t="s">
        <v>2077</v>
      </c>
      <c r="B103" s="22">
        <v>8004</v>
      </c>
      <c r="C103" s="22" t="s">
        <v>2078</v>
      </c>
      <c r="D103" s="22" t="s">
        <v>2079</v>
      </c>
      <c r="E103" s="22" t="s">
        <v>2080</v>
      </c>
      <c r="F103" s="22" t="s">
        <v>2081</v>
      </c>
      <c r="G103" s="192" t="s">
        <v>2266</v>
      </c>
      <c r="H103" s="192" t="s">
        <v>2266</v>
      </c>
      <c r="I103" s="192" t="s">
        <v>2266</v>
      </c>
      <c r="J103" s="22" t="s">
        <v>485</v>
      </c>
      <c r="K103" s="26">
        <v>90</v>
      </c>
      <c r="L103" s="26">
        <v>142</v>
      </c>
      <c r="M103" s="34">
        <v>2006</v>
      </c>
      <c r="N103" s="22" t="s">
        <v>544</v>
      </c>
      <c r="O103" s="26">
        <v>68</v>
      </c>
      <c r="P103" s="26">
        <v>12</v>
      </c>
      <c r="Q103" s="26">
        <v>48.3</v>
      </c>
      <c r="R103" s="22" t="s">
        <v>2082</v>
      </c>
      <c r="S103" s="22">
        <v>2</v>
      </c>
      <c r="T103" s="22">
        <f>1577+918</f>
        <v>2495</v>
      </c>
      <c r="U103" s="22">
        <v>2</v>
      </c>
      <c r="V103" s="48">
        <v>918</v>
      </c>
      <c r="W103" s="48">
        <v>1577</v>
      </c>
      <c r="X103" s="48" t="s">
        <v>59</v>
      </c>
      <c r="Y103" s="48" t="s">
        <v>59</v>
      </c>
      <c r="Z103" s="22">
        <v>1</v>
      </c>
      <c r="AA103" s="22">
        <v>0</v>
      </c>
      <c r="AB103" s="22">
        <v>0</v>
      </c>
      <c r="AC103" s="22">
        <v>18</v>
      </c>
      <c r="AD103" s="22">
        <v>18</v>
      </c>
      <c r="AE103" s="22" t="s">
        <v>2083</v>
      </c>
      <c r="AF103" s="26" t="s">
        <v>1407</v>
      </c>
      <c r="AG103" s="26" t="s">
        <v>1407</v>
      </c>
      <c r="AH103" s="41" t="s">
        <v>1407</v>
      </c>
      <c r="AI103" s="41" t="s">
        <v>1407</v>
      </c>
      <c r="AN103" s="41" t="s">
        <v>1407</v>
      </c>
      <c r="AO103" s="41" t="s">
        <v>1407</v>
      </c>
      <c r="AP103" s="41" t="s">
        <v>1407</v>
      </c>
      <c r="AQ103" s="41" t="s">
        <v>1407</v>
      </c>
      <c r="AS103" s="41" t="s">
        <v>1407</v>
      </c>
    </row>
    <row r="104" spans="1:46">
      <c r="A104" s="172" t="s">
        <v>245</v>
      </c>
      <c r="B104" s="22">
        <v>8008</v>
      </c>
      <c r="C104" s="22" t="s">
        <v>2084</v>
      </c>
      <c r="D104" s="22" t="s">
        <v>2085</v>
      </c>
      <c r="E104" s="22" t="s">
        <v>2086</v>
      </c>
      <c r="F104" s="22" t="s">
        <v>2087</v>
      </c>
      <c r="G104" s="192" t="s">
        <v>2266</v>
      </c>
      <c r="H104" s="192" t="s">
        <v>2266</v>
      </c>
      <c r="I104" s="192" t="s">
        <v>2266</v>
      </c>
      <c r="J104" s="43" t="s">
        <v>2265</v>
      </c>
      <c r="K104" s="26">
        <v>0</v>
      </c>
      <c r="L104" s="26" t="s">
        <v>59</v>
      </c>
      <c r="M104" s="34">
        <v>2006</v>
      </c>
      <c r="N104" s="22" t="s">
        <v>496</v>
      </c>
      <c r="O104" s="26">
        <v>49.5</v>
      </c>
      <c r="P104" s="26">
        <v>10.9</v>
      </c>
      <c r="Q104" s="26">
        <v>49</v>
      </c>
      <c r="R104" s="22" t="s">
        <v>2088</v>
      </c>
      <c r="S104" s="22">
        <v>3</v>
      </c>
      <c r="T104" s="22">
        <v>104</v>
      </c>
      <c r="U104" s="22">
        <v>2</v>
      </c>
      <c r="V104" s="48">
        <v>52</v>
      </c>
      <c r="W104" s="48">
        <v>52</v>
      </c>
      <c r="X104" s="48" t="s">
        <v>59</v>
      </c>
      <c r="Y104" s="48" t="s">
        <v>59</v>
      </c>
      <c r="Z104" s="22">
        <v>0</v>
      </c>
      <c r="AA104" s="22">
        <v>0</v>
      </c>
      <c r="AB104" s="22" t="s">
        <v>59</v>
      </c>
      <c r="AC104" s="22">
        <v>12</v>
      </c>
      <c r="AD104" s="22">
        <v>12</v>
      </c>
      <c r="AE104" s="22" t="s">
        <v>2089</v>
      </c>
      <c r="AF104" s="26" t="s">
        <v>1407</v>
      </c>
      <c r="AG104" s="26" t="s">
        <v>1407</v>
      </c>
      <c r="AN104" s="41" t="s">
        <v>489</v>
      </c>
    </row>
    <row r="105" spans="1:46">
      <c r="A105" s="172" t="s">
        <v>247</v>
      </c>
      <c r="B105" s="22">
        <v>8014</v>
      </c>
      <c r="C105" s="22" t="s">
        <v>2090</v>
      </c>
      <c r="D105" s="22" t="s">
        <v>2091</v>
      </c>
      <c r="E105" s="22" t="s">
        <v>2092</v>
      </c>
      <c r="F105" s="22" t="s">
        <v>2093</v>
      </c>
      <c r="G105" s="192" t="s">
        <v>2266</v>
      </c>
      <c r="H105" s="192" t="s">
        <v>2266</v>
      </c>
      <c r="I105" s="192" t="s">
        <v>2266</v>
      </c>
      <c r="J105" s="43" t="s">
        <v>2265</v>
      </c>
      <c r="K105" s="26">
        <v>0</v>
      </c>
      <c r="L105" s="26" t="s">
        <v>59</v>
      </c>
      <c r="M105" s="34">
        <v>2010</v>
      </c>
      <c r="N105" s="22" t="s">
        <v>496</v>
      </c>
      <c r="O105" s="26">
        <v>62</v>
      </c>
      <c r="P105" s="26">
        <v>9.6999999999999993</v>
      </c>
      <c r="Q105" s="26">
        <v>95.8</v>
      </c>
      <c r="R105" s="22" t="s">
        <v>2094</v>
      </c>
      <c r="S105" s="22">
        <v>3</v>
      </c>
      <c r="T105" s="22">
        <v>239</v>
      </c>
      <c r="U105" s="22">
        <v>2</v>
      </c>
      <c r="V105" s="48">
        <v>106</v>
      </c>
      <c r="W105" s="48">
        <v>133</v>
      </c>
      <c r="X105" s="48" t="s">
        <v>59</v>
      </c>
      <c r="Y105" s="48" t="s">
        <v>59</v>
      </c>
      <c r="Z105" s="22">
        <v>0</v>
      </c>
      <c r="AA105" s="22">
        <v>0</v>
      </c>
      <c r="AB105" s="22" t="s">
        <v>59</v>
      </c>
      <c r="AC105" s="22">
        <v>12</v>
      </c>
      <c r="AD105" s="22">
        <v>13</v>
      </c>
      <c r="AE105" s="22" t="s">
        <v>291</v>
      </c>
      <c r="AF105" s="26" t="s">
        <v>1407</v>
      </c>
      <c r="AG105" s="26" t="s">
        <v>1407</v>
      </c>
      <c r="AN105" s="41" t="s">
        <v>489</v>
      </c>
      <c r="AO105" s="41" t="s">
        <v>489</v>
      </c>
      <c r="AP105" s="41" t="s">
        <v>489</v>
      </c>
      <c r="AR105" s="41" t="s">
        <v>489</v>
      </c>
      <c r="AT105" s="41" t="s">
        <v>489</v>
      </c>
    </row>
    <row r="106" spans="1:46">
      <c r="A106" s="172" t="s">
        <v>249</v>
      </c>
      <c r="B106" s="22">
        <v>8019</v>
      </c>
      <c r="C106" s="22" t="s">
        <v>2095</v>
      </c>
      <c r="D106" s="22" t="s">
        <v>2096</v>
      </c>
      <c r="E106" s="22" t="s">
        <v>1373</v>
      </c>
      <c r="F106" s="22" t="s">
        <v>2097</v>
      </c>
      <c r="G106" s="192" t="s">
        <v>2266</v>
      </c>
      <c r="H106" s="192" t="s">
        <v>2266</v>
      </c>
      <c r="I106" s="192" t="s">
        <v>2266</v>
      </c>
      <c r="J106" s="43" t="s">
        <v>2265</v>
      </c>
      <c r="K106" s="26">
        <v>0</v>
      </c>
      <c r="L106" s="26" t="s">
        <v>59</v>
      </c>
      <c r="M106" s="34">
        <v>2005</v>
      </c>
      <c r="N106" s="22" t="s">
        <v>496</v>
      </c>
      <c r="O106" s="26" t="s">
        <v>1413</v>
      </c>
      <c r="P106" s="26" t="s">
        <v>1413</v>
      </c>
      <c r="Q106" s="26">
        <v>99</v>
      </c>
      <c r="R106" s="22" t="s">
        <v>2098</v>
      </c>
      <c r="S106" s="22">
        <v>2</v>
      </c>
      <c r="T106" s="22">
        <v>150</v>
      </c>
      <c r="U106" s="22">
        <v>2</v>
      </c>
      <c r="V106" s="39">
        <v>77</v>
      </c>
      <c r="W106" s="39">
        <v>73</v>
      </c>
      <c r="X106" s="48" t="s">
        <v>59</v>
      </c>
      <c r="Y106" s="48" t="s">
        <v>59</v>
      </c>
      <c r="Z106" s="22">
        <v>0</v>
      </c>
      <c r="AA106" s="22">
        <v>0</v>
      </c>
      <c r="AB106" s="22">
        <v>0</v>
      </c>
      <c r="AC106" s="22">
        <v>6</v>
      </c>
      <c r="AD106" s="22">
        <v>6</v>
      </c>
      <c r="AE106" s="22" t="s">
        <v>1493</v>
      </c>
      <c r="AF106" s="26" t="s">
        <v>1407</v>
      </c>
      <c r="AG106" s="26" t="s">
        <v>1407</v>
      </c>
      <c r="AJ106" s="41" t="s">
        <v>489</v>
      </c>
      <c r="AN106" s="41" t="s">
        <v>489</v>
      </c>
      <c r="AO106" s="41" t="s">
        <v>489</v>
      </c>
      <c r="AP106" s="41" t="s">
        <v>489</v>
      </c>
      <c r="AQ106" s="41" t="s">
        <v>489</v>
      </c>
    </row>
    <row r="107" spans="1:46">
      <c r="A107" s="172" t="s">
        <v>250</v>
      </c>
      <c r="B107" s="22">
        <v>8079</v>
      </c>
      <c r="C107" s="22" t="s">
        <v>2099</v>
      </c>
      <c r="D107" s="22" t="s">
        <v>2100</v>
      </c>
      <c r="E107" s="22" t="s">
        <v>2101</v>
      </c>
      <c r="F107" s="22" t="s">
        <v>2102</v>
      </c>
      <c r="G107" s="192" t="s">
        <v>2266</v>
      </c>
      <c r="H107" s="192" t="s">
        <v>2266</v>
      </c>
      <c r="I107" s="192" t="s">
        <v>2266</v>
      </c>
      <c r="J107" s="43" t="s">
        <v>2265</v>
      </c>
      <c r="K107" s="26">
        <v>0</v>
      </c>
      <c r="L107" s="26" t="s">
        <v>59</v>
      </c>
      <c r="M107" s="34">
        <v>2009</v>
      </c>
      <c r="N107" s="22" t="s">
        <v>1093</v>
      </c>
      <c r="O107" s="26">
        <f>(59.4*54+57*57)/(54+57)</f>
        <v>58.167567567567573</v>
      </c>
      <c r="P107" s="26">
        <v>8.8000000000000007</v>
      </c>
      <c r="Q107" s="26">
        <f>(64.8*54+52.6*57)/(54+57)</f>
        <v>58.535135135135128</v>
      </c>
      <c r="R107" s="22" t="s">
        <v>2103</v>
      </c>
      <c r="S107" s="22">
        <v>2</v>
      </c>
      <c r="T107" s="22">
        <v>123</v>
      </c>
      <c r="U107" s="22">
        <v>2</v>
      </c>
      <c r="V107" s="39">
        <v>61</v>
      </c>
      <c r="W107" s="39">
        <v>62</v>
      </c>
      <c r="X107" s="48" t="s">
        <v>59</v>
      </c>
      <c r="Y107" s="48" t="s">
        <v>59</v>
      </c>
      <c r="Z107" s="22">
        <v>0</v>
      </c>
      <c r="AA107" s="22">
        <v>0</v>
      </c>
      <c r="AB107" s="22">
        <v>0</v>
      </c>
      <c r="AC107" s="22">
        <v>3</v>
      </c>
      <c r="AD107" s="22">
        <v>3</v>
      </c>
      <c r="AE107" s="22" t="s">
        <v>1493</v>
      </c>
      <c r="AF107" s="26" t="s">
        <v>1407</v>
      </c>
      <c r="AG107" s="26" t="s">
        <v>1407</v>
      </c>
      <c r="AN107" s="41" t="s">
        <v>489</v>
      </c>
      <c r="AO107" s="41" t="s">
        <v>489</v>
      </c>
      <c r="AP107" s="41" t="s">
        <v>489</v>
      </c>
      <c r="AQ107" s="41" t="s">
        <v>489</v>
      </c>
    </row>
    <row r="108" spans="1:46">
      <c r="A108" s="172" t="s">
        <v>251</v>
      </c>
      <c r="B108" s="22">
        <v>8081</v>
      </c>
      <c r="C108" s="22" t="s">
        <v>2104</v>
      </c>
      <c r="D108" s="22" t="s">
        <v>2105</v>
      </c>
      <c r="E108" s="22" t="s">
        <v>2106</v>
      </c>
      <c r="F108" s="22" t="s">
        <v>837</v>
      </c>
      <c r="G108" s="192" t="s">
        <v>2266</v>
      </c>
      <c r="H108" s="192" t="s">
        <v>2266</v>
      </c>
      <c r="I108" s="192" t="s">
        <v>2266</v>
      </c>
      <c r="J108" s="43" t="s">
        <v>2265</v>
      </c>
      <c r="K108" s="26">
        <v>0</v>
      </c>
      <c r="L108" s="26" t="s">
        <v>59</v>
      </c>
      <c r="M108" s="34">
        <v>2009</v>
      </c>
      <c r="N108" s="22" t="s">
        <v>496</v>
      </c>
      <c r="O108" s="26">
        <v>56.4</v>
      </c>
      <c r="P108" s="26">
        <v>7.9</v>
      </c>
      <c r="Q108" s="26">
        <v>55.7</v>
      </c>
      <c r="R108" s="22" t="s">
        <v>2107</v>
      </c>
      <c r="S108" s="22">
        <v>2</v>
      </c>
      <c r="T108" s="43">
        <v>83</v>
      </c>
      <c r="U108" s="22">
        <v>2</v>
      </c>
      <c r="V108" s="39">
        <v>42</v>
      </c>
      <c r="W108" s="39">
        <v>41</v>
      </c>
      <c r="X108" s="48" t="s">
        <v>59</v>
      </c>
      <c r="Y108" s="48" t="s">
        <v>59</v>
      </c>
      <c r="Z108" s="22">
        <v>0</v>
      </c>
      <c r="AA108" s="22">
        <v>0</v>
      </c>
      <c r="AB108" s="22">
        <v>0</v>
      </c>
      <c r="AC108" s="22">
        <v>7</v>
      </c>
      <c r="AD108" s="22">
        <v>7</v>
      </c>
      <c r="AE108" s="22" t="s">
        <v>2108</v>
      </c>
      <c r="AF108" s="26" t="s">
        <v>1407</v>
      </c>
      <c r="AG108" s="26" t="s">
        <v>1407</v>
      </c>
      <c r="AN108" s="41" t="s">
        <v>489</v>
      </c>
      <c r="AO108" s="41" t="s">
        <v>489</v>
      </c>
      <c r="AP108" s="41" t="s">
        <v>489</v>
      </c>
      <c r="AQ108" s="41" t="s">
        <v>489</v>
      </c>
    </row>
    <row r="109" spans="1:46">
      <c r="A109" s="172" t="s">
        <v>252</v>
      </c>
      <c r="B109" s="22">
        <v>8131</v>
      </c>
      <c r="C109" s="22" t="s">
        <v>2109</v>
      </c>
      <c r="D109" s="22" t="s">
        <v>2110</v>
      </c>
      <c r="E109" s="22" t="s">
        <v>1041</v>
      </c>
      <c r="F109" s="22" t="s">
        <v>1042</v>
      </c>
      <c r="G109" s="192" t="s">
        <v>2266</v>
      </c>
      <c r="H109" s="192" t="s">
        <v>2266</v>
      </c>
      <c r="I109" s="192" t="s">
        <v>2266</v>
      </c>
      <c r="J109" s="43" t="s">
        <v>2265</v>
      </c>
      <c r="K109" s="26">
        <v>0</v>
      </c>
      <c r="L109" s="26" t="s">
        <v>59</v>
      </c>
      <c r="M109" s="34">
        <v>2004</v>
      </c>
      <c r="N109" s="22" t="s">
        <v>2111</v>
      </c>
      <c r="O109" s="26">
        <f>(63.1*46+59.6*38)/(46+38)</f>
        <v>61.516666666666666</v>
      </c>
      <c r="P109" s="26">
        <v>10.6</v>
      </c>
      <c r="Q109" s="26">
        <f>(43.5*46+50*38)/(46+38)</f>
        <v>46.44047619047619</v>
      </c>
      <c r="R109" s="22" t="s">
        <v>2112</v>
      </c>
      <c r="S109" s="22">
        <v>2</v>
      </c>
      <c r="T109" s="22">
        <v>93</v>
      </c>
      <c r="U109" s="22">
        <v>2</v>
      </c>
      <c r="V109" s="39">
        <v>43</v>
      </c>
      <c r="W109" s="39">
        <v>50</v>
      </c>
      <c r="X109" s="48" t="s">
        <v>59</v>
      </c>
      <c r="Y109" s="48" t="s">
        <v>59</v>
      </c>
      <c r="Z109" s="22">
        <v>0</v>
      </c>
      <c r="AA109" s="22">
        <v>0</v>
      </c>
      <c r="AB109" s="22">
        <v>0</v>
      </c>
      <c r="AC109" s="22">
        <v>12</v>
      </c>
      <c r="AD109" s="22">
        <v>12</v>
      </c>
      <c r="AE109" s="22" t="s">
        <v>2113</v>
      </c>
      <c r="AF109" s="26" t="s">
        <v>1407</v>
      </c>
      <c r="AG109" s="26" t="s">
        <v>1407</v>
      </c>
      <c r="AI109" s="41" t="s">
        <v>489</v>
      </c>
      <c r="AJ109" s="41" t="s">
        <v>489</v>
      </c>
      <c r="AN109" s="41" t="s">
        <v>489</v>
      </c>
      <c r="AO109" s="41" t="s">
        <v>489</v>
      </c>
      <c r="AP109" s="41" t="s">
        <v>489</v>
      </c>
      <c r="AQ109" s="41" t="s">
        <v>489</v>
      </c>
      <c r="AR109" s="41" t="s">
        <v>489</v>
      </c>
    </row>
    <row r="110" spans="1:46">
      <c r="A110" s="172" t="s">
        <v>253</v>
      </c>
      <c r="B110" s="22">
        <v>8144</v>
      </c>
      <c r="C110" s="22" t="s">
        <v>2114</v>
      </c>
      <c r="D110" s="22" t="s">
        <v>2115</v>
      </c>
      <c r="E110" s="22" t="s">
        <v>1976</v>
      </c>
      <c r="F110" s="22" t="s">
        <v>1977</v>
      </c>
      <c r="G110" s="192" t="s">
        <v>2266</v>
      </c>
      <c r="H110" s="192" t="s">
        <v>2266</v>
      </c>
      <c r="I110" s="192" t="s">
        <v>2266</v>
      </c>
      <c r="J110" s="43" t="s">
        <v>2265</v>
      </c>
      <c r="K110" s="26">
        <v>0</v>
      </c>
      <c r="L110" s="26" t="s">
        <v>59</v>
      </c>
      <c r="M110" s="34">
        <v>2003</v>
      </c>
      <c r="N110" s="22" t="s">
        <v>496</v>
      </c>
      <c r="O110" s="26">
        <v>58</v>
      </c>
      <c r="P110" s="26">
        <v>11</v>
      </c>
      <c r="Q110" s="26">
        <v>27</v>
      </c>
      <c r="R110" s="22" t="s">
        <v>2116</v>
      </c>
      <c r="S110" s="22">
        <v>2</v>
      </c>
      <c r="T110" s="22">
        <v>542</v>
      </c>
      <c r="U110" s="22">
        <v>2</v>
      </c>
      <c r="V110" s="39">
        <v>273</v>
      </c>
      <c r="W110" s="39">
        <v>269</v>
      </c>
      <c r="X110" s="48" t="s">
        <v>59</v>
      </c>
      <c r="Y110" s="48" t="s">
        <v>59</v>
      </c>
      <c r="Z110" s="22">
        <v>0</v>
      </c>
      <c r="AA110" s="22">
        <v>1</v>
      </c>
      <c r="AB110" s="22" t="s">
        <v>59</v>
      </c>
      <c r="AC110" s="22">
        <v>24</v>
      </c>
      <c r="AD110" s="22">
        <v>36</v>
      </c>
      <c r="AE110" s="22" t="s">
        <v>2108</v>
      </c>
      <c r="AF110" s="26" t="s">
        <v>1407</v>
      </c>
      <c r="AG110" s="26" t="s">
        <v>1407</v>
      </c>
      <c r="AN110" s="41" t="s">
        <v>489</v>
      </c>
    </row>
    <row r="111" spans="1:46">
      <c r="A111" s="172" t="s">
        <v>2117</v>
      </c>
      <c r="B111" s="22">
        <v>8164</v>
      </c>
      <c r="C111" s="22" t="s">
        <v>2118</v>
      </c>
      <c r="D111" s="22" t="s">
        <v>2119</v>
      </c>
      <c r="E111" s="22" t="s">
        <v>2120</v>
      </c>
      <c r="F111" s="22" t="s">
        <v>2121</v>
      </c>
      <c r="G111" s="192" t="s">
        <v>2266</v>
      </c>
      <c r="H111" s="192" t="s">
        <v>2266</v>
      </c>
      <c r="I111" s="192" t="s">
        <v>2266</v>
      </c>
      <c r="J111" s="43" t="s">
        <v>2265</v>
      </c>
      <c r="K111" s="26">
        <v>0</v>
      </c>
      <c r="L111" s="26" t="s">
        <v>59</v>
      </c>
      <c r="M111" s="34">
        <v>2007</v>
      </c>
      <c r="N111" s="22" t="s">
        <v>936</v>
      </c>
      <c r="O111" s="26">
        <f>(59.6*72+57.1*65)/(72+65)</f>
        <v>58.413868613138682</v>
      </c>
      <c r="P111" s="26">
        <v>12.5</v>
      </c>
      <c r="Q111" s="26">
        <v>54</v>
      </c>
      <c r="R111" s="22" t="s">
        <v>2122</v>
      </c>
      <c r="S111" s="22">
        <v>3</v>
      </c>
      <c r="T111" s="22">
        <v>137</v>
      </c>
      <c r="U111" s="22">
        <v>2</v>
      </c>
      <c r="V111" s="39">
        <v>65</v>
      </c>
      <c r="W111" s="39">
        <v>72</v>
      </c>
      <c r="X111" s="48" t="s">
        <v>59</v>
      </c>
      <c r="Y111" s="48" t="s">
        <v>59</v>
      </c>
      <c r="Z111" s="22">
        <v>0</v>
      </c>
      <c r="AA111" s="22">
        <v>0</v>
      </c>
      <c r="AB111" s="43" t="s">
        <v>59</v>
      </c>
      <c r="AC111" s="22">
        <v>9</v>
      </c>
      <c r="AD111" s="22">
        <v>9</v>
      </c>
      <c r="AE111" s="22" t="s">
        <v>2089</v>
      </c>
      <c r="AF111" s="26" t="s">
        <v>1407</v>
      </c>
      <c r="AG111" s="26" t="s">
        <v>1407</v>
      </c>
      <c r="AN111" s="41" t="s">
        <v>489</v>
      </c>
      <c r="AO111" s="41" t="s">
        <v>1407</v>
      </c>
    </row>
    <row r="112" spans="1:46">
      <c r="A112" s="172" t="s">
        <v>2123</v>
      </c>
      <c r="B112" s="22">
        <v>8196</v>
      </c>
      <c r="C112" s="22" t="s">
        <v>2124</v>
      </c>
      <c r="D112" s="22" t="s">
        <v>2125</v>
      </c>
      <c r="E112" s="43" t="s">
        <v>941</v>
      </c>
      <c r="F112" s="22" t="s">
        <v>942</v>
      </c>
      <c r="G112" s="192" t="s">
        <v>2266</v>
      </c>
      <c r="H112" s="192" t="s">
        <v>2266</v>
      </c>
      <c r="I112" s="192" t="s">
        <v>2266</v>
      </c>
      <c r="J112" s="43" t="s">
        <v>2265</v>
      </c>
      <c r="K112" s="26">
        <v>0</v>
      </c>
      <c r="L112" s="26" t="s">
        <v>1434</v>
      </c>
      <c r="M112" s="34">
        <v>2006</v>
      </c>
      <c r="N112" s="22" t="s">
        <v>1537</v>
      </c>
      <c r="O112" s="26">
        <f>(62.2+66.8)/2</f>
        <v>64.5</v>
      </c>
      <c r="P112" s="26">
        <v>10.3</v>
      </c>
      <c r="Q112" s="26">
        <f>(91.4+100)/2</f>
        <v>95.7</v>
      </c>
      <c r="R112" s="22" t="s">
        <v>2126</v>
      </c>
      <c r="S112" s="22">
        <v>2</v>
      </c>
      <c r="T112" s="22">
        <v>118</v>
      </c>
      <c r="U112" s="22">
        <v>2</v>
      </c>
      <c r="V112" s="39">
        <v>54</v>
      </c>
      <c r="W112" s="39">
        <v>64</v>
      </c>
      <c r="X112" s="48" t="s">
        <v>59</v>
      </c>
      <c r="Y112" s="48" t="s">
        <v>59</v>
      </c>
      <c r="Z112" s="22">
        <v>0</v>
      </c>
      <c r="AA112" s="22">
        <v>0</v>
      </c>
      <c r="AB112" s="22">
        <v>0</v>
      </c>
      <c r="AC112" s="22">
        <v>1</v>
      </c>
      <c r="AD112" s="22">
        <v>4</v>
      </c>
      <c r="AF112" s="26" t="s">
        <v>1407</v>
      </c>
      <c r="AG112" s="26" t="s">
        <v>1407</v>
      </c>
      <c r="AN112" s="41" t="s">
        <v>489</v>
      </c>
      <c r="AO112" s="41" t="s">
        <v>489</v>
      </c>
      <c r="AP112" s="41" t="s">
        <v>489</v>
      </c>
      <c r="AQ112" s="41" t="s">
        <v>489</v>
      </c>
      <c r="AR112" s="41" t="s">
        <v>489</v>
      </c>
      <c r="AS112" s="41" t="s">
        <v>1407</v>
      </c>
    </row>
    <row r="113" spans="1:46">
      <c r="A113" s="172" t="s">
        <v>2127</v>
      </c>
      <c r="B113" s="22">
        <v>8364</v>
      </c>
      <c r="C113" s="22" t="s">
        <v>2128</v>
      </c>
      <c r="D113" s="22" t="s">
        <v>2129</v>
      </c>
      <c r="E113" s="22" t="s">
        <v>2130</v>
      </c>
      <c r="F113" s="22" t="s">
        <v>2131</v>
      </c>
      <c r="G113" s="192" t="s">
        <v>2266</v>
      </c>
      <c r="H113" s="192" t="s">
        <v>2266</v>
      </c>
      <c r="I113" s="192" t="s">
        <v>2266</v>
      </c>
      <c r="J113" s="43" t="s">
        <v>2265</v>
      </c>
      <c r="K113" s="26">
        <v>0</v>
      </c>
      <c r="L113" s="26" t="s">
        <v>1434</v>
      </c>
      <c r="M113" s="34">
        <v>2009</v>
      </c>
      <c r="N113" s="22" t="s">
        <v>2132</v>
      </c>
      <c r="O113" s="26">
        <f>(48.8+49.9)/2</f>
        <v>49.349999999999994</v>
      </c>
      <c r="P113" s="26">
        <v>8.3000000000000007</v>
      </c>
      <c r="Q113" s="26">
        <f>(70+69.3)/2</f>
        <v>69.650000000000006</v>
      </c>
      <c r="R113" s="22" t="s">
        <v>2133</v>
      </c>
      <c r="S113" s="22">
        <v>2</v>
      </c>
      <c r="T113" s="22">
        <v>240</v>
      </c>
      <c r="U113" s="22">
        <v>2</v>
      </c>
      <c r="V113" s="39">
        <v>120</v>
      </c>
      <c r="W113" s="39">
        <v>120</v>
      </c>
      <c r="X113" s="48" t="s">
        <v>59</v>
      </c>
      <c r="Y113" s="48" t="s">
        <v>59</v>
      </c>
      <c r="Z113" s="22">
        <v>0</v>
      </c>
      <c r="AA113" s="22">
        <v>0</v>
      </c>
      <c r="AB113" s="22">
        <v>0</v>
      </c>
      <c r="AC113" s="22">
        <v>12</v>
      </c>
      <c r="AD113" s="22">
        <v>12</v>
      </c>
      <c r="AF113" s="26" t="s">
        <v>1407</v>
      </c>
      <c r="AG113" s="26" t="s">
        <v>1407</v>
      </c>
      <c r="AN113" s="41" t="s">
        <v>489</v>
      </c>
      <c r="AO113" s="41" t="s">
        <v>489</v>
      </c>
      <c r="AP113" s="41" t="s">
        <v>489</v>
      </c>
      <c r="AQ113" s="41" t="s">
        <v>489</v>
      </c>
    </row>
    <row r="114" spans="1:46">
      <c r="A114" s="172" t="s">
        <v>2134</v>
      </c>
      <c r="B114" s="22">
        <v>8378</v>
      </c>
      <c r="C114" s="22" t="s">
        <v>2135</v>
      </c>
      <c r="D114" s="22" t="s">
        <v>2136</v>
      </c>
      <c r="E114" s="22" t="s">
        <v>2137</v>
      </c>
      <c r="F114" s="22" t="s">
        <v>2138</v>
      </c>
      <c r="G114" s="192" t="s">
        <v>2266</v>
      </c>
      <c r="H114" s="192" t="s">
        <v>2266</v>
      </c>
      <c r="I114" s="192" t="s">
        <v>2266</v>
      </c>
      <c r="J114" s="43" t="s">
        <v>2265</v>
      </c>
      <c r="K114" s="26">
        <v>0</v>
      </c>
      <c r="L114" s="26" t="s">
        <v>1434</v>
      </c>
      <c r="M114" s="34">
        <v>2004</v>
      </c>
      <c r="N114" s="22" t="s">
        <v>2139</v>
      </c>
      <c r="O114" s="26">
        <v>70</v>
      </c>
      <c r="P114" s="26" t="s">
        <v>2140</v>
      </c>
      <c r="Q114" s="26">
        <f>(43/57+39/59)/2*100</f>
        <v>70.770145703241155</v>
      </c>
      <c r="R114" s="22" t="s">
        <v>2141</v>
      </c>
      <c r="S114" s="22">
        <v>2</v>
      </c>
      <c r="T114" s="22">
        <f>63+63</f>
        <v>126</v>
      </c>
      <c r="U114" s="22">
        <v>2</v>
      </c>
      <c r="V114" s="39">
        <v>63</v>
      </c>
      <c r="W114" s="39">
        <v>63</v>
      </c>
      <c r="X114" s="48" t="s">
        <v>59</v>
      </c>
      <c r="Y114" s="48" t="s">
        <v>59</v>
      </c>
      <c r="Z114" s="22">
        <v>0</v>
      </c>
      <c r="AA114" s="22">
        <v>0</v>
      </c>
      <c r="AB114" s="22">
        <v>0</v>
      </c>
      <c r="AC114" s="22">
        <v>30</v>
      </c>
      <c r="AD114" s="22">
        <v>30</v>
      </c>
      <c r="AF114" s="26" t="s">
        <v>1407</v>
      </c>
      <c r="AG114" s="26" t="s">
        <v>1407</v>
      </c>
      <c r="AN114" s="41" t="s">
        <v>489</v>
      </c>
      <c r="AO114" s="41" t="s">
        <v>489</v>
      </c>
      <c r="AP114" s="41" t="s">
        <v>489</v>
      </c>
      <c r="AQ114" s="41" t="s">
        <v>489</v>
      </c>
      <c r="AR114" s="41" t="s">
        <v>489</v>
      </c>
      <c r="AS114" s="41" t="s">
        <v>489</v>
      </c>
    </row>
    <row r="115" spans="1:46">
      <c r="A115" s="172" t="s">
        <v>2142</v>
      </c>
      <c r="B115" s="22">
        <v>8384</v>
      </c>
      <c r="C115" s="22" t="s">
        <v>2143</v>
      </c>
      <c r="D115" s="22" t="s">
        <v>2144</v>
      </c>
      <c r="E115" s="22" t="s">
        <v>2145</v>
      </c>
      <c r="F115" s="22" t="s">
        <v>2146</v>
      </c>
      <c r="G115" s="192" t="s">
        <v>2266</v>
      </c>
      <c r="H115" s="192" t="s">
        <v>2266</v>
      </c>
      <c r="I115" s="192" t="s">
        <v>2266</v>
      </c>
      <c r="J115" s="43" t="s">
        <v>2265</v>
      </c>
      <c r="K115" s="26">
        <v>0</v>
      </c>
      <c r="L115" s="26" t="s">
        <v>1434</v>
      </c>
      <c r="M115" s="34">
        <v>2004</v>
      </c>
      <c r="N115" s="22" t="s">
        <v>2147</v>
      </c>
      <c r="O115" s="26">
        <f>(56.6+56.9)/2</f>
        <v>56.75</v>
      </c>
      <c r="P115" s="26">
        <v>7.7</v>
      </c>
      <c r="Q115" s="26">
        <f>(38.7+48.1)/2</f>
        <v>43.400000000000006</v>
      </c>
      <c r="R115" s="22" t="s">
        <v>2148</v>
      </c>
      <c r="S115" s="22">
        <v>2</v>
      </c>
      <c r="T115" s="22">
        <v>193</v>
      </c>
      <c r="U115" s="22">
        <v>2</v>
      </c>
      <c r="V115" s="39">
        <v>100</v>
      </c>
      <c r="W115" s="39">
        <v>93</v>
      </c>
      <c r="X115" s="48" t="s">
        <v>59</v>
      </c>
      <c r="Y115" s="48" t="s">
        <v>59</v>
      </c>
      <c r="Z115" s="22">
        <v>0</v>
      </c>
      <c r="AA115" s="22">
        <v>0</v>
      </c>
      <c r="AB115" s="22">
        <v>0</v>
      </c>
      <c r="AC115" s="22">
        <v>12</v>
      </c>
      <c r="AD115" s="22">
        <v>12</v>
      </c>
      <c r="AF115" s="26" t="s">
        <v>1407</v>
      </c>
      <c r="AG115" s="26" t="s">
        <v>1407</v>
      </c>
      <c r="AN115" s="41" t="s">
        <v>489</v>
      </c>
      <c r="AO115" s="41" t="s">
        <v>489</v>
      </c>
      <c r="AP115" s="41" t="s">
        <v>489</v>
      </c>
      <c r="AQ115" s="41" t="s">
        <v>489</v>
      </c>
    </row>
    <row r="116" spans="1:46">
      <c r="A116" s="172" t="s">
        <v>2149</v>
      </c>
      <c r="B116" s="22">
        <v>8392</v>
      </c>
      <c r="C116" s="22" t="s">
        <v>2150</v>
      </c>
      <c r="D116" s="22" t="s">
        <v>2151</v>
      </c>
      <c r="E116" s="22" t="s">
        <v>2152</v>
      </c>
      <c r="F116" s="22" t="s">
        <v>2153</v>
      </c>
      <c r="G116" s="192" t="s">
        <v>2266</v>
      </c>
      <c r="H116" s="192" t="s">
        <v>2266</v>
      </c>
      <c r="I116" s="192" t="s">
        <v>2266</v>
      </c>
      <c r="J116" s="43" t="s">
        <v>2265</v>
      </c>
      <c r="K116" s="26">
        <v>0</v>
      </c>
      <c r="L116" s="26" t="s">
        <v>1434</v>
      </c>
      <c r="M116" s="34">
        <v>2005</v>
      </c>
      <c r="N116" s="22" t="s">
        <v>1537</v>
      </c>
      <c r="O116" s="26">
        <v>55.1</v>
      </c>
      <c r="P116" s="26">
        <v>9.6</v>
      </c>
      <c r="Q116" s="26">
        <f>100-65.6</f>
        <v>34.400000000000006</v>
      </c>
      <c r="R116" s="22" t="s">
        <v>2154</v>
      </c>
      <c r="S116" s="22">
        <v>2</v>
      </c>
      <c r="T116" s="22">
        <v>419</v>
      </c>
      <c r="U116" s="22">
        <v>2</v>
      </c>
      <c r="V116" s="39">
        <v>207</v>
      </c>
      <c r="W116" s="39">
        <v>212</v>
      </c>
      <c r="X116" s="48" t="s">
        <v>59</v>
      </c>
      <c r="Y116" s="48" t="s">
        <v>59</v>
      </c>
      <c r="Z116" s="22">
        <v>0</v>
      </c>
      <c r="AA116" s="22">
        <v>0</v>
      </c>
      <c r="AB116" s="22">
        <v>0</v>
      </c>
      <c r="AC116" s="22">
        <v>15</v>
      </c>
      <c r="AD116" s="22">
        <v>16</v>
      </c>
      <c r="AF116" s="26" t="s">
        <v>1407</v>
      </c>
      <c r="AG116" s="26" t="s">
        <v>1407</v>
      </c>
      <c r="AN116" s="41" t="s">
        <v>489</v>
      </c>
      <c r="AO116" s="41" t="s">
        <v>489</v>
      </c>
      <c r="AP116" s="41" t="s">
        <v>489</v>
      </c>
      <c r="AQ116" s="41" t="s">
        <v>489</v>
      </c>
    </row>
    <row r="117" spans="1:46">
      <c r="A117" s="172" t="s">
        <v>2155</v>
      </c>
      <c r="B117" s="193">
        <v>8396</v>
      </c>
      <c r="C117" s="22" t="s">
        <v>2156</v>
      </c>
      <c r="D117" s="22" t="s">
        <v>2157</v>
      </c>
      <c r="E117" s="22" t="s">
        <v>2158</v>
      </c>
      <c r="F117" s="22" t="s">
        <v>2159</v>
      </c>
      <c r="G117" s="192" t="s">
        <v>2266</v>
      </c>
      <c r="H117" s="192" t="s">
        <v>2266</v>
      </c>
      <c r="I117" s="192" t="s">
        <v>2266</v>
      </c>
      <c r="J117" s="43" t="s">
        <v>2265</v>
      </c>
      <c r="K117" s="26">
        <v>0</v>
      </c>
      <c r="L117" s="26" t="s">
        <v>1434</v>
      </c>
      <c r="M117" s="34">
        <v>2007</v>
      </c>
      <c r="N117" s="22" t="s">
        <v>1491</v>
      </c>
      <c r="O117" s="26">
        <v>52</v>
      </c>
      <c r="P117" s="26" t="s">
        <v>2160</v>
      </c>
      <c r="Q117" s="26">
        <v>55</v>
      </c>
      <c r="R117" s="22" t="s">
        <v>2161</v>
      </c>
      <c r="S117" s="22">
        <v>3</v>
      </c>
      <c r="T117" s="22">
        <v>404</v>
      </c>
      <c r="U117" s="193">
        <v>4</v>
      </c>
      <c r="V117" s="39">
        <v>102</v>
      </c>
      <c r="W117" s="39">
        <v>100</v>
      </c>
      <c r="X117" s="48">
        <v>102</v>
      </c>
      <c r="Y117" s="48">
        <v>100</v>
      </c>
      <c r="Z117" s="22">
        <v>1</v>
      </c>
      <c r="AA117" s="22">
        <v>0</v>
      </c>
      <c r="AB117" s="22">
        <v>0</v>
      </c>
      <c r="AC117" s="22">
        <v>18</v>
      </c>
      <c r="AD117" s="22">
        <v>18</v>
      </c>
      <c r="AF117" s="26" t="s">
        <v>1407</v>
      </c>
      <c r="AG117" s="26" t="s">
        <v>1407</v>
      </c>
      <c r="AN117" s="41" t="s">
        <v>1407</v>
      </c>
      <c r="AT117" s="41" t="s">
        <v>1407</v>
      </c>
    </row>
    <row r="118" spans="1:46">
      <c r="A118" s="172" t="s">
        <v>269</v>
      </c>
      <c r="B118" s="22">
        <v>8500</v>
      </c>
      <c r="C118" s="22" t="s">
        <v>2162</v>
      </c>
      <c r="D118" s="22" t="s">
        <v>2163</v>
      </c>
      <c r="E118" s="22" t="s">
        <v>2164</v>
      </c>
      <c r="F118" s="22" t="s">
        <v>2165</v>
      </c>
      <c r="G118" s="192" t="s">
        <v>2266</v>
      </c>
      <c r="H118" s="192" t="s">
        <v>2266</v>
      </c>
      <c r="I118" s="192" t="s">
        <v>2266</v>
      </c>
      <c r="J118" s="43" t="s">
        <v>2265</v>
      </c>
      <c r="K118" s="26">
        <v>0</v>
      </c>
      <c r="L118" s="26" t="s">
        <v>1434</v>
      </c>
      <c r="M118" s="34">
        <v>1999</v>
      </c>
      <c r="N118" s="22" t="s">
        <v>1844</v>
      </c>
      <c r="O118" s="26">
        <f>(57.1+61.9)/2</f>
        <v>59.5</v>
      </c>
      <c r="P118" s="26">
        <f>(12.4+9.4)/2</f>
        <v>10.9</v>
      </c>
      <c r="Q118" s="26">
        <f>(57+50)/2</f>
        <v>53.5</v>
      </c>
      <c r="R118" s="22" t="s">
        <v>2166</v>
      </c>
      <c r="S118" s="22">
        <v>2</v>
      </c>
      <c r="T118" s="22">
        <v>62</v>
      </c>
      <c r="U118" s="22">
        <v>2</v>
      </c>
      <c r="V118" s="39">
        <v>29</v>
      </c>
      <c r="W118" s="39">
        <v>33</v>
      </c>
      <c r="X118" s="48" t="s">
        <v>59</v>
      </c>
      <c r="Y118" s="48" t="s">
        <v>59</v>
      </c>
      <c r="Z118" s="22">
        <v>0</v>
      </c>
      <c r="AA118" s="22">
        <v>0</v>
      </c>
      <c r="AB118" s="22">
        <v>0</v>
      </c>
      <c r="AC118" s="22">
        <v>6</v>
      </c>
      <c r="AD118" s="22">
        <v>6</v>
      </c>
      <c r="AF118" s="26" t="s">
        <v>1407</v>
      </c>
      <c r="AG118" s="26" t="s">
        <v>1407</v>
      </c>
      <c r="AN118" s="41" t="s">
        <v>489</v>
      </c>
    </row>
    <row r="119" spans="1:46">
      <c r="A119" s="28" t="s">
        <v>2167</v>
      </c>
      <c r="B119" s="22">
        <v>8502</v>
      </c>
      <c r="C119" s="22" t="s">
        <v>2168</v>
      </c>
      <c r="D119" s="22" t="s">
        <v>2169</v>
      </c>
      <c r="E119" s="22" t="s">
        <v>2170</v>
      </c>
      <c r="F119" s="22" t="s">
        <v>1400</v>
      </c>
      <c r="G119" s="192" t="s">
        <v>2266</v>
      </c>
      <c r="H119" s="192" t="s">
        <v>2266</v>
      </c>
      <c r="I119" s="192" t="s">
        <v>2266</v>
      </c>
      <c r="J119" s="22" t="s">
        <v>485</v>
      </c>
      <c r="K119" s="26">
        <v>135</v>
      </c>
      <c r="L119" s="26">
        <v>135</v>
      </c>
      <c r="M119" s="34">
        <v>2004</v>
      </c>
      <c r="N119" s="22" t="s">
        <v>2171</v>
      </c>
      <c r="O119" s="26">
        <f>(49+54)/2</f>
        <v>51.5</v>
      </c>
      <c r="P119" s="26">
        <v>10</v>
      </c>
      <c r="Q119" s="26">
        <f>(56.3+48.9)/2</f>
        <v>52.599999999999994</v>
      </c>
      <c r="R119" s="22" t="s">
        <v>2172</v>
      </c>
      <c r="S119" s="22">
        <v>3</v>
      </c>
      <c r="T119" s="22">
        <v>398</v>
      </c>
      <c r="U119" s="22">
        <v>2</v>
      </c>
      <c r="V119" s="39">
        <v>176</v>
      </c>
      <c r="W119" s="39">
        <v>222</v>
      </c>
      <c r="X119" s="48" t="s">
        <v>59</v>
      </c>
      <c r="Y119" s="48" t="s">
        <v>59</v>
      </c>
      <c r="Z119" s="22">
        <v>1</v>
      </c>
      <c r="AA119" s="22">
        <v>0</v>
      </c>
      <c r="AB119" s="22">
        <v>1</v>
      </c>
      <c r="AC119" s="22">
        <v>12</v>
      </c>
      <c r="AD119" s="22">
        <v>12</v>
      </c>
      <c r="AF119" s="26" t="s">
        <v>1407</v>
      </c>
      <c r="AG119" s="26" t="s">
        <v>1407</v>
      </c>
      <c r="AN119" s="41" t="s">
        <v>489</v>
      </c>
      <c r="AO119" s="41" t="s">
        <v>489</v>
      </c>
      <c r="AP119" s="41" t="s">
        <v>489</v>
      </c>
      <c r="AS119" s="41" t="s">
        <v>489</v>
      </c>
    </row>
    <row r="120" spans="1:46">
      <c r="A120" s="172" t="s">
        <v>2173</v>
      </c>
      <c r="B120" s="22">
        <v>8506</v>
      </c>
      <c r="C120" s="22" t="s">
        <v>2174</v>
      </c>
      <c r="D120" s="22" t="s">
        <v>2175</v>
      </c>
      <c r="E120" s="22" t="s">
        <v>2176</v>
      </c>
      <c r="F120" s="22" t="s">
        <v>2177</v>
      </c>
      <c r="G120" s="192" t="s">
        <v>2266</v>
      </c>
      <c r="H120" s="192" t="s">
        <v>2266</v>
      </c>
      <c r="I120" s="192" t="s">
        <v>2266</v>
      </c>
      <c r="J120" s="43" t="s">
        <v>2265</v>
      </c>
      <c r="K120" s="26">
        <v>0</v>
      </c>
      <c r="L120" s="26" t="s">
        <v>1434</v>
      </c>
      <c r="M120" s="34">
        <v>2005</v>
      </c>
      <c r="N120" s="22" t="s">
        <v>1844</v>
      </c>
      <c r="O120" s="26">
        <f>(53.7+55.9)/2</f>
        <v>54.8</v>
      </c>
      <c r="P120" s="26">
        <f>(7.5+8.6)/2</f>
        <v>8.0500000000000007</v>
      </c>
      <c r="Q120" s="26">
        <f>(27/36+22/26)/2*100</f>
        <v>79.807692307692307</v>
      </c>
      <c r="R120" s="22" t="s">
        <v>2178</v>
      </c>
      <c r="S120" s="22">
        <v>2</v>
      </c>
      <c r="T120" s="43">
        <f>36+36</f>
        <v>72</v>
      </c>
      <c r="U120" s="22">
        <v>2</v>
      </c>
      <c r="V120" s="39">
        <v>36</v>
      </c>
      <c r="W120" s="39">
        <v>36</v>
      </c>
      <c r="X120" s="48" t="s">
        <v>59</v>
      </c>
      <c r="Y120" s="48" t="s">
        <v>59</v>
      </c>
      <c r="Z120" s="22">
        <v>0</v>
      </c>
      <c r="AA120" s="22">
        <v>0</v>
      </c>
      <c r="AB120" s="22">
        <v>0</v>
      </c>
      <c r="AC120" s="22">
        <v>12</v>
      </c>
      <c r="AD120" s="22">
        <v>18</v>
      </c>
      <c r="AF120" s="26" t="s">
        <v>1407</v>
      </c>
      <c r="AG120" s="26" t="s">
        <v>1407</v>
      </c>
      <c r="AI120" s="41" t="s">
        <v>489</v>
      </c>
      <c r="AN120" s="41" t="s">
        <v>489</v>
      </c>
      <c r="AO120" s="41" t="s">
        <v>489</v>
      </c>
      <c r="AP120" s="41" t="s">
        <v>489</v>
      </c>
      <c r="AQ120" s="41" t="s">
        <v>489</v>
      </c>
      <c r="AR120" s="41" t="s">
        <v>489</v>
      </c>
    </row>
    <row r="121" spans="1:46">
      <c r="A121" s="169" t="s">
        <v>271</v>
      </c>
      <c r="B121" s="22">
        <v>9010</v>
      </c>
      <c r="C121" s="43" t="s">
        <v>480</v>
      </c>
      <c r="D121" s="43" t="s">
        <v>481</v>
      </c>
      <c r="E121" s="44" t="s">
        <v>482</v>
      </c>
      <c r="F121" s="22" t="s">
        <v>483</v>
      </c>
      <c r="G121" s="43" t="s">
        <v>484</v>
      </c>
      <c r="H121" s="22">
        <v>1</v>
      </c>
      <c r="I121" s="43" t="s">
        <v>61</v>
      </c>
      <c r="J121" s="22" t="s">
        <v>485</v>
      </c>
      <c r="K121" s="26">
        <v>10</v>
      </c>
      <c r="L121" s="26">
        <v>43</v>
      </c>
      <c r="M121" s="34">
        <v>2004</v>
      </c>
      <c r="N121" s="43" t="s">
        <v>486</v>
      </c>
      <c r="O121" s="26" t="s">
        <v>61</v>
      </c>
      <c r="P121" s="26" t="s">
        <v>61</v>
      </c>
      <c r="Q121" s="26" t="s">
        <v>61</v>
      </c>
      <c r="R121" s="43" t="s">
        <v>487</v>
      </c>
      <c r="S121" s="22">
        <v>3</v>
      </c>
      <c r="T121" s="22">
        <v>307</v>
      </c>
      <c r="U121" s="22">
        <v>2</v>
      </c>
      <c r="V121" s="26">
        <v>111</v>
      </c>
      <c r="W121" s="26">
        <v>196</v>
      </c>
      <c r="X121" s="26" t="s">
        <v>59</v>
      </c>
      <c r="Y121" s="26" t="s">
        <v>59</v>
      </c>
      <c r="Z121" s="22">
        <v>0</v>
      </c>
      <c r="AA121" s="22">
        <v>0</v>
      </c>
      <c r="AB121" s="22">
        <v>0</v>
      </c>
      <c r="AC121" s="22">
        <v>18</v>
      </c>
      <c r="AD121" s="22">
        <v>18</v>
      </c>
      <c r="AE121" s="43" t="s">
        <v>488</v>
      </c>
      <c r="AF121" s="26" t="s">
        <v>489</v>
      </c>
      <c r="AG121" s="26" t="s">
        <v>1407</v>
      </c>
      <c r="AK121" s="41" t="s">
        <v>489</v>
      </c>
      <c r="AL121" s="41" t="s">
        <v>489</v>
      </c>
      <c r="AN121" s="41" t="s">
        <v>489</v>
      </c>
      <c r="AO121" s="41" t="s">
        <v>489</v>
      </c>
      <c r="AP121" s="41" t="s">
        <v>489</v>
      </c>
      <c r="AR121" s="41" t="s">
        <v>489</v>
      </c>
    </row>
    <row r="122" spans="1:46">
      <c r="A122" s="172" t="s">
        <v>328</v>
      </c>
      <c r="B122" s="22">
        <v>9016</v>
      </c>
      <c r="C122" s="43" t="s">
        <v>810</v>
      </c>
      <c r="D122" s="43" t="s">
        <v>811</v>
      </c>
      <c r="E122" s="44" t="s">
        <v>812</v>
      </c>
      <c r="F122" s="43" t="s">
        <v>813</v>
      </c>
      <c r="G122" s="43" t="s">
        <v>814</v>
      </c>
      <c r="H122" s="22">
        <v>0</v>
      </c>
      <c r="I122" s="43" t="s">
        <v>815</v>
      </c>
      <c r="J122" s="43" t="s">
        <v>2265</v>
      </c>
      <c r="K122" s="48" t="s">
        <v>59</v>
      </c>
      <c r="L122" s="48" t="s">
        <v>59</v>
      </c>
      <c r="M122" s="34">
        <v>2010</v>
      </c>
      <c r="N122" s="43" t="s">
        <v>816</v>
      </c>
      <c r="O122" s="26" t="s">
        <v>61</v>
      </c>
      <c r="P122" s="26" t="s">
        <v>61</v>
      </c>
      <c r="Q122" s="26" t="s">
        <v>61</v>
      </c>
      <c r="R122" s="43" t="s">
        <v>817</v>
      </c>
      <c r="S122" s="43">
        <v>2</v>
      </c>
      <c r="T122" s="43">
        <v>65</v>
      </c>
      <c r="U122" s="43">
        <v>2</v>
      </c>
      <c r="V122" s="26">
        <v>32</v>
      </c>
      <c r="W122" s="26">
        <v>33</v>
      </c>
      <c r="X122" s="26" t="s">
        <v>59</v>
      </c>
      <c r="Y122" s="26" t="s">
        <v>59</v>
      </c>
      <c r="Z122" s="22">
        <v>0</v>
      </c>
      <c r="AA122" s="22">
        <v>0</v>
      </c>
      <c r="AB122" s="34" t="s">
        <v>59</v>
      </c>
      <c r="AC122" s="34">
        <v>12</v>
      </c>
      <c r="AD122" s="34">
        <v>12</v>
      </c>
      <c r="AE122" s="22" t="s">
        <v>59</v>
      </c>
      <c r="AF122" s="48" t="s">
        <v>489</v>
      </c>
      <c r="AG122" s="26" t="s">
        <v>1407</v>
      </c>
      <c r="AJ122" s="41"/>
      <c r="AK122" s="41"/>
      <c r="AL122" s="41"/>
      <c r="AM122" s="41"/>
      <c r="AN122" s="41" t="s">
        <v>489</v>
      </c>
      <c r="AO122" s="41" t="s">
        <v>489</v>
      </c>
      <c r="AP122" s="41" t="s">
        <v>489</v>
      </c>
      <c r="AQ122" s="41"/>
    </row>
    <row r="123" spans="1:46">
      <c r="A123" s="172" t="s">
        <v>818</v>
      </c>
      <c r="B123" s="22">
        <v>9017</v>
      </c>
      <c r="C123" s="43" t="s">
        <v>819</v>
      </c>
      <c r="D123" s="43" t="s">
        <v>820</v>
      </c>
      <c r="E123" s="50" t="s">
        <v>821</v>
      </c>
      <c r="F123" s="43" t="s">
        <v>822</v>
      </c>
      <c r="G123" s="22" t="s">
        <v>61</v>
      </c>
      <c r="H123" s="22">
        <v>0</v>
      </c>
      <c r="I123" s="22" t="s">
        <v>823</v>
      </c>
      <c r="J123" s="43" t="s">
        <v>2265</v>
      </c>
      <c r="K123" s="26" t="s">
        <v>59</v>
      </c>
      <c r="L123" s="26" t="s">
        <v>59</v>
      </c>
      <c r="M123" s="34">
        <v>2010</v>
      </c>
      <c r="N123" s="22" t="s">
        <v>496</v>
      </c>
      <c r="O123" s="26" t="s">
        <v>61</v>
      </c>
      <c r="P123" s="26" t="s">
        <v>61</v>
      </c>
      <c r="Q123" s="26" t="s">
        <v>61</v>
      </c>
      <c r="R123" s="22" t="s">
        <v>824</v>
      </c>
      <c r="S123" s="22">
        <v>4</v>
      </c>
      <c r="T123" s="22">
        <v>214</v>
      </c>
      <c r="U123" s="22">
        <v>2</v>
      </c>
      <c r="V123" s="26">
        <v>108</v>
      </c>
      <c r="W123" s="26">
        <v>106</v>
      </c>
      <c r="X123" s="26" t="s">
        <v>59</v>
      </c>
      <c r="Y123" s="26" t="s">
        <v>59</v>
      </c>
      <c r="Z123" s="22">
        <v>0</v>
      </c>
      <c r="AA123" s="22">
        <v>0</v>
      </c>
      <c r="AB123" s="34" t="s">
        <v>59</v>
      </c>
      <c r="AC123" s="22">
        <v>12</v>
      </c>
      <c r="AD123" s="22">
        <v>12</v>
      </c>
      <c r="AE123" s="22" t="s">
        <v>59</v>
      </c>
      <c r="AF123" s="26" t="s">
        <v>489</v>
      </c>
      <c r="AG123" s="26" t="s">
        <v>1407</v>
      </c>
      <c r="AN123" s="41" t="s">
        <v>489</v>
      </c>
      <c r="AO123" s="41" t="s">
        <v>489</v>
      </c>
      <c r="AQ123" s="41" t="s">
        <v>489</v>
      </c>
      <c r="AT123" s="41"/>
    </row>
    <row r="124" spans="1:46">
      <c r="A124" s="172" t="s">
        <v>330</v>
      </c>
      <c r="B124" s="22">
        <v>9023</v>
      </c>
      <c r="C124" s="22" t="s">
        <v>825</v>
      </c>
      <c r="D124" s="43" t="s">
        <v>826</v>
      </c>
      <c r="E124" s="44" t="s">
        <v>827</v>
      </c>
      <c r="F124" s="22" t="s">
        <v>828</v>
      </c>
      <c r="G124" s="43" t="s">
        <v>61</v>
      </c>
      <c r="H124" s="22">
        <v>1</v>
      </c>
      <c r="I124" s="43" t="s">
        <v>61</v>
      </c>
      <c r="J124" s="43" t="s">
        <v>2265</v>
      </c>
      <c r="K124" s="48" t="s">
        <v>59</v>
      </c>
      <c r="L124" s="48" t="s">
        <v>59</v>
      </c>
      <c r="M124" s="34">
        <v>2010</v>
      </c>
      <c r="N124" s="22" t="s">
        <v>544</v>
      </c>
      <c r="O124" s="26">
        <v>61.3</v>
      </c>
      <c r="P124" s="48">
        <v>6.5</v>
      </c>
      <c r="Q124" s="26">
        <v>68</v>
      </c>
      <c r="R124" s="43" t="s">
        <v>829</v>
      </c>
      <c r="S124" s="22">
        <v>2</v>
      </c>
      <c r="T124" s="22">
        <v>41</v>
      </c>
      <c r="U124" s="22">
        <v>2</v>
      </c>
      <c r="V124" s="26">
        <v>21</v>
      </c>
      <c r="W124" s="26">
        <v>20</v>
      </c>
      <c r="X124" s="48" t="s">
        <v>59</v>
      </c>
      <c r="Y124" s="48" t="s">
        <v>59</v>
      </c>
      <c r="Z124" s="22">
        <v>0</v>
      </c>
      <c r="AA124" s="22">
        <v>0</v>
      </c>
      <c r="AB124" s="49" t="s">
        <v>59</v>
      </c>
      <c r="AC124" s="22">
        <v>3</v>
      </c>
      <c r="AD124" s="22">
        <v>13</v>
      </c>
      <c r="AE124" s="43" t="s">
        <v>59</v>
      </c>
      <c r="AF124" s="48" t="s">
        <v>489</v>
      </c>
      <c r="AG124" s="26" t="s">
        <v>1407</v>
      </c>
      <c r="AN124" s="41" t="s">
        <v>489</v>
      </c>
      <c r="AO124" s="41" t="s">
        <v>489</v>
      </c>
      <c r="AP124" s="41" t="s">
        <v>489</v>
      </c>
      <c r="AQ124" s="41"/>
    </row>
    <row r="125" spans="1:46">
      <c r="A125" s="171" t="s">
        <v>331</v>
      </c>
      <c r="B125" s="22">
        <v>9045</v>
      </c>
      <c r="C125" s="22" t="s">
        <v>830</v>
      </c>
      <c r="D125" s="22" t="s">
        <v>831</v>
      </c>
      <c r="E125" s="44" t="s">
        <v>517</v>
      </c>
      <c r="F125" s="22" t="s">
        <v>518</v>
      </c>
      <c r="G125" s="43" t="s">
        <v>61</v>
      </c>
      <c r="H125" s="22">
        <v>0</v>
      </c>
      <c r="I125" s="43" t="s">
        <v>832</v>
      </c>
      <c r="J125" s="43" t="s">
        <v>2265</v>
      </c>
      <c r="K125" s="48" t="s">
        <v>59</v>
      </c>
      <c r="L125" s="48" t="s">
        <v>59</v>
      </c>
      <c r="M125" s="34">
        <v>2009</v>
      </c>
      <c r="N125" s="22" t="s">
        <v>496</v>
      </c>
      <c r="O125" s="26">
        <v>62</v>
      </c>
      <c r="P125" s="26">
        <v>6.3</v>
      </c>
      <c r="Q125" s="26">
        <v>100</v>
      </c>
      <c r="R125" s="22" t="s">
        <v>833</v>
      </c>
      <c r="S125" s="22">
        <v>4</v>
      </c>
      <c r="T125" s="22">
        <v>245</v>
      </c>
      <c r="U125" s="22">
        <v>2</v>
      </c>
      <c r="V125" s="26">
        <v>119</v>
      </c>
      <c r="W125" s="26">
        <v>126</v>
      </c>
      <c r="X125" s="26" t="s">
        <v>59</v>
      </c>
      <c r="Y125" s="26" t="s">
        <v>59</v>
      </c>
      <c r="Z125" s="22">
        <v>0</v>
      </c>
      <c r="AA125" s="22">
        <v>1</v>
      </c>
      <c r="AB125" s="34" t="s">
        <v>59</v>
      </c>
      <c r="AC125" s="22">
        <v>6</v>
      </c>
      <c r="AD125" s="22">
        <v>6</v>
      </c>
      <c r="AE125" s="22" t="s">
        <v>59</v>
      </c>
      <c r="AF125" s="26" t="s">
        <v>489</v>
      </c>
      <c r="AG125" s="26" t="s">
        <v>1407</v>
      </c>
      <c r="AN125" s="41" t="s">
        <v>489</v>
      </c>
      <c r="AO125" s="41" t="s">
        <v>489</v>
      </c>
      <c r="AP125" s="41" t="s">
        <v>489</v>
      </c>
      <c r="AQ125" s="41"/>
    </row>
    <row r="126" spans="1:46">
      <c r="A126" s="171" t="s">
        <v>332</v>
      </c>
      <c r="B126" s="22">
        <v>9075</v>
      </c>
      <c r="C126" s="22" t="s">
        <v>834</v>
      </c>
      <c r="D126" s="43" t="s">
        <v>835</v>
      </c>
      <c r="E126" s="50" t="s">
        <v>836</v>
      </c>
      <c r="F126" s="22" t="s">
        <v>837</v>
      </c>
      <c r="G126" s="22" t="s">
        <v>61</v>
      </c>
      <c r="H126" s="22">
        <v>0</v>
      </c>
      <c r="I126" s="198" t="s">
        <v>838</v>
      </c>
      <c r="J126" s="43" t="s">
        <v>2265</v>
      </c>
      <c r="K126" s="48" t="s">
        <v>59</v>
      </c>
      <c r="L126" s="48" t="s">
        <v>59</v>
      </c>
      <c r="M126" s="34">
        <v>2008</v>
      </c>
      <c r="N126" s="43" t="s">
        <v>839</v>
      </c>
      <c r="O126" s="26" t="s">
        <v>61</v>
      </c>
      <c r="P126" s="26" t="s">
        <v>61</v>
      </c>
      <c r="Q126" s="26" t="s">
        <v>61</v>
      </c>
      <c r="R126" s="43" t="s">
        <v>840</v>
      </c>
      <c r="S126" s="22">
        <v>2</v>
      </c>
      <c r="T126" s="22">
        <v>100</v>
      </c>
      <c r="U126" s="22">
        <v>2</v>
      </c>
      <c r="V126" s="26">
        <v>50</v>
      </c>
      <c r="W126" s="26">
        <v>50</v>
      </c>
      <c r="X126" s="48" t="s">
        <v>59</v>
      </c>
      <c r="Y126" s="48" t="s">
        <v>59</v>
      </c>
      <c r="Z126" s="22">
        <v>0</v>
      </c>
      <c r="AA126" s="22">
        <v>0</v>
      </c>
      <c r="AB126" s="49" t="s">
        <v>59</v>
      </c>
      <c r="AC126" s="22">
        <v>3</v>
      </c>
      <c r="AD126" s="22">
        <v>3</v>
      </c>
      <c r="AE126" s="43" t="s">
        <v>59</v>
      </c>
      <c r="AF126" s="48" t="s">
        <v>489</v>
      </c>
      <c r="AG126" s="26" t="s">
        <v>1407</v>
      </c>
      <c r="AN126" s="41" t="s">
        <v>489</v>
      </c>
      <c r="AT126" s="41" t="s">
        <v>489</v>
      </c>
    </row>
    <row r="127" spans="1:46">
      <c r="A127" s="173" t="s">
        <v>333</v>
      </c>
      <c r="B127" s="52">
        <v>9126</v>
      </c>
      <c r="C127" s="52" t="s">
        <v>841</v>
      </c>
      <c r="D127" s="52" t="s">
        <v>842</v>
      </c>
      <c r="E127" s="44" t="s">
        <v>843</v>
      </c>
      <c r="F127" s="52" t="s">
        <v>844</v>
      </c>
      <c r="G127" s="52" t="s">
        <v>61</v>
      </c>
      <c r="H127" s="52">
        <v>0</v>
      </c>
      <c r="I127" s="52" t="s">
        <v>845</v>
      </c>
      <c r="J127" s="43" t="s">
        <v>2265</v>
      </c>
      <c r="K127" s="39" t="s">
        <v>59</v>
      </c>
      <c r="L127" s="39" t="s">
        <v>59</v>
      </c>
      <c r="M127" s="51">
        <v>2010</v>
      </c>
      <c r="N127" s="52" t="s">
        <v>719</v>
      </c>
      <c r="O127" s="26" t="s">
        <v>61</v>
      </c>
      <c r="P127" s="26" t="s">
        <v>61</v>
      </c>
      <c r="Q127" s="26" t="s">
        <v>61</v>
      </c>
      <c r="R127" s="52" t="s">
        <v>846</v>
      </c>
      <c r="S127" s="52">
        <v>2</v>
      </c>
      <c r="T127" s="52">
        <v>74</v>
      </c>
      <c r="U127" s="52">
        <v>2</v>
      </c>
      <c r="V127" s="39">
        <v>36</v>
      </c>
      <c r="W127" s="39">
        <v>38</v>
      </c>
      <c r="X127" s="39" t="s">
        <v>59</v>
      </c>
      <c r="Y127" s="39" t="s">
        <v>59</v>
      </c>
      <c r="Z127" s="52">
        <v>0</v>
      </c>
      <c r="AA127" s="52">
        <v>0</v>
      </c>
      <c r="AB127" s="51" t="s">
        <v>59</v>
      </c>
      <c r="AC127" s="52">
        <v>24</v>
      </c>
      <c r="AD127" s="52">
        <v>24</v>
      </c>
      <c r="AE127" s="52" t="s">
        <v>59</v>
      </c>
      <c r="AF127" s="39" t="s">
        <v>489</v>
      </c>
      <c r="AG127" s="26" t="s">
        <v>1407</v>
      </c>
      <c r="AH127" s="166" t="s">
        <v>489</v>
      </c>
      <c r="AI127" s="166" t="s">
        <v>489</v>
      </c>
      <c r="AJ127" s="166" t="s">
        <v>489</v>
      </c>
      <c r="AK127" s="166"/>
      <c r="AL127" s="166"/>
      <c r="AM127" s="166"/>
      <c r="AN127" s="166" t="s">
        <v>489</v>
      </c>
      <c r="AO127" s="166" t="s">
        <v>489</v>
      </c>
      <c r="AP127" s="166" t="s">
        <v>489</v>
      </c>
      <c r="AQ127" s="166" t="s">
        <v>489</v>
      </c>
      <c r="AR127" s="39"/>
      <c r="AS127" s="39"/>
      <c r="AT127" s="39"/>
    </row>
    <row r="128" spans="1:46">
      <c r="A128" s="172" t="s">
        <v>334</v>
      </c>
      <c r="B128" s="22">
        <v>9128</v>
      </c>
      <c r="C128" s="43" t="s">
        <v>847</v>
      </c>
      <c r="D128" s="43" t="s">
        <v>848</v>
      </c>
      <c r="E128" s="44" t="s">
        <v>777</v>
      </c>
      <c r="F128" s="43" t="s">
        <v>778</v>
      </c>
      <c r="G128" s="43" t="s">
        <v>61</v>
      </c>
      <c r="H128" s="22">
        <v>1</v>
      </c>
      <c r="I128" s="43" t="s">
        <v>61</v>
      </c>
      <c r="J128" s="43" t="s">
        <v>2265</v>
      </c>
      <c r="K128" s="26" t="s">
        <v>59</v>
      </c>
      <c r="L128" s="26" t="s">
        <v>59</v>
      </c>
      <c r="M128" s="34">
        <v>2008</v>
      </c>
      <c r="N128" s="22" t="s">
        <v>496</v>
      </c>
      <c r="O128" s="26" t="s">
        <v>61</v>
      </c>
      <c r="P128" s="26" t="s">
        <v>61</v>
      </c>
      <c r="Q128" s="26" t="s">
        <v>61</v>
      </c>
      <c r="R128" s="22" t="s">
        <v>849</v>
      </c>
      <c r="S128" s="22">
        <v>2</v>
      </c>
      <c r="T128" s="22">
        <v>58</v>
      </c>
      <c r="U128" s="22">
        <v>2</v>
      </c>
      <c r="V128" s="26">
        <v>29</v>
      </c>
      <c r="W128" s="26">
        <v>29</v>
      </c>
      <c r="X128" s="26" t="s">
        <v>59</v>
      </c>
      <c r="Y128" s="26" t="s">
        <v>59</v>
      </c>
      <c r="Z128" s="22">
        <v>0</v>
      </c>
      <c r="AA128" s="22">
        <v>0</v>
      </c>
      <c r="AB128" s="34" t="s">
        <v>59</v>
      </c>
      <c r="AC128" s="22">
        <v>3</v>
      </c>
      <c r="AD128" s="22">
        <v>3</v>
      </c>
      <c r="AE128" s="22" t="s">
        <v>59</v>
      </c>
      <c r="AF128" s="48" t="s">
        <v>489</v>
      </c>
      <c r="AG128" s="26" t="s">
        <v>1407</v>
      </c>
      <c r="AN128" s="41" t="s">
        <v>489</v>
      </c>
    </row>
    <row r="129" spans="1:46">
      <c r="A129" s="172" t="s">
        <v>335</v>
      </c>
      <c r="B129" s="22">
        <v>9146</v>
      </c>
      <c r="C129" s="22" t="s">
        <v>850</v>
      </c>
      <c r="D129" s="22" t="s">
        <v>851</v>
      </c>
      <c r="E129" s="44" t="s">
        <v>852</v>
      </c>
      <c r="F129" s="22" t="s">
        <v>853</v>
      </c>
      <c r="G129" s="43" t="s">
        <v>61</v>
      </c>
      <c r="H129" s="22">
        <v>0</v>
      </c>
      <c r="I129" s="43" t="s">
        <v>61</v>
      </c>
      <c r="J129" s="43" t="s">
        <v>2265</v>
      </c>
      <c r="K129" s="26" t="s">
        <v>59</v>
      </c>
      <c r="L129" s="26" t="s">
        <v>59</v>
      </c>
      <c r="M129" s="34">
        <v>2007</v>
      </c>
      <c r="N129" s="22" t="s">
        <v>854</v>
      </c>
      <c r="O129" s="26" t="s">
        <v>61</v>
      </c>
      <c r="P129" s="26" t="s">
        <v>61</v>
      </c>
      <c r="Q129" s="26" t="s">
        <v>61</v>
      </c>
      <c r="R129" s="22" t="s">
        <v>855</v>
      </c>
      <c r="S129" s="22">
        <v>2</v>
      </c>
      <c r="T129" s="22">
        <v>58</v>
      </c>
      <c r="U129" s="22">
        <v>2</v>
      </c>
      <c r="V129" s="26">
        <v>28</v>
      </c>
      <c r="W129" s="26">
        <v>30</v>
      </c>
      <c r="X129" s="26" t="s">
        <v>59</v>
      </c>
      <c r="Y129" s="26" t="s">
        <v>59</v>
      </c>
      <c r="Z129" s="22">
        <v>0</v>
      </c>
      <c r="AA129" s="22">
        <v>0</v>
      </c>
      <c r="AB129" s="49" t="s">
        <v>59</v>
      </c>
      <c r="AC129" s="22">
        <v>6</v>
      </c>
      <c r="AD129" s="22">
        <v>6</v>
      </c>
      <c r="AE129" s="43" t="s">
        <v>59</v>
      </c>
      <c r="AF129" s="48" t="s">
        <v>489</v>
      </c>
      <c r="AG129" s="26" t="s">
        <v>1407</v>
      </c>
      <c r="AN129" s="41" t="s">
        <v>489</v>
      </c>
    </row>
    <row r="130" spans="1:46">
      <c r="A130" s="169" t="s">
        <v>272</v>
      </c>
      <c r="B130" s="22">
        <v>9147</v>
      </c>
      <c r="C130" s="43" t="s">
        <v>490</v>
      </c>
      <c r="D130" s="43" t="s">
        <v>491</v>
      </c>
      <c r="E130" s="44" t="s">
        <v>492</v>
      </c>
      <c r="F130" s="43" t="s">
        <v>493</v>
      </c>
      <c r="G130" s="43" t="s">
        <v>494</v>
      </c>
      <c r="H130" s="22">
        <v>0</v>
      </c>
      <c r="I130" s="43" t="s">
        <v>495</v>
      </c>
      <c r="J130" s="22" t="s">
        <v>485</v>
      </c>
      <c r="K130" s="26">
        <v>64</v>
      </c>
      <c r="L130" s="26">
        <v>132</v>
      </c>
      <c r="M130" s="34">
        <v>2007</v>
      </c>
      <c r="N130" s="22" t="s">
        <v>496</v>
      </c>
      <c r="O130" s="26" t="s">
        <v>61</v>
      </c>
      <c r="P130" s="26" t="s">
        <v>61</v>
      </c>
      <c r="Q130" s="26" t="s">
        <v>61</v>
      </c>
      <c r="R130" s="22" t="s">
        <v>497</v>
      </c>
      <c r="S130" s="22">
        <v>3</v>
      </c>
      <c r="T130" s="22">
        <v>7412</v>
      </c>
      <c r="U130" s="22">
        <v>2</v>
      </c>
      <c r="V130" s="26">
        <v>3526</v>
      </c>
      <c r="W130" s="26">
        <v>3886</v>
      </c>
      <c r="X130" s="26" t="s">
        <v>59</v>
      </c>
      <c r="Y130" s="26" t="s">
        <v>59</v>
      </c>
      <c r="Z130" s="22">
        <v>0</v>
      </c>
      <c r="AA130" s="22">
        <v>0</v>
      </c>
      <c r="AB130" s="22">
        <v>0</v>
      </c>
      <c r="AC130" s="22">
        <v>24</v>
      </c>
      <c r="AD130" s="22">
        <v>24</v>
      </c>
      <c r="AE130" s="22" t="s">
        <v>498</v>
      </c>
      <c r="AF130" s="48" t="s">
        <v>489</v>
      </c>
      <c r="AG130" s="26" t="s">
        <v>1407</v>
      </c>
      <c r="AM130" s="41" t="s">
        <v>489</v>
      </c>
      <c r="AN130" s="41" t="s">
        <v>489</v>
      </c>
      <c r="AO130" s="41" t="s">
        <v>489</v>
      </c>
      <c r="AP130" s="41" t="s">
        <v>489</v>
      </c>
      <c r="AQ130" s="41" t="s">
        <v>489</v>
      </c>
    </row>
    <row r="131" spans="1:46">
      <c r="A131" s="171" t="s">
        <v>336</v>
      </c>
      <c r="B131" s="22">
        <v>9190</v>
      </c>
      <c r="C131" s="43" t="s">
        <v>856</v>
      </c>
      <c r="D131" s="43" t="s">
        <v>857</v>
      </c>
      <c r="E131" s="44" t="s">
        <v>858</v>
      </c>
      <c r="F131" s="43" t="s">
        <v>859</v>
      </c>
      <c r="G131" s="43" t="s">
        <v>61</v>
      </c>
      <c r="H131" s="22">
        <v>0</v>
      </c>
      <c r="I131" s="22" t="s">
        <v>860</v>
      </c>
      <c r="J131" s="43" t="s">
        <v>2265</v>
      </c>
      <c r="K131" s="48" t="s">
        <v>59</v>
      </c>
      <c r="L131" s="26" t="s">
        <v>59</v>
      </c>
      <c r="M131" s="34">
        <v>2009</v>
      </c>
      <c r="N131" s="22" t="s">
        <v>496</v>
      </c>
      <c r="O131" s="26" t="s">
        <v>61</v>
      </c>
      <c r="P131" s="26" t="s">
        <v>61</v>
      </c>
      <c r="Q131" s="26" t="s">
        <v>61</v>
      </c>
      <c r="R131" s="43" t="s">
        <v>861</v>
      </c>
      <c r="S131" s="22">
        <v>3</v>
      </c>
      <c r="T131" s="22">
        <v>387</v>
      </c>
      <c r="U131" s="22">
        <v>2</v>
      </c>
      <c r="V131" s="26">
        <v>194</v>
      </c>
      <c r="W131" s="26">
        <v>193</v>
      </c>
      <c r="X131" s="48" t="s">
        <v>59</v>
      </c>
      <c r="Y131" s="48" t="s">
        <v>59</v>
      </c>
      <c r="Z131" s="22">
        <v>0</v>
      </c>
      <c r="AA131" s="22">
        <v>0</v>
      </c>
      <c r="AB131" s="49" t="s">
        <v>59</v>
      </c>
      <c r="AC131" s="22">
        <v>18</v>
      </c>
      <c r="AD131" s="22">
        <v>18</v>
      </c>
      <c r="AE131" s="43" t="s">
        <v>59</v>
      </c>
      <c r="AF131" s="26" t="s">
        <v>489</v>
      </c>
      <c r="AG131" s="26" t="s">
        <v>1407</v>
      </c>
      <c r="AN131" s="41" t="s">
        <v>489</v>
      </c>
    </row>
    <row r="132" spans="1:46">
      <c r="A132" s="172" t="s">
        <v>337</v>
      </c>
      <c r="B132" s="22">
        <v>9208</v>
      </c>
      <c r="C132" s="43" t="s">
        <v>869</v>
      </c>
      <c r="D132" s="43" t="s">
        <v>870</v>
      </c>
      <c r="E132" s="44" t="s">
        <v>871</v>
      </c>
      <c r="F132" s="43" t="s">
        <v>872</v>
      </c>
      <c r="G132" s="43" t="s">
        <v>61</v>
      </c>
      <c r="H132" s="22">
        <v>1</v>
      </c>
      <c r="I132" s="43" t="s">
        <v>61</v>
      </c>
      <c r="J132" s="43" t="s">
        <v>2265</v>
      </c>
      <c r="K132" s="48" t="s">
        <v>59</v>
      </c>
      <c r="L132" s="48" t="s">
        <v>59</v>
      </c>
      <c r="M132" s="34">
        <v>2010</v>
      </c>
      <c r="N132" s="22" t="s">
        <v>496</v>
      </c>
      <c r="O132" s="26">
        <v>65.8</v>
      </c>
      <c r="P132" s="26">
        <v>9.35</v>
      </c>
      <c r="Q132" s="26">
        <v>34</v>
      </c>
      <c r="R132" s="22" t="s">
        <v>873</v>
      </c>
      <c r="S132" s="22">
        <v>2</v>
      </c>
      <c r="T132" s="22">
        <v>100</v>
      </c>
      <c r="U132" s="22">
        <v>2</v>
      </c>
      <c r="V132" s="26">
        <v>25</v>
      </c>
      <c r="W132" s="26">
        <v>25</v>
      </c>
      <c r="X132" s="48" t="s">
        <v>59</v>
      </c>
      <c r="Y132" s="26" t="s">
        <v>59</v>
      </c>
      <c r="Z132" s="22">
        <v>0</v>
      </c>
      <c r="AA132" s="22">
        <v>0</v>
      </c>
      <c r="AB132" s="49" t="s">
        <v>59</v>
      </c>
      <c r="AC132" s="22">
        <v>6</v>
      </c>
      <c r="AD132" s="22">
        <v>6</v>
      </c>
      <c r="AE132" s="43" t="s">
        <v>59</v>
      </c>
      <c r="AF132" s="48" t="s">
        <v>489</v>
      </c>
      <c r="AG132" s="26" t="s">
        <v>1407</v>
      </c>
      <c r="AN132" s="41" t="s">
        <v>489</v>
      </c>
    </row>
    <row r="133" spans="1:46">
      <c r="A133" s="171" t="s">
        <v>874</v>
      </c>
      <c r="B133" s="22">
        <v>10019</v>
      </c>
      <c r="C133" s="43" t="s">
        <v>875</v>
      </c>
      <c r="D133" s="43" t="s">
        <v>876</v>
      </c>
      <c r="E133" s="44" t="s">
        <v>877</v>
      </c>
      <c r="F133" s="43" t="s">
        <v>878</v>
      </c>
      <c r="G133" s="43" t="s">
        <v>61</v>
      </c>
      <c r="H133" s="22">
        <v>0</v>
      </c>
      <c r="I133" s="43" t="s">
        <v>61</v>
      </c>
      <c r="J133" s="43" t="s">
        <v>2265</v>
      </c>
      <c r="K133" s="48" t="s">
        <v>59</v>
      </c>
      <c r="L133" s="48" t="s">
        <v>59</v>
      </c>
      <c r="M133" s="34">
        <v>2008</v>
      </c>
      <c r="N133" s="43" t="s">
        <v>879</v>
      </c>
      <c r="O133" s="26" t="s">
        <v>61</v>
      </c>
      <c r="P133" s="26" t="s">
        <v>61</v>
      </c>
      <c r="Q133" s="26" t="s">
        <v>61</v>
      </c>
      <c r="R133" s="43" t="s">
        <v>880</v>
      </c>
      <c r="S133" s="22">
        <v>2</v>
      </c>
      <c r="T133" s="22">
        <v>81</v>
      </c>
      <c r="U133" s="22">
        <v>2</v>
      </c>
      <c r="V133" s="26">
        <v>41</v>
      </c>
      <c r="W133" s="26">
        <v>39</v>
      </c>
      <c r="X133" s="48" t="s">
        <v>59</v>
      </c>
      <c r="Y133" s="48" t="s">
        <v>59</v>
      </c>
      <c r="Z133" s="22">
        <v>0</v>
      </c>
      <c r="AA133" s="22">
        <v>0</v>
      </c>
      <c r="AB133" s="49" t="s">
        <v>59</v>
      </c>
      <c r="AC133" s="22">
        <v>3</v>
      </c>
      <c r="AD133" s="22">
        <v>6</v>
      </c>
      <c r="AE133" s="43" t="s">
        <v>59</v>
      </c>
      <c r="AF133" s="48" t="s">
        <v>489</v>
      </c>
      <c r="AG133" s="26" t="s">
        <v>1407</v>
      </c>
      <c r="AN133" s="41" t="s">
        <v>489</v>
      </c>
    </row>
    <row r="134" spans="1:46">
      <c r="A134" s="171" t="s">
        <v>340</v>
      </c>
      <c r="B134" s="22">
        <v>10023</v>
      </c>
      <c r="C134" s="43" t="s">
        <v>768</v>
      </c>
      <c r="D134" s="43" t="s">
        <v>769</v>
      </c>
      <c r="E134" s="44" t="s">
        <v>770</v>
      </c>
      <c r="F134" s="43" t="s">
        <v>771</v>
      </c>
      <c r="G134" s="43" t="s">
        <v>772</v>
      </c>
      <c r="H134" s="22">
        <v>0</v>
      </c>
      <c r="I134" s="47" t="s">
        <v>773</v>
      </c>
      <c r="J134" s="43" t="s">
        <v>2265</v>
      </c>
      <c r="K134" s="48" t="s">
        <v>59</v>
      </c>
      <c r="L134" s="48" t="s">
        <v>59</v>
      </c>
      <c r="M134" s="34">
        <v>2009</v>
      </c>
      <c r="N134" s="22" t="s">
        <v>496</v>
      </c>
      <c r="O134" s="26" t="s">
        <v>61</v>
      </c>
      <c r="P134" s="26" t="s">
        <v>61</v>
      </c>
      <c r="Q134" s="26" t="s">
        <v>61</v>
      </c>
      <c r="R134" s="43" t="s">
        <v>774</v>
      </c>
      <c r="S134" s="22">
        <v>2</v>
      </c>
      <c r="T134" s="22">
        <v>296</v>
      </c>
      <c r="U134" s="22">
        <v>2</v>
      </c>
      <c r="V134" s="26">
        <v>149</v>
      </c>
      <c r="W134" s="26">
        <v>147</v>
      </c>
      <c r="X134" s="48" t="s">
        <v>59</v>
      </c>
      <c r="Y134" s="48" t="s">
        <v>59</v>
      </c>
      <c r="Z134" s="22">
        <v>0</v>
      </c>
      <c r="AA134" s="22">
        <v>0</v>
      </c>
      <c r="AB134" s="49" t="s">
        <v>59</v>
      </c>
      <c r="AC134" s="34">
        <v>6</v>
      </c>
      <c r="AD134" s="34">
        <v>6</v>
      </c>
      <c r="AE134" s="43" t="s">
        <v>59</v>
      </c>
      <c r="AF134" s="48" t="s">
        <v>489</v>
      </c>
      <c r="AG134" s="26" t="s">
        <v>1407</v>
      </c>
      <c r="AN134" s="41" t="s">
        <v>489</v>
      </c>
      <c r="AO134" s="41" t="s">
        <v>489</v>
      </c>
      <c r="AP134" s="41" t="s">
        <v>489</v>
      </c>
      <c r="AQ134" s="41" t="s">
        <v>489</v>
      </c>
    </row>
    <row r="135" spans="1:46">
      <c r="A135" s="28" t="s">
        <v>274</v>
      </c>
      <c r="B135" s="22">
        <v>10052</v>
      </c>
      <c r="C135" s="43" t="s">
        <v>515</v>
      </c>
      <c r="D135" s="43" t="s">
        <v>516</v>
      </c>
      <c r="E135" s="44" t="s">
        <v>517</v>
      </c>
      <c r="F135" s="43" t="s">
        <v>518</v>
      </c>
      <c r="G135" s="43" t="s">
        <v>519</v>
      </c>
      <c r="H135" s="22">
        <v>0</v>
      </c>
      <c r="I135" s="43" t="s">
        <v>520</v>
      </c>
      <c r="J135" s="22" t="s">
        <v>485</v>
      </c>
      <c r="K135" s="26">
        <v>16</v>
      </c>
      <c r="L135" s="26" t="s">
        <v>61</v>
      </c>
      <c r="M135" s="34">
        <v>2009</v>
      </c>
      <c r="N135" s="22" t="s">
        <v>496</v>
      </c>
      <c r="O135" s="26">
        <v>65.3</v>
      </c>
      <c r="P135" s="26" t="s">
        <v>61</v>
      </c>
      <c r="Q135" s="26" t="s">
        <v>61</v>
      </c>
      <c r="R135" s="22" t="s">
        <v>521</v>
      </c>
      <c r="S135" s="22">
        <v>2</v>
      </c>
      <c r="T135" s="22">
        <v>4622</v>
      </c>
      <c r="U135" s="22">
        <v>2</v>
      </c>
      <c r="V135" s="26">
        <v>2303</v>
      </c>
      <c r="W135" s="26">
        <v>2319</v>
      </c>
      <c r="X135" s="26" t="s">
        <v>59</v>
      </c>
      <c r="Y135" s="26" t="s">
        <v>59</v>
      </c>
      <c r="Z135" s="22">
        <v>0</v>
      </c>
      <c r="AA135" s="22">
        <v>0</v>
      </c>
      <c r="AB135" s="22">
        <v>0</v>
      </c>
      <c r="AC135" s="22">
        <v>14</v>
      </c>
      <c r="AD135" s="22">
        <v>20</v>
      </c>
      <c r="AE135" s="22" t="s">
        <v>522</v>
      </c>
      <c r="AF135" s="48" t="s">
        <v>489</v>
      </c>
      <c r="AG135" s="26" t="s">
        <v>1407</v>
      </c>
      <c r="AN135" s="41" t="s">
        <v>489</v>
      </c>
      <c r="AO135" s="41" t="s">
        <v>489</v>
      </c>
      <c r="AQ135" s="41" t="s">
        <v>489</v>
      </c>
      <c r="AT135" s="41"/>
    </row>
    <row r="136" spans="1:46">
      <c r="A136" s="171" t="s">
        <v>341</v>
      </c>
      <c r="B136" s="22">
        <v>10067</v>
      </c>
      <c r="C136" s="43" t="s">
        <v>889</v>
      </c>
      <c r="D136" s="43" t="s">
        <v>890</v>
      </c>
      <c r="E136" s="44" t="s">
        <v>891</v>
      </c>
      <c r="F136" s="43" t="s">
        <v>892</v>
      </c>
      <c r="G136" s="43" t="s">
        <v>893</v>
      </c>
      <c r="H136" s="22">
        <v>0</v>
      </c>
      <c r="I136" s="43" t="s">
        <v>894</v>
      </c>
      <c r="J136" s="43" t="s">
        <v>2265</v>
      </c>
      <c r="K136" s="48" t="s">
        <v>59</v>
      </c>
      <c r="L136" s="48" t="s">
        <v>59</v>
      </c>
      <c r="M136" s="34">
        <v>2005</v>
      </c>
      <c r="N136" s="43" t="s">
        <v>895</v>
      </c>
      <c r="O136" s="26" t="s">
        <v>61</v>
      </c>
      <c r="P136" s="26" t="s">
        <v>61</v>
      </c>
      <c r="Q136" s="26" t="s">
        <v>61</v>
      </c>
      <c r="R136" s="43" t="s">
        <v>896</v>
      </c>
      <c r="S136" s="22">
        <v>2</v>
      </c>
      <c r="T136" s="22">
        <v>398</v>
      </c>
      <c r="U136" s="22">
        <v>2</v>
      </c>
      <c r="V136" s="26">
        <v>192</v>
      </c>
      <c r="W136" s="26">
        <v>206</v>
      </c>
      <c r="X136" s="48" t="s">
        <v>59</v>
      </c>
      <c r="Y136" s="48" t="s">
        <v>59</v>
      </c>
      <c r="Z136" s="22">
        <v>0</v>
      </c>
      <c r="AA136" s="22">
        <v>0</v>
      </c>
      <c r="AB136" s="49" t="s">
        <v>59</v>
      </c>
      <c r="AC136" s="22">
        <v>12</v>
      </c>
      <c r="AD136" s="22">
        <v>12</v>
      </c>
      <c r="AE136" s="43" t="s">
        <v>59</v>
      </c>
      <c r="AF136" s="48" t="s">
        <v>489</v>
      </c>
      <c r="AG136" s="26" t="s">
        <v>1407</v>
      </c>
      <c r="AN136" s="41" t="s">
        <v>489</v>
      </c>
      <c r="AO136" s="41" t="s">
        <v>489</v>
      </c>
      <c r="AP136" s="41" t="s">
        <v>489</v>
      </c>
    </row>
    <row r="137" spans="1:46">
      <c r="A137" s="172" t="s">
        <v>897</v>
      </c>
      <c r="B137" s="22">
        <v>10069</v>
      </c>
      <c r="C137" s="43" t="s">
        <v>898</v>
      </c>
      <c r="D137" s="43" t="s">
        <v>899</v>
      </c>
      <c r="E137" s="44" t="s">
        <v>900</v>
      </c>
      <c r="F137" s="43" t="s">
        <v>901</v>
      </c>
      <c r="G137" s="43" t="s">
        <v>61</v>
      </c>
      <c r="H137" s="22">
        <v>0</v>
      </c>
      <c r="I137" s="43" t="s">
        <v>61</v>
      </c>
      <c r="J137" s="43" t="s">
        <v>2265</v>
      </c>
      <c r="K137" s="48" t="s">
        <v>59</v>
      </c>
      <c r="L137" s="48" t="s">
        <v>59</v>
      </c>
      <c r="M137" s="34">
        <v>2010</v>
      </c>
      <c r="N137" s="43" t="s">
        <v>496</v>
      </c>
      <c r="O137" s="26">
        <v>58.4</v>
      </c>
      <c r="P137" s="26">
        <v>9.1999999999999993</v>
      </c>
      <c r="Q137" s="26">
        <v>50.2</v>
      </c>
      <c r="R137" s="22" t="s">
        <v>902</v>
      </c>
      <c r="S137" s="22">
        <v>2</v>
      </c>
      <c r="T137" s="22">
        <v>462</v>
      </c>
      <c r="U137" s="22">
        <v>3</v>
      </c>
      <c r="V137" s="26">
        <v>132</v>
      </c>
      <c r="W137" s="26">
        <v>169</v>
      </c>
      <c r="X137" s="26">
        <v>162</v>
      </c>
      <c r="Y137" s="48" t="s">
        <v>59</v>
      </c>
      <c r="Z137" s="22">
        <v>0</v>
      </c>
      <c r="AA137" s="22">
        <v>0</v>
      </c>
      <c r="AB137" s="49" t="s">
        <v>59</v>
      </c>
      <c r="AC137" s="22">
        <v>12</v>
      </c>
      <c r="AD137" s="22">
        <v>12</v>
      </c>
      <c r="AE137" s="43" t="s">
        <v>59</v>
      </c>
      <c r="AF137" s="48" t="s">
        <v>489</v>
      </c>
      <c r="AG137" s="26" t="s">
        <v>1407</v>
      </c>
      <c r="AN137" s="41" t="s">
        <v>489</v>
      </c>
    </row>
    <row r="138" spans="1:46">
      <c r="A138" s="171" t="s">
        <v>344</v>
      </c>
      <c r="B138" s="22">
        <v>10072</v>
      </c>
      <c r="C138" s="43" t="s">
        <v>903</v>
      </c>
      <c r="D138" s="43" t="s">
        <v>904</v>
      </c>
      <c r="E138" s="44" t="s">
        <v>905</v>
      </c>
      <c r="F138" s="43" t="s">
        <v>906</v>
      </c>
      <c r="G138" s="43" t="s">
        <v>907</v>
      </c>
      <c r="H138" s="22">
        <v>0</v>
      </c>
      <c r="I138" s="43" t="s">
        <v>908</v>
      </c>
      <c r="J138" s="43" t="s">
        <v>2265</v>
      </c>
      <c r="K138" s="48" t="s">
        <v>59</v>
      </c>
      <c r="L138" s="48" t="s">
        <v>59</v>
      </c>
      <c r="M138" s="34">
        <v>2012</v>
      </c>
      <c r="N138" s="43" t="s">
        <v>496</v>
      </c>
      <c r="O138" s="26" t="s">
        <v>61</v>
      </c>
      <c r="P138" s="26" t="s">
        <v>61</v>
      </c>
      <c r="Q138" s="26" t="s">
        <v>61</v>
      </c>
      <c r="R138" s="43" t="s">
        <v>909</v>
      </c>
      <c r="S138" s="22">
        <v>3</v>
      </c>
      <c r="T138" s="22">
        <v>69</v>
      </c>
      <c r="U138" s="22">
        <v>2</v>
      </c>
      <c r="V138" s="26">
        <v>32</v>
      </c>
      <c r="W138" s="26">
        <v>37</v>
      </c>
      <c r="X138" s="48" t="s">
        <v>59</v>
      </c>
      <c r="Y138" s="48" t="s">
        <v>59</v>
      </c>
      <c r="Z138" s="22">
        <v>1</v>
      </c>
      <c r="AA138" s="22">
        <v>0</v>
      </c>
      <c r="AB138" s="49" t="s">
        <v>59</v>
      </c>
      <c r="AC138" s="22">
        <v>12</v>
      </c>
      <c r="AD138" s="22">
        <v>12</v>
      </c>
      <c r="AE138" s="22" t="s">
        <v>59</v>
      </c>
      <c r="AF138" s="26" t="s">
        <v>489</v>
      </c>
      <c r="AG138" s="26" t="s">
        <v>1407</v>
      </c>
      <c r="AI138" s="41" t="s">
        <v>489</v>
      </c>
      <c r="AJ138" s="41" t="s">
        <v>489</v>
      </c>
      <c r="AN138" s="41" t="s">
        <v>489</v>
      </c>
      <c r="AO138" s="41" t="s">
        <v>489</v>
      </c>
      <c r="AP138" s="41" t="s">
        <v>489</v>
      </c>
      <c r="AQ138" s="41" t="s">
        <v>489</v>
      </c>
    </row>
    <row r="139" spans="1:46">
      <c r="A139" s="171" t="s">
        <v>345</v>
      </c>
      <c r="B139" s="22">
        <v>10112</v>
      </c>
      <c r="C139" s="43" t="s">
        <v>917</v>
      </c>
      <c r="D139" s="43" t="s">
        <v>918</v>
      </c>
      <c r="E139" s="44" t="s">
        <v>919</v>
      </c>
      <c r="F139" s="43" t="s">
        <v>920</v>
      </c>
      <c r="G139" s="43" t="s">
        <v>921</v>
      </c>
      <c r="H139" s="22">
        <v>0</v>
      </c>
      <c r="I139" s="43" t="s">
        <v>922</v>
      </c>
      <c r="J139" s="43" t="s">
        <v>2265</v>
      </c>
      <c r="K139" s="48" t="s">
        <v>59</v>
      </c>
      <c r="L139" s="48" t="s">
        <v>59</v>
      </c>
      <c r="M139" s="34">
        <v>2012</v>
      </c>
      <c r="N139" s="43" t="s">
        <v>677</v>
      </c>
      <c r="O139" s="26" t="s">
        <v>61</v>
      </c>
      <c r="P139" s="26" t="s">
        <v>61</v>
      </c>
      <c r="Q139" s="26" t="s">
        <v>61</v>
      </c>
      <c r="R139" s="43" t="s">
        <v>923</v>
      </c>
      <c r="S139" s="22">
        <v>2</v>
      </c>
      <c r="T139" s="22">
        <v>291</v>
      </c>
      <c r="U139" s="22">
        <v>2</v>
      </c>
      <c r="V139" s="26">
        <v>149</v>
      </c>
      <c r="W139" s="26">
        <v>142</v>
      </c>
      <c r="X139" s="48" t="s">
        <v>59</v>
      </c>
      <c r="Y139" s="48" t="s">
        <v>59</v>
      </c>
      <c r="Z139" s="22">
        <v>0</v>
      </c>
      <c r="AA139" s="22">
        <v>0</v>
      </c>
      <c r="AB139" s="49" t="s">
        <v>59</v>
      </c>
      <c r="AC139" s="22">
        <v>6</v>
      </c>
      <c r="AD139" s="22">
        <v>11.5</v>
      </c>
      <c r="AE139" s="43" t="s">
        <v>59</v>
      </c>
      <c r="AF139" s="48" t="s">
        <v>489</v>
      </c>
      <c r="AG139" s="26" t="s">
        <v>1407</v>
      </c>
      <c r="AN139" s="41" t="s">
        <v>489</v>
      </c>
    </row>
    <row r="140" spans="1:46">
      <c r="A140" s="171" t="s">
        <v>346</v>
      </c>
      <c r="B140" s="22">
        <v>10127</v>
      </c>
      <c r="C140" s="43" t="s">
        <v>775</v>
      </c>
      <c r="D140" s="43" t="s">
        <v>776</v>
      </c>
      <c r="E140" s="50" t="s">
        <v>777</v>
      </c>
      <c r="F140" s="43" t="s">
        <v>778</v>
      </c>
      <c r="G140" s="22" t="s">
        <v>61</v>
      </c>
      <c r="H140" s="22">
        <v>0</v>
      </c>
      <c r="I140" s="22" t="s">
        <v>779</v>
      </c>
      <c r="J140" s="43" t="s">
        <v>2265</v>
      </c>
      <c r="K140" s="26" t="s">
        <v>59</v>
      </c>
      <c r="L140" s="26" t="s">
        <v>59</v>
      </c>
      <c r="M140" s="34">
        <v>2011</v>
      </c>
      <c r="N140" s="22" t="s">
        <v>496</v>
      </c>
      <c r="O140" s="26" t="s">
        <v>61</v>
      </c>
      <c r="P140" s="26" t="s">
        <v>61</v>
      </c>
      <c r="Q140" s="26" t="s">
        <v>61</v>
      </c>
      <c r="R140" s="22" t="s">
        <v>780</v>
      </c>
      <c r="S140" s="22">
        <v>2</v>
      </c>
      <c r="T140" s="22">
        <v>182</v>
      </c>
      <c r="U140" s="22">
        <v>2</v>
      </c>
      <c r="V140" s="26">
        <v>88</v>
      </c>
      <c r="W140" s="26">
        <v>94</v>
      </c>
      <c r="X140" s="26" t="s">
        <v>59</v>
      </c>
      <c r="Y140" s="26" t="s">
        <v>59</v>
      </c>
      <c r="Z140" s="22">
        <v>0</v>
      </c>
      <c r="AA140" s="22">
        <v>1</v>
      </c>
      <c r="AB140" s="34" t="s">
        <v>59</v>
      </c>
      <c r="AC140" s="22">
        <v>3</v>
      </c>
      <c r="AD140" s="22">
        <v>3</v>
      </c>
      <c r="AE140" s="43" t="s">
        <v>59</v>
      </c>
      <c r="AF140" s="26" t="s">
        <v>489</v>
      </c>
      <c r="AG140" s="26" t="s">
        <v>1407</v>
      </c>
      <c r="AN140" s="41" t="s">
        <v>489</v>
      </c>
    </row>
    <row r="141" spans="1:46">
      <c r="A141" s="169" t="s">
        <v>275</v>
      </c>
      <c r="B141" s="22">
        <v>10143</v>
      </c>
      <c r="C141" s="43" t="s">
        <v>523</v>
      </c>
      <c r="D141" s="43" t="s">
        <v>524</v>
      </c>
      <c r="E141" s="44" t="s">
        <v>525</v>
      </c>
      <c r="F141" s="43" t="s">
        <v>526</v>
      </c>
      <c r="G141" s="43" t="s">
        <v>527</v>
      </c>
      <c r="H141" s="22">
        <v>0</v>
      </c>
      <c r="I141" s="43" t="s">
        <v>528</v>
      </c>
      <c r="J141" s="22" t="s">
        <v>485</v>
      </c>
      <c r="K141" s="26">
        <v>26</v>
      </c>
      <c r="L141" s="48">
        <v>39</v>
      </c>
      <c r="M141" s="34">
        <v>2011</v>
      </c>
      <c r="N141" s="43" t="s">
        <v>496</v>
      </c>
      <c r="O141" s="26" t="s">
        <v>61</v>
      </c>
      <c r="P141" s="26" t="s">
        <v>61</v>
      </c>
      <c r="Q141" s="26" t="s">
        <v>61</v>
      </c>
      <c r="R141" s="43" t="s">
        <v>529</v>
      </c>
      <c r="S141" s="22">
        <v>2</v>
      </c>
      <c r="T141" s="22">
        <v>213</v>
      </c>
      <c r="U141" s="22">
        <v>4</v>
      </c>
      <c r="V141" s="26">
        <v>62</v>
      </c>
      <c r="W141" s="26">
        <v>38</v>
      </c>
      <c r="X141" s="26">
        <v>33</v>
      </c>
      <c r="Y141" s="26">
        <v>80</v>
      </c>
      <c r="Z141" s="22">
        <v>0</v>
      </c>
      <c r="AA141" s="22">
        <v>1</v>
      </c>
      <c r="AB141" s="22">
        <v>0</v>
      </c>
      <c r="AC141" s="22">
        <v>12</v>
      </c>
      <c r="AD141" s="22">
        <v>12</v>
      </c>
      <c r="AE141" s="43" t="s">
        <v>530</v>
      </c>
      <c r="AF141" s="26" t="s">
        <v>489</v>
      </c>
      <c r="AG141" s="26" t="s">
        <v>1407</v>
      </c>
      <c r="AN141" s="41" t="s">
        <v>489</v>
      </c>
      <c r="AO141" s="41" t="s">
        <v>489</v>
      </c>
      <c r="AP141" s="41" t="s">
        <v>489</v>
      </c>
      <c r="AQ141" s="41" t="s">
        <v>489</v>
      </c>
      <c r="AR141" s="41"/>
      <c r="AS141" s="41"/>
      <c r="AT141" s="41" t="s">
        <v>489</v>
      </c>
    </row>
    <row r="142" spans="1:46">
      <c r="A142" s="171" t="s">
        <v>347</v>
      </c>
      <c r="B142" s="22">
        <v>10150</v>
      </c>
      <c r="C142" s="43" t="s">
        <v>924</v>
      </c>
      <c r="D142" s="43" t="s">
        <v>925</v>
      </c>
      <c r="E142" s="22" t="s">
        <v>926</v>
      </c>
      <c r="F142" s="22" t="s">
        <v>927</v>
      </c>
      <c r="G142" s="43" t="s">
        <v>61</v>
      </c>
      <c r="H142" s="22">
        <v>0</v>
      </c>
      <c r="I142" s="43" t="s">
        <v>928</v>
      </c>
      <c r="J142" s="43" t="s">
        <v>2265</v>
      </c>
      <c r="K142" s="48" t="s">
        <v>59</v>
      </c>
      <c r="L142" s="48" t="s">
        <v>59</v>
      </c>
      <c r="M142" s="34">
        <v>2010</v>
      </c>
      <c r="N142" s="43" t="s">
        <v>496</v>
      </c>
      <c r="O142" s="26" t="s">
        <v>61</v>
      </c>
      <c r="P142" s="26" t="s">
        <v>61</v>
      </c>
      <c r="Q142" s="26" t="s">
        <v>61</v>
      </c>
      <c r="R142" s="43" t="s">
        <v>929</v>
      </c>
      <c r="S142" s="22">
        <v>4</v>
      </c>
      <c r="T142" s="22">
        <v>118</v>
      </c>
      <c r="U142" s="22">
        <v>3</v>
      </c>
      <c r="V142" s="26">
        <v>39</v>
      </c>
      <c r="W142" s="26">
        <v>39</v>
      </c>
      <c r="X142" s="26">
        <v>40</v>
      </c>
      <c r="Y142" s="48" t="s">
        <v>59</v>
      </c>
      <c r="Z142" s="22">
        <v>0</v>
      </c>
      <c r="AA142" s="22">
        <v>1</v>
      </c>
      <c r="AB142" s="49" t="s">
        <v>59</v>
      </c>
      <c r="AC142" s="22">
        <v>6</v>
      </c>
      <c r="AD142" s="22">
        <v>6</v>
      </c>
      <c r="AE142" s="43" t="s">
        <v>59</v>
      </c>
      <c r="AF142" s="48" t="s">
        <v>489</v>
      </c>
      <c r="AG142" s="26" t="s">
        <v>1407</v>
      </c>
      <c r="AN142" s="41" t="s">
        <v>489</v>
      </c>
      <c r="AT142" s="41" t="s">
        <v>489</v>
      </c>
    </row>
    <row r="143" spans="1:46">
      <c r="A143" s="172" t="s">
        <v>348</v>
      </c>
      <c r="B143" s="22">
        <v>10156</v>
      </c>
      <c r="C143" s="43" t="s">
        <v>930</v>
      </c>
      <c r="D143" s="43" t="s">
        <v>931</v>
      </c>
      <c r="E143" s="44" t="s">
        <v>932</v>
      </c>
      <c r="F143" s="43" t="s">
        <v>933</v>
      </c>
      <c r="G143" s="43" t="s">
        <v>934</v>
      </c>
      <c r="H143" s="22">
        <v>0</v>
      </c>
      <c r="I143" s="43" t="s">
        <v>935</v>
      </c>
      <c r="J143" s="43" t="s">
        <v>2265</v>
      </c>
      <c r="K143" s="48" t="s">
        <v>59</v>
      </c>
      <c r="L143" s="48" t="s">
        <v>59</v>
      </c>
      <c r="M143" s="34">
        <v>2008</v>
      </c>
      <c r="N143" s="22" t="s">
        <v>936</v>
      </c>
      <c r="O143" s="26">
        <v>61.5</v>
      </c>
      <c r="P143" s="26">
        <v>10.5</v>
      </c>
      <c r="Q143" s="26" t="s">
        <v>61</v>
      </c>
      <c r="R143" s="43" t="s">
        <v>937</v>
      </c>
      <c r="S143" s="22">
        <v>2</v>
      </c>
      <c r="T143" s="22">
        <v>189</v>
      </c>
      <c r="U143" s="22">
        <v>2</v>
      </c>
      <c r="V143" s="26">
        <v>95</v>
      </c>
      <c r="W143" s="26">
        <v>94</v>
      </c>
      <c r="X143" s="48" t="s">
        <v>59</v>
      </c>
      <c r="Y143" s="48" t="s">
        <v>59</v>
      </c>
      <c r="Z143" s="22">
        <v>0</v>
      </c>
      <c r="AA143" s="22">
        <v>1</v>
      </c>
      <c r="AB143" s="49" t="s">
        <v>59</v>
      </c>
      <c r="AC143" s="22">
        <v>18</v>
      </c>
      <c r="AD143" s="22">
        <v>18</v>
      </c>
      <c r="AE143" s="43" t="s">
        <v>59</v>
      </c>
      <c r="AF143" s="48" t="s">
        <v>489</v>
      </c>
      <c r="AG143" s="26" t="s">
        <v>1407</v>
      </c>
      <c r="AH143" s="41" t="s">
        <v>489</v>
      </c>
      <c r="AI143" s="41" t="s">
        <v>489</v>
      </c>
      <c r="AJ143" s="41" t="s">
        <v>489</v>
      </c>
      <c r="AK143" s="41"/>
      <c r="AL143" s="41"/>
      <c r="AM143" s="41"/>
      <c r="AN143" s="41" t="s">
        <v>489</v>
      </c>
      <c r="AO143" s="41" t="s">
        <v>489</v>
      </c>
      <c r="AP143" s="41" t="s">
        <v>489</v>
      </c>
      <c r="AQ143" s="41" t="s">
        <v>489</v>
      </c>
      <c r="AR143" s="41"/>
      <c r="AS143" s="41"/>
      <c r="AT143" s="41" t="s">
        <v>489</v>
      </c>
    </row>
    <row r="144" spans="1:46">
      <c r="A144" s="171" t="s">
        <v>938</v>
      </c>
      <c r="B144" s="22">
        <v>10161</v>
      </c>
      <c r="C144" s="43" t="s">
        <v>939</v>
      </c>
      <c r="D144" s="43" t="s">
        <v>940</v>
      </c>
      <c r="E144" s="44" t="s">
        <v>941</v>
      </c>
      <c r="F144" s="43" t="s">
        <v>942</v>
      </c>
      <c r="G144" s="43" t="s">
        <v>61</v>
      </c>
      <c r="H144" s="22">
        <v>1</v>
      </c>
      <c r="I144" s="43" t="s">
        <v>61</v>
      </c>
      <c r="J144" s="43" t="s">
        <v>2265</v>
      </c>
      <c r="K144" s="48" t="s">
        <v>59</v>
      </c>
      <c r="L144" s="48" t="s">
        <v>59</v>
      </c>
      <c r="M144" s="34">
        <v>2009</v>
      </c>
      <c r="N144" s="43" t="s">
        <v>496</v>
      </c>
      <c r="O144" s="26" t="s">
        <v>61</v>
      </c>
      <c r="P144" s="26" t="s">
        <v>61</v>
      </c>
      <c r="Q144" s="26" t="s">
        <v>61</v>
      </c>
      <c r="R144" s="43" t="s">
        <v>943</v>
      </c>
      <c r="S144" s="22">
        <v>3</v>
      </c>
      <c r="T144" s="22">
        <v>88</v>
      </c>
      <c r="U144" s="22">
        <v>2</v>
      </c>
      <c r="V144" s="26">
        <v>44</v>
      </c>
      <c r="W144" s="26">
        <v>44</v>
      </c>
      <c r="X144" s="48" t="s">
        <v>59</v>
      </c>
      <c r="Y144" s="48" t="s">
        <v>59</v>
      </c>
      <c r="Z144" s="22">
        <v>0</v>
      </c>
      <c r="AA144" s="22">
        <v>0</v>
      </c>
      <c r="AB144" s="49" t="s">
        <v>59</v>
      </c>
      <c r="AC144" s="22">
        <v>6</v>
      </c>
      <c r="AD144" s="22">
        <v>6</v>
      </c>
      <c r="AE144" s="43" t="s">
        <v>59</v>
      </c>
      <c r="AF144" s="48" t="s">
        <v>489</v>
      </c>
      <c r="AG144" s="26" t="s">
        <v>1407</v>
      </c>
      <c r="AH144" s="41" t="s">
        <v>489</v>
      </c>
      <c r="AI144" s="41" t="s">
        <v>489</v>
      </c>
      <c r="AJ144" s="41" t="s">
        <v>489</v>
      </c>
      <c r="AN144" s="41" t="s">
        <v>489</v>
      </c>
      <c r="AO144" s="41" t="s">
        <v>489</v>
      </c>
      <c r="AQ144" s="41" t="s">
        <v>489</v>
      </c>
      <c r="AR144" s="41" t="s">
        <v>489</v>
      </c>
      <c r="AS144" s="41" t="s">
        <v>489</v>
      </c>
    </row>
    <row r="145" spans="1:46">
      <c r="A145" s="28" t="s">
        <v>531</v>
      </c>
      <c r="B145" s="22">
        <v>10171</v>
      </c>
      <c r="C145" s="22" t="s">
        <v>532</v>
      </c>
      <c r="D145" s="22" t="s">
        <v>533</v>
      </c>
      <c r="E145" s="50" t="s">
        <v>534</v>
      </c>
      <c r="F145" s="43" t="s">
        <v>535</v>
      </c>
      <c r="G145" s="43" t="s">
        <v>536</v>
      </c>
      <c r="H145" s="49">
        <v>0</v>
      </c>
      <c r="I145" s="43" t="s">
        <v>537</v>
      </c>
      <c r="J145" s="22" t="s">
        <v>485</v>
      </c>
      <c r="K145" s="26">
        <v>205</v>
      </c>
      <c r="L145" s="26">
        <v>205</v>
      </c>
      <c r="M145" s="34">
        <v>2008</v>
      </c>
      <c r="N145" s="22" t="s">
        <v>496</v>
      </c>
      <c r="O145" s="39" t="s">
        <v>61</v>
      </c>
      <c r="P145" s="39" t="s">
        <v>61</v>
      </c>
      <c r="Q145" s="39" t="s">
        <v>61</v>
      </c>
      <c r="R145" s="22" t="s">
        <v>538</v>
      </c>
      <c r="S145" s="22">
        <v>4</v>
      </c>
      <c r="T145" s="34">
        <v>1182</v>
      </c>
      <c r="U145" s="22">
        <v>2</v>
      </c>
      <c r="V145" s="26">
        <v>467</v>
      </c>
      <c r="W145" s="26">
        <v>715</v>
      </c>
      <c r="X145" s="48" t="s">
        <v>59</v>
      </c>
      <c r="Y145" s="48" t="s">
        <v>59</v>
      </c>
      <c r="Z145" s="22">
        <v>0</v>
      </c>
      <c r="AA145" s="22">
        <v>1</v>
      </c>
      <c r="AB145" s="22">
        <v>0</v>
      </c>
      <c r="AC145" s="51">
        <v>15</v>
      </c>
      <c r="AD145" s="51">
        <v>24</v>
      </c>
      <c r="AE145" s="22" t="s">
        <v>539</v>
      </c>
      <c r="AF145" s="26" t="s">
        <v>489</v>
      </c>
      <c r="AG145" s="26" t="s">
        <v>1407</v>
      </c>
      <c r="AN145" s="41" t="s">
        <v>489</v>
      </c>
      <c r="AO145" s="41" t="s">
        <v>489</v>
      </c>
      <c r="AP145" s="41" t="s">
        <v>489</v>
      </c>
      <c r="AQ145" s="41" t="s">
        <v>489</v>
      </c>
      <c r="AR145" s="41" t="s">
        <v>489</v>
      </c>
      <c r="AS145" s="41" t="s">
        <v>489</v>
      </c>
    </row>
    <row r="146" spans="1:46">
      <c r="A146" s="171" t="s">
        <v>350</v>
      </c>
      <c r="B146" s="22">
        <v>10179</v>
      </c>
      <c r="C146" s="43" t="s">
        <v>944</v>
      </c>
      <c r="D146" s="43" t="s">
        <v>945</v>
      </c>
      <c r="E146" s="44" t="s">
        <v>946</v>
      </c>
      <c r="F146" s="43" t="s">
        <v>947</v>
      </c>
      <c r="G146" s="43" t="s">
        <v>61</v>
      </c>
      <c r="H146" s="22">
        <v>0</v>
      </c>
      <c r="I146" s="43" t="s">
        <v>61</v>
      </c>
      <c r="J146" s="43" t="s">
        <v>2265</v>
      </c>
      <c r="K146" s="48" t="s">
        <v>59</v>
      </c>
      <c r="L146" s="48" t="s">
        <v>59</v>
      </c>
      <c r="M146" s="34">
        <v>2009</v>
      </c>
      <c r="N146" s="43" t="s">
        <v>948</v>
      </c>
      <c r="O146" s="26">
        <v>50.7</v>
      </c>
      <c r="P146" s="26">
        <v>10.4</v>
      </c>
      <c r="Q146" s="26">
        <v>41.8</v>
      </c>
      <c r="R146" s="43" t="s">
        <v>949</v>
      </c>
      <c r="S146" s="22">
        <v>2</v>
      </c>
      <c r="T146" s="22">
        <v>200</v>
      </c>
      <c r="U146" s="22">
        <v>2</v>
      </c>
      <c r="V146" s="26">
        <v>100</v>
      </c>
      <c r="W146" s="26">
        <v>100</v>
      </c>
      <c r="X146" s="48" t="s">
        <v>59</v>
      </c>
      <c r="Y146" s="48" t="s">
        <v>59</v>
      </c>
      <c r="Z146" s="22">
        <v>0</v>
      </c>
      <c r="AA146" s="22">
        <v>0</v>
      </c>
      <c r="AB146" s="49" t="s">
        <v>59</v>
      </c>
      <c r="AC146" s="22">
        <v>6</v>
      </c>
      <c r="AD146" s="22">
        <v>6</v>
      </c>
      <c r="AE146" s="43" t="s">
        <v>59</v>
      </c>
      <c r="AF146" s="48" t="s">
        <v>489</v>
      </c>
      <c r="AG146" s="26" t="s">
        <v>1407</v>
      </c>
      <c r="AN146" s="41" t="s">
        <v>489</v>
      </c>
      <c r="AQ146" s="41" t="s">
        <v>489</v>
      </c>
    </row>
    <row r="147" spans="1:46">
      <c r="A147" s="171" t="s">
        <v>351</v>
      </c>
      <c r="B147" s="22">
        <v>10184</v>
      </c>
      <c r="C147" s="43" t="s">
        <v>950</v>
      </c>
      <c r="D147" s="43" t="s">
        <v>951</v>
      </c>
      <c r="E147" s="44" t="s">
        <v>952</v>
      </c>
      <c r="F147" s="43" t="s">
        <v>953</v>
      </c>
      <c r="G147" s="43" t="s">
        <v>61</v>
      </c>
      <c r="H147" s="22">
        <v>1</v>
      </c>
      <c r="I147" s="43" t="s">
        <v>954</v>
      </c>
      <c r="J147" s="43" t="s">
        <v>2265</v>
      </c>
      <c r="K147" s="48" t="s">
        <v>59</v>
      </c>
      <c r="L147" s="48" t="s">
        <v>59</v>
      </c>
      <c r="M147" s="34">
        <v>2009</v>
      </c>
      <c r="N147" s="43" t="s">
        <v>496</v>
      </c>
      <c r="O147" s="26" t="s">
        <v>61</v>
      </c>
      <c r="P147" s="26" t="s">
        <v>61</v>
      </c>
      <c r="Q147" s="26" t="s">
        <v>61</v>
      </c>
      <c r="R147" s="43" t="s">
        <v>955</v>
      </c>
      <c r="S147" s="22">
        <v>2</v>
      </c>
      <c r="T147" s="22">
        <v>103</v>
      </c>
      <c r="U147" s="22">
        <v>2</v>
      </c>
      <c r="V147" s="26">
        <v>50</v>
      </c>
      <c r="W147" s="26">
        <v>53</v>
      </c>
      <c r="X147" s="48" t="s">
        <v>59</v>
      </c>
      <c r="Y147" s="48" t="s">
        <v>59</v>
      </c>
      <c r="Z147" s="22">
        <v>0</v>
      </c>
      <c r="AA147" s="22">
        <v>0</v>
      </c>
      <c r="AB147" s="49" t="s">
        <v>59</v>
      </c>
      <c r="AC147" s="22">
        <v>6</v>
      </c>
      <c r="AD147" s="22">
        <v>6</v>
      </c>
      <c r="AE147" s="43" t="s">
        <v>59</v>
      </c>
      <c r="AF147" s="26" t="s">
        <v>489</v>
      </c>
      <c r="AG147" s="26" t="s">
        <v>1407</v>
      </c>
      <c r="AI147" s="41" t="s">
        <v>489</v>
      </c>
      <c r="AJ147" s="41" t="s">
        <v>489</v>
      </c>
      <c r="AK147" s="41"/>
      <c r="AL147" s="41"/>
      <c r="AM147" s="41"/>
      <c r="AN147" s="41" t="s">
        <v>489</v>
      </c>
      <c r="AO147" s="41" t="s">
        <v>489</v>
      </c>
      <c r="AP147" s="41"/>
      <c r="AQ147" s="41" t="s">
        <v>489</v>
      </c>
      <c r="AR147" s="41" t="s">
        <v>489</v>
      </c>
      <c r="AS147" s="48"/>
    </row>
    <row r="148" spans="1:46">
      <c r="A148" s="169" t="s">
        <v>284</v>
      </c>
      <c r="B148" s="22">
        <v>10189</v>
      </c>
      <c r="C148" s="43" t="s">
        <v>540</v>
      </c>
      <c r="D148" s="43" t="s">
        <v>541</v>
      </c>
      <c r="E148" s="44" t="s">
        <v>542</v>
      </c>
      <c r="F148" s="43" t="s">
        <v>543</v>
      </c>
      <c r="G148" s="43" t="s">
        <v>61</v>
      </c>
      <c r="H148" s="22">
        <v>0</v>
      </c>
      <c r="I148" s="43" t="s">
        <v>61</v>
      </c>
      <c r="J148" s="22" t="s">
        <v>485</v>
      </c>
      <c r="K148" s="48">
        <v>66</v>
      </c>
      <c r="L148" s="48">
        <v>66</v>
      </c>
      <c r="M148" s="34">
        <v>2006</v>
      </c>
      <c r="N148" s="43" t="s">
        <v>544</v>
      </c>
      <c r="O148" s="26" t="s">
        <v>61</v>
      </c>
      <c r="P148" s="26" t="s">
        <v>61</v>
      </c>
      <c r="Q148" s="26" t="s">
        <v>61</v>
      </c>
      <c r="R148" s="22" t="s">
        <v>545</v>
      </c>
      <c r="S148" s="22">
        <v>2</v>
      </c>
      <c r="T148" s="22">
        <v>288</v>
      </c>
      <c r="U148" s="22">
        <v>2</v>
      </c>
      <c r="V148" s="26">
        <v>135</v>
      </c>
      <c r="W148" s="26">
        <v>153</v>
      </c>
      <c r="X148" s="26" t="s">
        <v>59</v>
      </c>
      <c r="Y148" s="26" t="s">
        <v>59</v>
      </c>
      <c r="Z148" s="22">
        <v>0</v>
      </c>
      <c r="AA148" s="22">
        <v>0</v>
      </c>
      <c r="AB148" s="22">
        <v>0</v>
      </c>
      <c r="AC148" s="22">
        <v>6</v>
      </c>
      <c r="AD148" s="22">
        <v>24</v>
      </c>
      <c r="AE148" s="22" t="s">
        <v>546</v>
      </c>
      <c r="AF148" s="48" t="s">
        <v>489</v>
      </c>
      <c r="AG148" s="26" t="s">
        <v>1407</v>
      </c>
      <c r="AN148" s="41" t="s">
        <v>489</v>
      </c>
      <c r="AS148" s="41" t="s">
        <v>489</v>
      </c>
    </row>
    <row r="149" spans="1:46">
      <c r="A149" s="173" t="s">
        <v>352</v>
      </c>
      <c r="B149" s="52">
        <v>10191</v>
      </c>
      <c r="C149" s="52" t="s">
        <v>956</v>
      </c>
      <c r="D149" s="52" t="s">
        <v>957</v>
      </c>
      <c r="E149" s="44" t="s">
        <v>958</v>
      </c>
      <c r="F149" s="52" t="s">
        <v>959</v>
      </c>
      <c r="G149" s="52" t="s">
        <v>960</v>
      </c>
      <c r="H149" s="52">
        <v>0</v>
      </c>
      <c r="I149" s="52" t="s">
        <v>961</v>
      </c>
      <c r="J149" s="43" t="s">
        <v>2265</v>
      </c>
      <c r="K149" s="39" t="s">
        <v>59</v>
      </c>
      <c r="L149" s="39" t="s">
        <v>59</v>
      </c>
      <c r="M149" s="51">
        <v>2010</v>
      </c>
      <c r="N149" s="52" t="s">
        <v>496</v>
      </c>
      <c r="O149" s="26" t="s">
        <v>61</v>
      </c>
      <c r="P149" s="26" t="s">
        <v>61</v>
      </c>
      <c r="Q149" s="26" t="s">
        <v>61</v>
      </c>
      <c r="R149" s="52" t="s">
        <v>962</v>
      </c>
      <c r="S149" s="52">
        <v>2</v>
      </c>
      <c r="T149" s="52">
        <v>525</v>
      </c>
      <c r="U149" s="52">
        <v>2</v>
      </c>
      <c r="V149" s="39">
        <v>264</v>
      </c>
      <c r="W149" s="39">
        <v>261</v>
      </c>
      <c r="X149" s="39" t="s">
        <v>59</v>
      </c>
      <c r="Y149" s="39" t="s">
        <v>59</v>
      </c>
      <c r="Z149" s="52">
        <v>0</v>
      </c>
      <c r="AA149" s="52">
        <v>0</v>
      </c>
      <c r="AB149" s="51" t="s">
        <v>59</v>
      </c>
      <c r="AC149" s="52">
        <v>12</v>
      </c>
      <c r="AD149" s="52">
        <v>12</v>
      </c>
      <c r="AE149" s="52" t="s">
        <v>59</v>
      </c>
      <c r="AF149" s="39" t="s">
        <v>489</v>
      </c>
      <c r="AG149" s="26" t="s">
        <v>1407</v>
      </c>
      <c r="AH149" s="39"/>
      <c r="AI149" s="39"/>
      <c r="AJ149" s="39"/>
      <c r="AK149" s="39"/>
      <c r="AL149" s="39"/>
      <c r="AM149" s="39"/>
      <c r="AN149" s="166" t="s">
        <v>489</v>
      </c>
      <c r="AO149" s="166" t="s">
        <v>489</v>
      </c>
      <c r="AP149" s="166" t="s">
        <v>489</v>
      </c>
      <c r="AQ149" s="166" t="s">
        <v>489</v>
      </c>
      <c r="AR149" s="39"/>
      <c r="AS149" s="39"/>
      <c r="AT149" s="39"/>
    </row>
    <row r="150" spans="1:46">
      <c r="A150" s="169" t="s">
        <v>285</v>
      </c>
      <c r="B150" s="22">
        <v>10196</v>
      </c>
      <c r="C150" s="43" t="s">
        <v>547</v>
      </c>
      <c r="D150" s="43" t="s">
        <v>548</v>
      </c>
      <c r="E150" s="50" t="s">
        <v>549</v>
      </c>
      <c r="F150" s="22" t="s">
        <v>550</v>
      </c>
      <c r="G150" s="43" t="s">
        <v>61</v>
      </c>
      <c r="H150" s="22">
        <v>0</v>
      </c>
      <c r="I150" s="43" t="s">
        <v>551</v>
      </c>
      <c r="J150" s="22" t="s">
        <v>485</v>
      </c>
      <c r="K150" s="26">
        <v>6</v>
      </c>
      <c r="L150" s="26">
        <v>92</v>
      </c>
      <c r="M150" s="34">
        <v>2008</v>
      </c>
      <c r="N150" s="22" t="s">
        <v>552</v>
      </c>
      <c r="O150" s="26" t="s">
        <v>61</v>
      </c>
      <c r="P150" s="26" t="s">
        <v>61</v>
      </c>
      <c r="Q150" s="26" t="s">
        <v>61</v>
      </c>
      <c r="R150" s="43" t="s">
        <v>553</v>
      </c>
      <c r="S150" s="22">
        <v>2</v>
      </c>
      <c r="T150" s="22">
        <v>1494</v>
      </c>
      <c r="U150" s="22">
        <v>2</v>
      </c>
      <c r="V150" s="26">
        <v>840</v>
      </c>
      <c r="W150" s="26">
        <v>654</v>
      </c>
      <c r="X150" s="48" t="s">
        <v>59</v>
      </c>
      <c r="Y150" s="48" t="s">
        <v>59</v>
      </c>
      <c r="Z150" s="22">
        <v>0</v>
      </c>
      <c r="AA150" s="22">
        <v>0</v>
      </c>
      <c r="AB150" s="22">
        <v>0</v>
      </c>
      <c r="AC150" s="22">
        <v>12</v>
      </c>
      <c r="AD150" s="22">
        <v>12</v>
      </c>
      <c r="AE150" s="22" t="s">
        <v>554</v>
      </c>
      <c r="AF150" s="48" t="s">
        <v>489</v>
      </c>
      <c r="AG150" s="26" t="s">
        <v>1407</v>
      </c>
      <c r="AK150" s="41" t="s">
        <v>489</v>
      </c>
      <c r="AL150" s="41" t="s">
        <v>489</v>
      </c>
      <c r="AN150" s="41" t="s">
        <v>489</v>
      </c>
      <c r="AO150" s="41" t="s">
        <v>489</v>
      </c>
      <c r="AP150" s="41" t="s">
        <v>489</v>
      </c>
      <c r="AQ150" s="41" t="s">
        <v>489</v>
      </c>
    </row>
    <row r="151" spans="1:46">
      <c r="A151" s="172" t="s">
        <v>963</v>
      </c>
      <c r="B151" s="22">
        <v>10203</v>
      </c>
      <c r="C151" s="43" t="s">
        <v>964</v>
      </c>
      <c r="D151" s="22" t="s">
        <v>965</v>
      </c>
      <c r="E151" s="44" t="s">
        <v>966</v>
      </c>
      <c r="F151" s="43" t="s">
        <v>967</v>
      </c>
      <c r="G151" s="43" t="s">
        <v>61</v>
      </c>
      <c r="H151" s="43">
        <v>0</v>
      </c>
      <c r="I151" s="43" t="s">
        <v>61</v>
      </c>
      <c r="J151" s="43" t="s">
        <v>2265</v>
      </c>
      <c r="K151" s="48" t="s">
        <v>59</v>
      </c>
      <c r="L151" s="48" t="s">
        <v>59</v>
      </c>
      <c r="M151" s="34">
        <v>2009</v>
      </c>
      <c r="N151" s="43" t="s">
        <v>968</v>
      </c>
      <c r="O151" s="26" t="s">
        <v>61</v>
      </c>
      <c r="P151" s="26" t="s">
        <v>61</v>
      </c>
      <c r="Q151" s="26" t="s">
        <v>61</v>
      </c>
      <c r="R151" s="43" t="s">
        <v>969</v>
      </c>
      <c r="S151" s="22">
        <v>4</v>
      </c>
      <c r="T151" s="22">
        <v>35</v>
      </c>
      <c r="U151" s="22">
        <v>2</v>
      </c>
      <c r="V151" s="26">
        <v>18</v>
      </c>
      <c r="W151" s="26">
        <v>17</v>
      </c>
      <c r="X151" s="48" t="s">
        <v>59</v>
      </c>
      <c r="Y151" s="48" t="s">
        <v>59</v>
      </c>
      <c r="Z151" s="22">
        <v>0</v>
      </c>
      <c r="AA151" s="22">
        <v>1</v>
      </c>
      <c r="AB151" s="49" t="s">
        <v>59</v>
      </c>
      <c r="AC151" s="22">
        <v>36</v>
      </c>
      <c r="AD151" s="22">
        <v>36</v>
      </c>
      <c r="AE151" s="43" t="s">
        <v>59</v>
      </c>
      <c r="AF151" s="48" t="s">
        <v>489</v>
      </c>
      <c r="AG151" s="26" t="s">
        <v>1407</v>
      </c>
      <c r="AN151" s="41" t="s">
        <v>489</v>
      </c>
      <c r="AO151" s="41"/>
      <c r="AP151" s="41"/>
      <c r="AQ151" s="41"/>
      <c r="AR151" s="48"/>
    </row>
    <row r="152" spans="1:46">
      <c r="A152" s="171" t="s">
        <v>354</v>
      </c>
      <c r="B152" s="22">
        <v>10205</v>
      </c>
      <c r="C152" s="43" t="s">
        <v>781</v>
      </c>
      <c r="D152" s="43" t="s">
        <v>782</v>
      </c>
      <c r="E152" s="44" t="s">
        <v>783</v>
      </c>
      <c r="F152" s="22" t="s">
        <v>784</v>
      </c>
      <c r="G152" s="43" t="s">
        <v>61</v>
      </c>
      <c r="H152" s="22">
        <v>0</v>
      </c>
      <c r="I152" s="43" t="s">
        <v>785</v>
      </c>
      <c r="J152" s="43" t="s">
        <v>2265</v>
      </c>
      <c r="K152" s="26" t="s">
        <v>59</v>
      </c>
      <c r="L152" s="26" t="s">
        <v>59</v>
      </c>
      <c r="M152" s="34">
        <v>2010</v>
      </c>
      <c r="N152" s="22" t="s">
        <v>496</v>
      </c>
      <c r="O152" s="26" t="s">
        <v>61</v>
      </c>
      <c r="P152" s="26" t="s">
        <v>61</v>
      </c>
      <c r="Q152" s="26" t="s">
        <v>61</v>
      </c>
      <c r="R152" s="22" t="s">
        <v>786</v>
      </c>
      <c r="S152" s="22">
        <v>2</v>
      </c>
      <c r="T152" s="22">
        <v>201</v>
      </c>
      <c r="U152" s="22">
        <v>2</v>
      </c>
      <c r="V152" s="26">
        <v>101</v>
      </c>
      <c r="W152" s="26">
        <v>100</v>
      </c>
      <c r="X152" s="26" t="s">
        <v>59</v>
      </c>
      <c r="Y152" s="26" t="s">
        <v>59</v>
      </c>
      <c r="Z152" s="22">
        <v>0</v>
      </c>
      <c r="AA152" s="22">
        <v>0</v>
      </c>
      <c r="AB152" s="34" t="s">
        <v>59</v>
      </c>
      <c r="AC152" s="22">
        <v>6</v>
      </c>
      <c r="AD152" s="22">
        <v>6</v>
      </c>
      <c r="AE152" s="22" t="s">
        <v>59</v>
      </c>
      <c r="AF152" s="26" t="s">
        <v>489</v>
      </c>
      <c r="AG152" s="26" t="s">
        <v>1407</v>
      </c>
      <c r="AN152" s="41" t="s">
        <v>489</v>
      </c>
      <c r="AO152" s="41" t="s">
        <v>489</v>
      </c>
      <c r="AP152" s="41" t="s">
        <v>489</v>
      </c>
      <c r="AQ152" s="41" t="s">
        <v>489</v>
      </c>
    </row>
    <row r="153" spans="1:46">
      <c r="A153" s="171" t="s">
        <v>355</v>
      </c>
      <c r="B153" s="22">
        <v>10210</v>
      </c>
      <c r="C153" s="43" t="s">
        <v>970</v>
      </c>
      <c r="D153" s="43" t="s">
        <v>971</v>
      </c>
      <c r="E153" s="44" t="s">
        <v>972</v>
      </c>
      <c r="F153" s="43" t="s">
        <v>973</v>
      </c>
      <c r="G153" s="43" t="s">
        <v>974</v>
      </c>
      <c r="H153" s="43">
        <v>0</v>
      </c>
      <c r="I153" s="43" t="s">
        <v>61</v>
      </c>
      <c r="J153" s="43" t="s">
        <v>2265</v>
      </c>
      <c r="K153" s="48" t="s">
        <v>59</v>
      </c>
      <c r="L153" s="48" t="s">
        <v>59</v>
      </c>
      <c r="M153" s="34">
        <v>2011</v>
      </c>
      <c r="N153" s="43" t="s">
        <v>496</v>
      </c>
      <c r="O153" s="26">
        <v>55.8</v>
      </c>
      <c r="P153" s="26">
        <v>10</v>
      </c>
      <c r="Q153" s="26">
        <v>33</v>
      </c>
      <c r="R153" s="43" t="s">
        <v>975</v>
      </c>
      <c r="S153" s="22">
        <v>2</v>
      </c>
      <c r="T153" s="22">
        <v>46</v>
      </c>
      <c r="U153" s="22">
        <v>2</v>
      </c>
      <c r="V153" s="26">
        <v>21</v>
      </c>
      <c r="W153" s="26">
        <v>25</v>
      </c>
      <c r="X153" s="48" t="s">
        <v>59</v>
      </c>
      <c r="Y153" s="48" t="s">
        <v>59</v>
      </c>
      <c r="Z153" s="22">
        <v>0</v>
      </c>
      <c r="AA153" s="22">
        <v>0</v>
      </c>
      <c r="AB153" s="49" t="s">
        <v>59</v>
      </c>
      <c r="AC153" s="22">
        <v>12</v>
      </c>
      <c r="AD153" s="22">
        <v>12</v>
      </c>
      <c r="AE153" s="43" t="s">
        <v>59</v>
      </c>
      <c r="AF153" s="48" t="s">
        <v>489</v>
      </c>
      <c r="AG153" s="26" t="s">
        <v>1407</v>
      </c>
      <c r="AH153" s="41" t="s">
        <v>489</v>
      </c>
      <c r="AK153" s="41" t="s">
        <v>489</v>
      </c>
      <c r="AL153" s="41" t="s">
        <v>489</v>
      </c>
      <c r="AN153" s="41" t="s">
        <v>489</v>
      </c>
      <c r="AO153" s="41" t="s">
        <v>489</v>
      </c>
      <c r="AP153" s="41" t="s">
        <v>489</v>
      </c>
      <c r="AR153" s="41" t="s">
        <v>489</v>
      </c>
    </row>
    <row r="154" spans="1:46">
      <c r="A154" s="171" t="s">
        <v>356</v>
      </c>
      <c r="B154" s="22">
        <v>10220</v>
      </c>
      <c r="C154" s="43" t="s">
        <v>976</v>
      </c>
      <c r="D154" s="43" t="s">
        <v>977</v>
      </c>
      <c r="E154" s="44" t="s">
        <v>978</v>
      </c>
      <c r="F154" s="43" t="s">
        <v>979</v>
      </c>
      <c r="G154" s="43" t="s">
        <v>61</v>
      </c>
      <c r="H154" s="22">
        <v>0</v>
      </c>
      <c r="I154" s="22" t="s">
        <v>980</v>
      </c>
      <c r="J154" s="43" t="s">
        <v>2265</v>
      </c>
      <c r="K154" s="26" t="s">
        <v>59</v>
      </c>
      <c r="L154" s="26" t="s">
        <v>59</v>
      </c>
      <c r="M154" s="34">
        <v>2009</v>
      </c>
      <c r="N154" s="22" t="s">
        <v>496</v>
      </c>
      <c r="O154" s="26" t="s">
        <v>61</v>
      </c>
      <c r="P154" s="26" t="s">
        <v>61</v>
      </c>
      <c r="Q154" s="26" t="s">
        <v>61</v>
      </c>
      <c r="R154" s="22" t="s">
        <v>981</v>
      </c>
      <c r="S154" s="22">
        <v>4</v>
      </c>
      <c r="T154" s="22">
        <v>556</v>
      </c>
      <c r="U154" s="22">
        <v>2</v>
      </c>
      <c r="V154" s="26">
        <v>278</v>
      </c>
      <c r="W154" s="26">
        <v>278</v>
      </c>
      <c r="X154" s="26" t="s">
        <v>59</v>
      </c>
      <c r="Y154" s="26" t="s">
        <v>59</v>
      </c>
      <c r="Z154" s="22">
        <v>0</v>
      </c>
      <c r="AA154" s="22">
        <v>0</v>
      </c>
      <c r="AB154" s="34" t="s">
        <v>59</v>
      </c>
      <c r="AC154" s="22">
        <v>12</v>
      </c>
      <c r="AD154" s="22">
        <v>12</v>
      </c>
      <c r="AE154" s="22" t="s">
        <v>59</v>
      </c>
      <c r="AF154" s="26" t="s">
        <v>489</v>
      </c>
      <c r="AG154" s="26" t="s">
        <v>1407</v>
      </c>
      <c r="AN154" s="41" t="s">
        <v>489</v>
      </c>
      <c r="AO154" s="41" t="s">
        <v>489</v>
      </c>
      <c r="AP154" s="41"/>
      <c r="AQ154" s="41" t="s">
        <v>489</v>
      </c>
      <c r="AR154" s="167" t="s">
        <v>3545</v>
      </c>
    </row>
    <row r="155" spans="1:46">
      <c r="A155" s="171" t="s">
        <v>357</v>
      </c>
      <c r="B155" s="22">
        <v>10223</v>
      </c>
      <c r="C155" s="43" t="s">
        <v>982</v>
      </c>
      <c r="D155" s="43" t="s">
        <v>983</v>
      </c>
      <c r="E155" s="44" t="s">
        <v>984</v>
      </c>
      <c r="F155" s="43" t="s">
        <v>985</v>
      </c>
      <c r="G155" s="43" t="s">
        <v>61</v>
      </c>
      <c r="H155" s="22">
        <v>0</v>
      </c>
      <c r="I155" s="43" t="s">
        <v>986</v>
      </c>
      <c r="J155" s="43" t="s">
        <v>2265</v>
      </c>
      <c r="K155" s="48" t="s">
        <v>59</v>
      </c>
      <c r="L155" s="48" t="s">
        <v>59</v>
      </c>
      <c r="M155" s="34">
        <v>2010</v>
      </c>
      <c r="N155" s="43" t="s">
        <v>61</v>
      </c>
      <c r="O155" s="26" t="s">
        <v>61</v>
      </c>
      <c r="P155" s="26" t="s">
        <v>61</v>
      </c>
      <c r="Q155" s="26" t="s">
        <v>61</v>
      </c>
      <c r="R155" s="43" t="s">
        <v>61</v>
      </c>
      <c r="S155" s="22">
        <v>2</v>
      </c>
      <c r="T155" s="22">
        <v>50</v>
      </c>
      <c r="U155" s="22">
        <v>2</v>
      </c>
      <c r="V155" s="26">
        <v>25</v>
      </c>
      <c r="W155" s="26">
        <v>25</v>
      </c>
      <c r="X155" s="48" t="s">
        <v>59</v>
      </c>
      <c r="Y155" s="48" t="s">
        <v>59</v>
      </c>
      <c r="Z155" s="22">
        <v>0</v>
      </c>
      <c r="AA155" s="22">
        <v>0</v>
      </c>
      <c r="AB155" s="49" t="s">
        <v>59</v>
      </c>
      <c r="AC155" s="22">
        <v>6</v>
      </c>
      <c r="AD155" s="22">
        <v>6</v>
      </c>
      <c r="AE155" s="43" t="s">
        <v>59</v>
      </c>
      <c r="AF155" s="48" t="s">
        <v>489</v>
      </c>
      <c r="AG155" s="26" t="s">
        <v>1407</v>
      </c>
      <c r="AN155" s="41" t="s">
        <v>489</v>
      </c>
    </row>
    <row r="156" spans="1:46">
      <c r="A156" s="171" t="s">
        <v>358</v>
      </c>
      <c r="B156" s="22">
        <v>10224</v>
      </c>
      <c r="C156" s="43" t="s">
        <v>987</v>
      </c>
      <c r="D156" s="43" t="s">
        <v>988</v>
      </c>
      <c r="E156" s="50" t="s">
        <v>989</v>
      </c>
      <c r="F156" s="43" t="s">
        <v>990</v>
      </c>
      <c r="G156" s="22" t="s">
        <v>61</v>
      </c>
      <c r="H156" s="22">
        <v>0</v>
      </c>
      <c r="I156" s="22" t="s">
        <v>991</v>
      </c>
      <c r="J156" s="43" t="s">
        <v>2265</v>
      </c>
      <c r="K156" s="48" t="s">
        <v>59</v>
      </c>
      <c r="L156" s="48" t="s">
        <v>59</v>
      </c>
      <c r="M156" s="34">
        <v>2007</v>
      </c>
      <c r="N156" s="43" t="s">
        <v>496</v>
      </c>
      <c r="O156" s="26" t="s">
        <v>61</v>
      </c>
      <c r="P156" s="26" t="s">
        <v>61</v>
      </c>
      <c r="Q156" s="26" t="s">
        <v>61</v>
      </c>
      <c r="R156" s="43" t="s">
        <v>992</v>
      </c>
      <c r="S156" s="43">
        <v>4</v>
      </c>
      <c r="T156" s="43">
        <v>165</v>
      </c>
      <c r="U156" s="43">
        <v>2</v>
      </c>
      <c r="V156" s="26">
        <v>80</v>
      </c>
      <c r="W156" s="26">
        <v>85</v>
      </c>
      <c r="X156" s="48" t="s">
        <v>59</v>
      </c>
      <c r="Y156" s="48" t="s">
        <v>59</v>
      </c>
      <c r="Z156" s="22">
        <v>0</v>
      </c>
      <c r="AA156" s="22">
        <v>0</v>
      </c>
      <c r="AB156" s="49" t="s">
        <v>59</v>
      </c>
      <c r="AC156" s="22">
        <v>12</v>
      </c>
      <c r="AD156" s="22">
        <v>12</v>
      </c>
      <c r="AE156" s="43" t="s">
        <v>59</v>
      </c>
      <c r="AF156" s="26" t="s">
        <v>489</v>
      </c>
      <c r="AG156" s="26" t="s">
        <v>1407</v>
      </c>
      <c r="AK156" s="41" t="s">
        <v>489</v>
      </c>
      <c r="AN156" s="41" t="s">
        <v>489</v>
      </c>
      <c r="AO156" s="41" t="s">
        <v>489</v>
      </c>
      <c r="AP156" s="41" t="s">
        <v>489</v>
      </c>
      <c r="AQ156" s="41" t="s">
        <v>489</v>
      </c>
    </row>
    <row r="157" spans="1:46">
      <c r="A157" s="172" t="s">
        <v>993</v>
      </c>
      <c r="B157" s="22">
        <v>10239</v>
      </c>
      <c r="C157" s="43" t="s">
        <v>994</v>
      </c>
      <c r="D157" s="43" t="s">
        <v>995</v>
      </c>
      <c r="E157" s="44" t="s">
        <v>996</v>
      </c>
      <c r="F157" s="43" t="s">
        <v>997</v>
      </c>
      <c r="G157" s="43" t="s">
        <v>998</v>
      </c>
      <c r="H157" s="22">
        <v>0</v>
      </c>
      <c r="I157" s="43" t="s">
        <v>999</v>
      </c>
      <c r="J157" s="43" t="s">
        <v>2265</v>
      </c>
      <c r="K157" s="48" t="s">
        <v>59</v>
      </c>
      <c r="L157" s="48" t="s">
        <v>59</v>
      </c>
      <c r="M157" s="34">
        <v>2008</v>
      </c>
      <c r="N157" s="43" t="s">
        <v>567</v>
      </c>
      <c r="O157" s="26">
        <v>58</v>
      </c>
      <c r="P157" s="26">
        <v>10</v>
      </c>
      <c r="Q157" s="26">
        <v>59</v>
      </c>
      <c r="R157" s="43" t="s">
        <v>1000</v>
      </c>
      <c r="S157" s="22">
        <v>2</v>
      </c>
      <c r="T157" s="22">
        <v>143</v>
      </c>
      <c r="U157" s="22">
        <v>2</v>
      </c>
      <c r="V157" s="26">
        <v>70</v>
      </c>
      <c r="W157" s="26">
        <v>73</v>
      </c>
      <c r="X157" s="48" t="s">
        <v>59</v>
      </c>
      <c r="Y157" s="48" t="s">
        <v>59</v>
      </c>
      <c r="Z157" s="22">
        <v>0</v>
      </c>
      <c r="AA157" s="22">
        <v>1</v>
      </c>
      <c r="AB157" s="49" t="s">
        <v>59</v>
      </c>
      <c r="AC157" s="22">
        <v>6</v>
      </c>
      <c r="AD157" s="22">
        <v>6</v>
      </c>
      <c r="AE157" s="43" t="s">
        <v>59</v>
      </c>
      <c r="AF157" s="26" t="s">
        <v>489</v>
      </c>
      <c r="AG157" s="26" t="s">
        <v>1407</v>
      </c>
      <c r="AN157" s="41" t="s">
        <v>489</v>
      </c>
      <c r="AO157" s="41" t="s">
        <v>489</v>
      </c>
      <c r="AP157" s="41" t="s">
        <v>489</v>
      </c>
      <c r="AQ157" s="41" t="s">
        <v>489</v>
      </c>
    </row>
    <row r="158" spans="1:46">
      <c r="A158" s="172" t="s">
        <v>360</v>
      </c>
      <c r="B158" s="22">
        <v>10243</v>
      </c>
      <c r="C158" s="43" t="s">
        <v>1001</v>
      </c>
      <c r="D158" s="43" t="s">
        <v>1002</v>
      </c>
      <c r="E158" s="44" t="s">
        <v>1003</v>
      </c>
      <c r="F158" s="43" t="s">
        <v>1004</v>
      </c>
      <c r="G158" s="43" t="s">
        <v>61</v>
      </c>
      <c r="H158" s="22">
        <v>0</v>
      </c>
      <c r="I158" s="43" t="s">
        <v>1005</v>
      </c>
      <c r="J158" s="43" t="s">
        <v>2265</v>
      </c>
      <c r="K158" s="48" t="s">
        <v>59</v>
      </c>
      <c r="L158" s="48" t="s">
        <v>59</v>
      </c>
      <c r="M158" s="34">
        <v>2007</v>
      </c>
      <c r="N158" s="22" t="s">
        <v>544</v>
      </c>
      <c r="O158" s="26">
        <v>67.400000000000006</v>
      </c>
      <c r="P158" s="26">
        <v>9.3000000000000007</v>
      </c>
      <c r="Q158" s="26">
        <v>70</v>
      </c>
      <c r="R158" s="22" t="s">
        <v>1006</v>
      </c>
      <c r="S158" s="22">
        <v>2</v>
      </c>
      <c r="T158" s="22">
        <v>67</v>
      </c>
      <c r="U158" s="22">
        <v>3</v>
      </c>
      <c r="V158" s="26">
        <v>24</v>
      </c>
      <c r="W158" s="26">
        <v>21</v>
      </c>
      <c r="X158" s="26">
        <v>22</v>
      </c>
      <c r="Y158" s="26" t="s">
        <v>59</v>
      </c>
      <c r="Z158" s="22">
        <v>0</v>
      </c>
      <c r="AA158" s="22">
        <v>0</v>
      </c>
      <c r="AB158" s="49" t="s">
        <v>59</v>
      </c>
      <c r="AC158" s="22">
        <v>3</v>
      </c>
      <c r="AD158" s="22">
        <v>3</v>
      </c>
      <c r="AE158" s="43" t="s">
        <v>59</v>
      </c>
      <c r="AF158" s="48" t="s">
        <v>489</v>
      </c>
      <c r="AG158" s="26" t="s">
        <v>1407</v>
      </c>
      <c r="AN158" s="41" t="s">
        <v>489</v>
      </c>
    </row>
    <row r="159" spans="1:46">
      <c r="A159" s="172" t="s">
        <v>361</v>
      </c>
      <c r="B159" s="22">
        <v>10278</v>
      </c>
      <c r="C159" s="43" t="s">
        <v>1007</v>
      </c>
      <c r="D159" s="43" t="s">
        <v>1008</v>
      </c>
      <c r="E159" s="44" t="s">
        <v>1009</v>
      </c>
      <c r="F159" s="43" t="s">
        <v>1010</v>
      </c>
      <c r="G159" s="43" t="s">
        <v>61</v>
      </c>
      <c r="H159" s="22">
        <v>0</v>
      </c>
      <c r="I159" s="47" t="s">
        <v>1011</v>
      </c>
      <c r="J159" s="43" t="s">
        <v>2265</v>
      </c>
      <c r="K159" s="48" t="s">
        <v>59</v>
      </c>
      <c r="L159" s="48" t="s">
        <v>59</v>
      </c>
      <c r="M159" s="34">
        <v>2007</v>
      </c>
      <c r="N159" s="22" t="s">
        <v>496</v>
      </c>
      <c r="O159" s="26">
        <v>68</v>
      </c>
      <c r="P159" s="26">
        <v>10</v>
      </c>
      <c r="Q159" s="26">
        <v>98</v>
      </c>
      <c r="R159" s="43" t="s">
        <v>1012</v>
      </c>
      <c r="S159" s="22">
        <v>2</v>
      </c>
      <c r="T159" s="22">
        <v>302</v>
      </c>
      <c r="U159" s="22">
        <v>3</v>
      </c>
      <c r="V159" s="26">
        <v>107</v>
      </c>
      <c r="W159" s="26">
        <v>102</v>
      </c>
      <c r="X159" s="26">
        <v>93</v>
      </c>
      <c r="Y159" s="48" t="s">
        <v>59</v>
      </c>
      <c r="Z159" s="22">
        <v>0</v>
      </c>
      <c r="AA159" s="22">
        <v>0</v>
      </c>
      <c r="AB159" s="49" t="s">
        <v>59</v>
      </c>
      <c r="AC159" s="22">
        <v>6</v>
      </c>
      <c r="AD159" s="22">
        <v>12</v>
      </c>
      <c r="AE159" s="43" t="s">
        <v>59</v>
      </c>
      <c r="AF159" s="26" t="s">
        <v>489</v>
      </c>
      <c r="AG159" s="26" t="s">
        <v>1407</v>
      </c>
      <c r="AN159" s="41" t="s">
        <v>489</v>
      </c>
      <c r="AO159" s="41" t="s">
        <v>489</v>
      </c>
      <c r="AQ159" s="41"/>
    </row>
    <row r="160" spans="1:46">
      <c r="A160" s="171" t="s">
        <v>362</v>
      </c>
      <c r="B160" s="22">
        <v>10306</v>
      </c>
      <c r="C160" s="43" t="s">
        <v>1013</v>
      </c>
      <c r="D160" s="43" t="s">
        <v>1014</v>
      </c>
      <c r="E160" s="44" t="s">
        <v>1015</v>
      </c>
      <c r="F160" s="43" t="s">
        <v>1016</v>
      </c>
      <c r="G160" s="43" t="s">
        <v>61</v>
      </c>
      <c r="H160" s="22">
        <v>0</v>
      </c>
      <c r="I160" s="43" t="s">
        <v>1017</v>
      </c>
      <c r="J160" s="43" t="s">
        <v>2265</v>
      </c>
      <c r="K160" s="48" t="s">
        <v>59</v>
      </c>
      <c r="L160" s="48" t="s">
        <v>59</v>
      </c>
      <c r="M160" s="34">
        <v>2009</v>
      </c>
      <c r="N160" s="22" t="s">
        <v>496</v>
      </c>
      <c r="O160" s="26">
        <v>56</v>
      </c>
      <c r="P160" s="26">
        <v>10.1</v>
      </c>
      <c r="Q160" s="26">
        <v>48.5</v>
      </c>
      <c r="R160" s="43" t="s">
        <v>1018</v>
      </c>
      <c r="S160" s="22">
        <v>2</v>
      </c>
      <c r="T160" s="22">
        <v>339</v>
      </c>
      <c r="U160" s="22">
        <v>2</v>
      </c>
      <c r="V160" s="26">
        <v>167</v>
      </c>
      <c r="W160" s="26">
        <v>172</v>
      </c>
      <c r="X160" s="48" t="s">
        <v>59</v>
      </c>
      <c r="Y160" s="48" t="s">
        <v>59</v>
      </c>
      <c r="Z160" s="22">
        <v>0</v>
      </c>
      <c r="AA160" s="22">
        <v>0</v>
      </c>
      <c r="AB160" s="49" t="s">
        <v>59</v>
      </c>
      <c r="AC160" s="22">
        <v>12</v>
      </c>
      <c r="AD160" s="22">
        <v>12</v>
      </c>
      <c r="AE160" s="43" t="s">
        <v>59</v>
      </c>
      <c r="AF160" s="26" t="s">
        <v>489</v>
      </c>
      <c r="AG160" s="26" t="s">
        <v>1407</v>
      </c>
      <c r="AN160" s="41" t="s">
        <v>489</v>
      </c>
      <c r="AO160" s="41" t="s">
        <v>489</v>
      </c>
      <c r="AP160" s="41" t="s">
        <v>489</v>
      </c>
      <c r="AQ160" s="41"/>
      <c r="AR160" s="41" t="s">
        <v>489</v>
      </c>
    </row>
    <row r="161" spans="1:46">
      <c r="A161" s="171" t="s">
        <v>364</v>
      </c>
      <c r="B161" s="22">
        <v>10312</v>
      </c>
      <c r="C161" s="43" t="s">
        <v>1019</v>
      </c>
      <c r="D161" s="43" t="s">
        <v>1020</v>
      </c>
      <c r="E161" s="44" t="s">
        <v>1021</v>
      </c>
      <c r="F161" s="43" t="s">
        <v>1022</v>
      </c>
      <c r="G161" s="43" t="s">
        <v>1023</v>
      </c>
      <c r="H161" s="22">
        <v>0</v>
      </c>
      <c r="I161" s="43" t="s">
        <v>61</v>
      </c>
      <c r="J161" s="43" t="s">
        <v>2265</v>
      </c>
      <c r="K161" s="48" t="s">
        <v>59</v>
      </c>
      <c r="L161" s="48" t="s">
        <v>59</v>
      </c>
      <c r="M161" s="34">
        <v>2010</v>
      </c>
      <c r="N161" s="43" t="s">
        <v>496</v>
      </c>
      <c r="O161" s="26" t="s">
        <v>61</v>
      </c>
      <c r="P161" s="26" t="s">
        <v>61</v>
      </c>
      <c r="Q161" s="26" t="s">
        <v>61</v>
      </c>
      <c r="R161" s="43" t="s">
        <v>1024</v>
      </c>
      <c r="S161" s="22">
        <v>2</v>
      </c>
      <c r="T161" s="22">
        <v>295</v>
      </c>
      <c r="U161" s="22">
        <v>2</v>
      </c>
      <c r="V161" s="26">
        <v>149</v>
      </c>
      <c r="W161" s="26">
        <v>146</v>
      </c>
      <c r="X161" s="48" t="s">
        <v>59</v>
      </c>
      <c r="Y161" s="48" t="s">
        <v>59</v>
      </c>
      <c r="Z161" s="22">
        <v>0</v>
      </c>
      <c r="AA161" s="22">
        <v>0</v>
      </c>
      <c r="AB161" s="49" t="s">
        <v>59</v>
      </c>
      <c r="AC161" s="34">
        <v>12</v>
      </c>
      <c r="AD161" s="34">
        <v>12</v>
      </c>
      <c r="AE161" s="43" t="s">
        <v>59</v>
      </c>
      <c r="AF161" s="48" t="s">
        <v>489</v>
      </c>
      <c r="AG161" s="26" t="s">
        <v>1407</v>
      </c>
      <c r="AN161" s="41" t="s">
        <v>489</v>
      </c>
      <c r="AO161" s="41" t="s">
        <v>489</v>
      </c>
      <c r="AP161" s="41" t="s">
        <v>489</v>
      </c>
      <c r="AQ161" s="41" t="s">
        <v>489</v>
      </c>
    </row>
    <row r="162" spans="1:46">
      <c r="A162" s="171" t="s">
        <v>365</v>
      </c>
      <c r="B162" s="22">
        <v>10313</v>
      </c>
      <c r="C162" s="43" t="s">
        <v>1025</v>
      </c>
      <c r="D162" s="43" t="s">
        <v>1026</v>
      </c>
      <c r="E162" s="50" t="s">
        <v>1027</v>
      </c>
      <c r="F162" s="43" t="s">
        <v>1028</v>
      </c>
      <c r="G162" s="22" t="s">
        <v>61</v>
      </c>
      <c r="H162" s="22">
        <v>0</v>
      </c>
      <c r="I162" s="22" t="s">
        <v>61</v>
      </c>
      <c r="J162" s="43" t="s">
        <v>2265</v>
      </c>
      <c r="K162" s="26" t="s">
        <v>59</v>
      </c>
      <c r="L162" s="26" t="s">
        <v>59</v>
      </c>
      <c r="M162" s="34">
        <v>2011</v>
      </c>
      <c r="N162" s="22" t="s">
        <v>1029</v>
      </c>
      <c r="O162" s="26" t="s">
        <v>61</v>
      </c>
      <c r="P162" s="26" t="s">
        <v>61</v>
      </c>
      <c r="Q162" s="26" t="s">
        <v>61</v>
      </c>
      <c r="R162" s="22" t="s">
        <v>1030</v>
      </c>
      <c r="S162" s="22">
        <v>2</v>
      </c>
      <c r="T162" s="22">
        <v>100</v>
      </c>
      <c r="U162" s="22">
        <v>2</v>
      </c>
      <c r="V162" s="26">
        <v>50</v>
      </c>
      <c r="W162" s="26">
        <v>50</v>
      </c>
      <c r="X162" s="26" t="s">
        <v>59</v>
      </c>
      <c r="Y162" s="26" t="s">
        <v>59</v>
      </c>
      <c r="Z162" s="22">
        <v>0</v>
      </c>
      <c r="AA162" s="22">
        <v>0</v>
      </c>
      <c r="AB162" s="34" t="s">
        <v>59</v>
      </c>
      <c r="AC162" s="22">
        <v>6</v>
      </c>
      <c r="AD162" s="22">
        <v>6</v>
      </c>
      <c r="AE162" s="43" t="s">
        <v>59</v>
      </c>
      <c r="AF162" s="26" t="s">
        <v>489</v>
      </c>
      <c r="AG162" s="26" t="s">
        <v>1407</v>
      </c>
      <c r="AN162" s="41" t="s">
        <v>489</v>
      </c>
      <c r="AO162" s="41" t="s">
        <v>489</v>
      </c>
      <c r="AP162" s="41" t="s">
        <v>489</v>
      </c>
      <c r="AQ162" s="41"/>
      <c r="AR162" s="41"/>
      <c r="AS162" s="41"/>
      <c r="AT162" s="41" t="s">
        <v>489</v>
      </c>
    </row>
    <row r="163" spans="1:46">
      <c r="A163" s="171" t="s">
        <v>366</v>
      </c>
      <c r="B163" s="22">
        <v>10314</v>
      </c>
      <c r="C163" s="43" t="s">
        <v>1031</v>
      </c>
      <c r="D163" s="43" t="s">
        <v>1032</v>
      </c>
      <c r="E163" s="44" t="s">
        <v>1033</v>
      </c>
      <c r="F163" s="43" t="s">
        <v>1034</v>
      </c>
      <c r="G163" s="43" t="s">
        <v>1035</v>
      </c>
      <c r="H163" s="22">
        <v>0</v>
      </c>
      <c r="I163" s="43" t="s">
        <v>61</v>
      </c>
      <c r="J163" s="43" t="s">
        <v>2265</v>
      </c>
      <c r="K163" s="26" t="s">
        <v>59</v>
      </c>
      <c r="L163" s="26" t="s">
        <v>59</v>
      </c>
      <c r="M163" s="34">
        <v>2011</v>
      </c>
      <c r="N163" s="22" t="s">
        <v>1036</v>
      </c>
      <c r="O163" s="26" t="s">
        <v>61</v>
      </c>
      <c r="P163" s="26" t="s">
        <v>61</v>
      </c>
      <c r="Q163" s="26" t="s">
        <v>61</v>
      </c>
      <c r="R163" s="22" t="s">
        <v>1037</v>
      </c>
      <c r="S163" s="22">
        <v>2</v>
      </c>
      <c r="T163" s="22">
        <v>70</v>
      </c>
      <c r="U163" s="22">
        <v>2</v>
      </c>
      <c r="V163" s="26">
        <v>35</v>
      </c>
      <c r="W163" s="26">
        <v>35</v>
      </c>
      <c r="X163" s="26" t="s">
        <v>59</v>
      </c>
      <c r="Y163" s="26" t="s">
        <v>59</v>
      </c>
      <c r="Z163" s="22">
        <v>0</v>
      </c>
      <c r="AA163" s="22">
        <v>0</v>
      </c>
      <c r="AB163" s="34" t="s">
        <v>59</v>
      </c>
      <c r="AC163" s="22">
        <v>6</v>
      </c>
      <c r="AD163" s="22">
        <v>6</v>
      </c>
      <c r="AE163" s="22" t="s">
        <v>59</v>
      </c>
      <c r="AF163" s="48" t="s">
        <v>489</v>
      </c>
      <c r="AG163" s="26" t="s">
        <v>1407</v>
      </c>
      <c r="AN163" s="41" t="s">
        <v>489</v>
      </c>
    </row>
    <row r="164" spans="1:46">
      <c r="A164" s="173" t="s">
        <v>1038</v>
      </c>
      <c r="B164" s="52">
        <v>10319</v>
      </c>
      <c r="C164" s="52" t="s">
        <v>1039</v>
      </c>
      <c r="D164" s="52" t="s">
        <v>1040</v>
      </c>
      <c r="E164" s="44" t="s">
        <v>1041</v>
      </c>
      <c r="F164" s="52" t="s">
        <v>1042</v>
      </c>
      <c r="G164" s="52" t="s">
        <v>61</v>
      </c>
      <c r="H164" s="52">
        <v>0</v>
      </c>
      <c r="I164" s="52" t="s">
        <v>61</v>
      </c>
      <c r="J164" s="43" t="s">
        <v>2265</v>
      </c>
      <c r="K164" s="39" t="s">
        <v>59</v>
      </c>
      <c r="L164" s="39" t="s">
        <v>59</v>
      </c>
      <c r="M164" s="51">
        <v>2011</v>
      </c>
      <c r="N164" s="52" t="s">
        <v>719</v>
      </c>
      <c r="O164" s="39" t="s">
        <v>61</v>
      </c>
      <c r="P164" s="39" t="s">
        <v>61</v>
      </c>
      <c r="Q164" s="39" t="s">
        <v>61</v>
      </c>
      <c r="R164" s="52" t="s">
        <v>1043</v>
      </c>
      <c r="S164" s="52">
        <v>2</v>
      </c>
      <c r="T164" s="52">
        <v>230</v>
      </c>
      <c r="U164" s="52">
        <v>2</v>
      </c>
      <c r="V164" s="39">
        <v>114</v>
      </c>
      <c r="W164" s="39">
        <v>116</v>
      </c>
      <c r="X164" s="39" t="s">
        <v>59</v>
      </c>
      <c r="Y164" s="39" t="s">
        <v>59</v>
      </c>
      <c r="Z164" s="52">
        <v>0</v>
      </c>
      <c r="AA164" s="52">
        <v>0</v>
      </c>
      <c r="AB164" s="51" t="s">
        <v>59</v>
      </c>
      <c r="AC164" s="51">
        <v>14</v>
      </c>
      <c r="AD164" s="52">
        <v>14</v>
      </c>
      <c r="AE164" s="52" t="s">
        <v>59</v>
      </c>
      <c r="AF164" s="39" t="s">
        <v>489</v>
      </c>
      <c r="AG164" s="26" t="s">
        <v>1407</v>
      </c>
      <c r="AH164" s="39"/>
      <c r="AI164" s="39"/>
      <c r="AJ164" s="39"/>
      <c r="AK164" s="39"/>
      <c r="AL164" s="166" t="s">
        <v>489</v>
      </c>
      <c r="AM164" s="39"/>
      <c r="AN164" s="166" t="s">
        <v>489</v>
      </c>
      <c r="AO164" s="166" t="s">
        <v>489</v>
      </c>
      <c r="AP164" s="166" t="s">
        <v>489</v>
      </c>
      <c r="AQ164" s="39"/>
      <c r="AR164" s="166" t="s">
        <v>489</v>
      </c>
      <c r="AS164" s="39"/>
      <c r="AT164" s="39"/>
    </row>
    <row r="165" spans="1:46">
      <c r="A165" s="172" t="s">
        <v>368</v>
      </c>
      <c r="B165" s="22">
        <v>10343</v>
      </c>
      <c r="C165" s="43" t="s">
        <v>1044</v>
      </c>
      <c r="D165" s="43" t="s">
        <v>1045</v>
      </c>
      <c r="E165" s="44" t="s">
        <v>1046</v>
      </c>
      <c r="F165" s="43" t="s">
        <v>1047</v>
      </c>
      <c r="G165" s="43" t="s">
        <v>1048</v>
      </c>
      <c r="H165" s="22">
        <v>0</v>
      </c>
      <c r="I165" s="43" t="s">
        <v>1049</v>
      </c>
      <c r="J165" s="43" t="s">
        <v>2265</v>
      </c>
      <c r="K165" s="48" t="s">
        <v>59</v>
      </c>
      <c r="L165" s="48" t="s">
        <v>59</v>
      </c>
      <c r="M165" s="34">
        <v>2007</v>
      </c>
      <c r="N165" s="22" t="s">
        <v>719</v>
      </c>
      <c r="O165" s="26" t="s">
        <v>61</v>
      </c>
      <c r="P165" s="26" t="s">
        <v>61</v>
      </c>
      <c r="Q165" s="26" t="s">
        <v>61</v>
      </c>
      <c r="R165" s="22" t="s">
        <v>1050</v>
      </c>
      <c r="S165" s="22">
        <v>2</v>
      </c>
      <c r="T165" s="22">
        <v>208</v>
      </c>
      <c r="U165" s="22">
        <v>2</v>
      </c>
      <c r="V165" s="26">
        <v>103</v>
      </c>
      <c r="W165" s="26">
        <v>105</v>
      </c>
      <c r="X165" s="26" t="s">
        <v>59</v>
      </c>
      <c r="Y165" s="26" t="s">
        <v>59</v>
      </c>
      <c r="Z165" s="22">
        <v>0</v>
      </c>
      <c r="AA165" s="22">
        <v>0</v>
      </c>
      <c r="AB165" s="49" t="s">
        <v>59</v>
      </c>
      <c r="AC165" s="22">
        <v>9</v>
      </c>
      <c r="AD165" s="22">
        <v>9</v>
      </c>
      <c r="AE165" s="43" t="s">
        <v>59</v>
      </c>
      <c r="AF165" s="48" t="s">
        <v>489</v>
      </c>
      <c r="AG165" s="26" t="s">
        <v>1407</v>
      </c>
      <c r="AN165" s="41" t="s">
        <v>489</v>
      </c>
    </row>
    <row r="166" spans="1:46">
      <c r="A166" s="171" t="s">
        <v>787</v>
      </c>
      <c r="B166" s="22">
        <v>10349</v>
      </c>
      <c r="C166" s="43" t="s">
        <v>788</v>
      </c>
      <c r="D166" s="43" t="s">
        <v>789</v>
      </c>
      <c r="E166" s="44" t="s">
        <v>790</v>
      </c>
      <c r="F166" s="43" t="s">
        <v>791</v>
      </c>
      <c r="G166" s="43" t="s">
        <v>61</v>
      </c>
      <c r="H166" s="22">
        <v>0</v>
      </c>
      <c r="I166" s="43" t="s">
        <v>61</v>
      </c>
      <c r="J166" s="43" t="s">
        <v>2265</v>
      </c>
      <c r="K166" s="26" t="s">
        <v>59</v>
      </c>
      <c r="L166" s="26" t="s">
        <v>59</v>
      </c>
      <c r="M166" s="34">
        <v>2011</v>
      </c>
      <c r="N166" s="22" t="s">
        <v>792</v>
      </c>
      <c r="O166" s="26" t="s">
        <v>61</v>
      </c>
      <c r="P166" s="26" t="s">
        <v>61</v>
      </c>
      <c r="Q166" s="26" t="s">
        <v>61</v>
      </c>
      <c r="R166" s="22" t="s">
        <v>793</v>
      </c>
      <c r="S166" s="22">
        <v>2</v>
      </c>
      <c r="T166" s="22">
        <v>122</v>
      </c>
      <c r="U166" s="22">
        <v>2</v>
      </c>
      <c r="V166" s="26">
        <v>61</v>
      </c>
      <c r="W166" s="26">
        <v>61</v>
      </c>
      <c r="X166" s="26" t="s">
        <v>59</v>
      </c>
      <c r="Y166" s="26" t="s">
        <v>59</v>
      </c>
      <c r="Z166" s="22">
        <v>0</v>
      </c>
      <c r="AA166" s="22">
        <v>0</v>
      </c>
      <c r="AB166" s="34" t="s">
        <v>59</v>
      </c>
      <c r="AC166" s="22">
        <v>6</v>
      </c>
      <c r="AD166" s="22">
        <v>6</v>
      </c>
      <c r="AE166" s="22" t="s">
        <v>59</v>
      </c>
      <c r="AF166" s="48" t="s">
        <v>489</v>
      </c>
      <c r="AG166" s="26" t="s">
        <v>1407</v>
      </c>
      <c r="AN166" s="41" t="s">
        <v>489</v>
      </c>
    </row>
    <row r="167" spans="1:46">
      <c r="A167" s="173" t="s">
        <v>370</v>
      </c>
      <c r="B167" s="52">
        <v>10354</v>
      </c>
      <c r="C167" s="52" t="s">
        <v>794</v>
      </c>
      <c r="D167" s="52" t="s">
        <v>795</v>
      </c>
      <c r="E167" s="52" t="s">
        <v>61</v>
      </c>
      <c r="F167" s="52" t="s">
        <v>796</v>
      </c>
      <c r="G167" s="52" t="s">
        <v>61</v>
      </c>
      <c r="H167" s="52">
        <v>1</v>
      </c>
      <c r="I167" s="52" t="s">
        <v>61</v>
      </c>
      <c r="J167" s="43" t="s">
        <v>2265</v>
      </c>
      <c r="K167" s="39" t="s">
        <v>59</v>
      </c>
      <c r="L167" s="39" t="s">
        <v>59</v>
      </c>
      <c r="M167" s="51">
        <v>2011</v>
      </c>
      <c r="N167" s="52" t="s">
        <v>496</v>
      </c>
      <c r="O167" s="26" t="s">
        <v>61</v>
      </c>
      <c r="P167" s="26" t="s">
        <v>61</v>
      </c>
      <c r="Q167" s="26" t="s">
        <v>61</v>
      </c>
      <c r="R167" s="52" t="s">
        <v>797</v>
      </c>
      <c r="S167" s="52">
        <v>2</v>
      </c>
      <c r="T167" s="52">
        <v>47</v>
      </c>
      <c r="U167" s="52">
        <v>2</v>
      </c>
      <c r="V167" s="39">
        <v>21</v>
      </c>
      <c r="W167" s="39">
        <v>26</v>
      </c>
      <c r="X167" s="39" t="s">
        <v>59</v>
      </c>
      <c r="Y167" s="39" t="s">
        <v>59</v>
      </c>
      <c r="Z167" s="52">
        <v>0</v>
      </c>
      <c r="AA167" s="52">
        <v>0</v>
      </c>
      <c r="AB167" s="51" t="s">
        <v>59</v>
      </c>
      <c r="AC167" s="52">
        <v>9</v>
      </c>
      <c r="AD167" s="52">
        <v>9</v>
      </c>
      <c r="AE167" s="52" t="s">
        <v>59</v>
      </c>
      <c r="AF167" s="39" t="s">
        <v>489</v>
      </c>
      <c r="AG167" s="26" t="s">
        <v>1407</v>
      </c>
      <c r="AH167" s="39"/>
      <c r="AI167" s="39"/>
      <c r="AJ167" s="39"/>
      <c r="AK167" s="39"/>
      <c r="AL167" s="39"/>
      <c r="AM167" s="39"/>
      <c r="AN167" s="166" t="s">
        <v>489</v>
      </c>
      <c r="AO167" s="166" t="s">
        <v>489</v>
      </c>
      <c r="AP167" s="166" t="s">
        <v>489</v>
      </c>
      <c r="AQ167" s="39"/>
      <c r="AR167" s="39"/>
      <c r="AS167" s="39"/>
      <c r="AT167" s="39"/>
    </row>
    <row r="168" spans="1:46">
      <c r="A168" s="171" t="s">
        <v>371</v>
      </c>
      <c r="B168" s="22">
        <v>10356</v>
      </c>
      <c r="C168" s="43" t="s">
        <v>1051</v>
      </c>
      <c r="D168" s="43" t="s">
        <v>1052</v>
      </c>
      <c r="E168" s="44" t="s">
        <v>1053</v>
      </c>
      <c r="F168" s="43" t="s">
        <v>1054</v>
      </c>
      <c r="G168" s="43" t="s">
        <v>1055</v>
      </c>
      <c r="H168" s="22">
        <v>0</v>
      </c>
      <c r="I168" s="43" t="s">
        <v>1056</v>
      </c>
      <c r="J168" s="43" t="s">
        <v>2265</v>
      </c>
      <c r="K168" s="26" t="s">
        <v>59</v>
      </c>
      <c r="L168" s="26" t="s">
        <v>59</v>
      </c>
      <c r="M168" s="34">
        <v>2009</v>
      </c>
      <c r="N168" s="22" t="s">
        <v>1057</v>
      </c>
      <c r="O168" s="26">
        <v>33.799999999999997</v>
      </c>
      <c r="P168" s="26">
        <v>12.9</v>
      </c>
      <c r="Q168" s="26">
        <v>36.700000000000003</v>
      </c>
      <c r="R168" s="22" t="s">
        <v>1058</v>
      </c>
      <c r="S168" s="22">
        <v>1</v>
      </c>
      <c r="T168" s="22">
        <v>180</v>
      </c>
      <c r="U168" s="22">
        <v>3</v>
      </c>
      <c r="V168" s="26">
        <v>61</v>
      </c>
      <c r="W168" s="26">
        <v>60</v>
      </c>
      <c r="X168" s="26">
        <v>59</v>
      </c>
      <c r="Y168" s="26" t="s">
        <v>59</v>
      </c>
      <c r="Z168" s="22">
        <v>0</v>
      </c>
      <c r="AA168" s="22">
        <v>0</v>
      </c>
      <c r="AB168" s="34" t="s">
        <v>59</v>
      </c>
      <c r="AC168" s="22">
        <v>6</v>
      </c>
      <c r="AD168" s="22">
        <v>6</v>
      </c>
      <c r="AE168" s="22" t="s">
        <v>59</v>
      </c>
      <c r="AF168" s="48" t="s">
        <v>489</v>
      </c>
      <c r="AG168" s="26" t="s">
        <v>1407</v>
      </c>
      <c r="AN168" s="41" t="s">
        <v>489</v>
      </c>
      <c r="AT168" s="41" t="s">
        <v>489</v>
      </c>
    </row>
    <row r="169" spans="1:46">
      <c r="A169" s="170" t="s">
        <v>288</v>
      </c>
      <c r="B169" s="52">
        <v>10362</v>
      </c>
      <c r="C169" s="52" t="s">
        <v>562</v>
      </c>
      <c r="D169" s="52" t="s">
        <v>563</v>
      </c>
      <c r="E169" s="44" t="s">
        <v>564</v>
      </c>
      <c r="F169" s="52" t="s">
        <v>565</v>
      </c>
      <c r="G169" s="52" t="s">
        <v>61</v>
      </c>
      <c r="H169" s="52">
        <v>0</v>
      </c>
      <c r="I169" s="52" t="s">
        <v>566</v>
      </c>
      <c r="J169" s="22" t="s">
        <v>485</v>
      </c>
      <c r="K169" s="39">
        <v>86</v>
      </c>
      <c r="L169" s="39">
        <v>86</v>
      </c>
      <c r="M169" s="51">
        <v>2008</v>
      </c>
      <c r="N169" s="52" t="s">
        <v>567</v>
      </c>
      <c r="O169" s="26" t="s">
        <v>61</v>
      </c>
      <c r="P169" s="26" t="s">
        <v>61</v>
      </c>
      <c r="Q169" s="26" t="s">
        <v>61</v>
      </c>
      <c r="R169" s="52" t="s">
        <v>568</v>
      </c>
      <c r="S169" s="52">
        <v>2</v>
      </c>
      <c r="T169" s="52">
        <v>2716</v>
      </c>
      <c r="U169" s="52">
        <v>2</v>
      </c>
      <c r="V169" s="39">
        <v>1263</v>
      </c>
      <c r="W169" s="39">
        <v>1453</v>
      </c>
      <c r="X169" s="39" t="s">
        <v>59</v>
      </c>
      <c r="Y169" s="39" t="s">
        <v>59</v>
      </c>
      <c r="Z169" s="52">
        <v>0</v>
      </c>
      <c r="AA169" s="52">
        <v>0</v>
      </c>
      <c r="AB169" s="52">
        <v>0</v>
      </c>
      <c r="AC169" s="52">
        <v>15</v>
      </c>
      <c r="AD169" s="52">
        <v>15</v>
      </c>
      <c r="AE169" s="52" t="s">
        <v>569</v>
      </c>
      <c r="AF169" s="39" t="s">
        <v>489</v>
      </c>
      <c r="AG169" s="26" t="s">
        <v>1407</v>
      </c>
      <c r="AH169" s="39"/>
      <c r="AI169" s="166" t="s">
        <v>489</v>
      </c>
      <c r="AJ169" s="166" t="s">
        <v>489</v>
      </c>
      <c r="AK169" s="166" t="s">
        <v>489</v>
      </c>
      <c r="AL169" s="39"/>
      <c r="AM169" s="39"/>
      <c r="AN169" s="166" t="s">
        <v>489</v>
      </c>
      <c r="AO169" s="39"/>
      <c r="AP169" s="39"/>
      <c r="AQ169" s="39"/>
      <c r="AR169" s="39"/>
      <c r="AS169" s="39"/>
      <c r="AT169" s="39"/>
    </row>
    <row r="170" spans="1:46">
      <c r="A170" s="172" t="s">
        <v>372</v>
      </c>
      <c r="B170" s="22">
        <v>10364</v>
      </c>
      <c r="C170" s="43" t="s">
        <v>1059</v>
      </c>
      <c r="D170" s="43" t="s">
        <v>1060</v>
      </c>
      <c r="E170" s="44" t="s">
        <v>1061</v>
      </c>
      <c r="F170" s="43" t="s">
        <v>1062</v>
      </c>
      <c r="G170" s="43" t="s">
        <v>1063</v>
      </c>
      <c r="H170" s="22">
        <v>1</v>
      </c>
      <c r="I170" s="43" t="s">
        <v>1064</v>
      </c>
      <c r="J170" s="43" t="s">
        <v>2265</v>
      </c>
      <c r="K170" s="48" t="s">
        <v>59</v>
      </c>
      <c r="L170" s="48" t="s">
        <v>59</v>
      </c>
      <c r="M170" s="34">
        <v>2009</v>
      </c>
      <c r="N170" s="22" t="s">
        <v>496</v>
      </c>
      <c r="O170" s="26" t="s">
        <v>61</v>
      </c>
      <c r="P170" s="26" t="s">
        <v>61</v>
      </c>
      <c r="Q170" s="48" t="s">
        <v>61</v>
      </c>
      <c r="R170" s="22" t="s">
        <v>1065</v>
      </c>
      <c r="S170" s="22">
        <v>2</v>
      </c>
      <c r="T170" s="22">
        <v>87</v>
      </c>
      <c r="U170" s="22">
        <v>2</v>
      </c>
      <c r="V170" s="26">
        <v>42</v>
      </c>
      <c r="W170" s="26">
        <v>45</v>
      </c>
      <c r="X170" s="26" t="s">
        <v>59</v>
      </c>
      <c r="Y170" s="26" t="s">
        <v>59</v>
      </c>
      <c r="Z170" s="22">
        <v>0</v>
      </c>
      <c r="AA170" s="22">
        <v>0</v>
      </c>
      <c r="AB170" s="49" t="s">
        <v>59</v>
      </c>
      <c r="AC170" s="22">
        <v>3</v>
      </c>
      <c r="AD170" s="22">
        <v>12</v>
      </c>
      <c r="AE170" s="43" t="s">
        <v>59</v>
      </c>
      <c r="AF170" s="48" t="s">
        <v>489</v>
      </c>
      <c r="AG170" s="26" t="s">
        <v>1407</v>
      </c>
      <c r="AN170" s="41" t="s">
        <v>489</v>
      </c>
    </row>
    <row r="171" spans="1:46">
      <c r="A171" s="173" t="s">
        <v>1066</v>
      </c>
      <c r="B171" s="52">
        <v>10376</v>
      </c>
      <c r="C171" s="52" t="s">
        <v>1067</v>
      </c>
      <c r="D171" s="52" t="s">
        <v>1068</v>
      </c>
      <c r="E171" s="52" t="s">
        <v>1069</v>
      </c>
      <c r="F171" s="52" t="s">
        <v>973</v>
      </c>
      <c r="G171" s="52" t="s">
        <v>61</v>
      </c>
      <c r="H171" s="52">
        <v>0</v>
      </c>
      <c r="I171" s="52" t="s">
        <v>61</v>
      </c>
      <c r="J171" s="43" t="s">
        <v>2265</v>
      </c>
      <c r="K171" s="39" t="s">
        <v>59</v>
      </c>
      <c r="L171" s="39" t="s">
        <v>59</v>
      </c>
      <c r="M171" s="51">
        <v>2011</v>
      </c>
      <c r="N171" s="52" t="s">
        <v>496</v>
      </c>
      <c r="O171" s="39">
        <v>55.7</v>
      </c>
      <c r="P171" s="39">
        <v>10.199999999999999</v>
      </c>
      <c r="Q171" s="39">
        <v>41</v>
      </c>
      <c r="R171" s="52" t="s">
        <v>1070</v>
      </c>
      <c r="S171" s="52">
        <v>2</v>
      </c>
      <c r="T171" s="52">
        <v>234</v>
      </c>
      <c r="U171" s="52">
        <v>4</v>
      </c>
      <c r="V171" s="39">
        <v>58</v>
      </c>
      <c r="W171" s="39">
        <v>58</v>
      </c>
      <c r="X171" s="39">
        <v>57</v>
      </c>
      <c r="Y171" s="39">
        <v>61</v>
      </c>
      <c r="Z171" s="52">
        <v>0</v>
      </c>
      <c r="AA171" s="52">
        <v>0</v>
      </c>
      <c r="AB171" s="51" t="s">
        <v>59</v>
      </c>
      <c r="AC171" s="52">
        <v>6</v>
      </c>
      <c r="AD171" s="52">
        <v>6</v>
      </c>
      <c r="AE171" s="52" t="s">
        <v>59</v>
      </c>
      <c r="AF171" s="39" t="s">
        <v>489</v>
      </c>
      <c r="AG171" s="26" t="s">
        <v>1407</v>
      </c>
      <c r="AH171" s="39"/>
      <c r="AI171" s="39"/>
      <c r="AJ171" s="39"/>
      <c r="AK171" s="39"/>
      <c r="AL171" s="39"/>
      <c r="AM171" s="39"/>
      <c r="AN171" s="166" t="s">
        <v>489</v>
      </c>
      <c r="AO171" s="39"/>
      <c r="AP171" s="39"/>
      <c r="AQ171" s="39"/>
      <c r="AR171" s="39"/>
      <c r="AS171" s="39"/>
      <c r="AT171" s="39"/>
    </row>
    <row r="172" spans="1:46">
      <c r="A172" s="172" t="s">
        <v>798</v>
      </c>
      <c r="B172" s="22">
        <v>10379</v>
      </c>
      <c r="C172" s="43" t="s">
        <v>799</v>
      </c>
      <c r="D172" s="43" t="s">
        <v>800</v>
      </c>
      <c r="E172" s="44" t="s">
        <v>801</v>
      </c>
      <c r="F172" s="43" t="s">
        <v>802</v>
      </c>
      <c r="G172" s="43" t="s">
        <v>61</v>
      </c>
      <c r="H172" s="22">
        <v>0</v>
      </c>
      <c r="I172" s="43" t="s">
        <v>803</v>
      </c>
      <c r="J172" s="43" t="s">
        <v>2265</v>
      </c>
      <c r="K172" s="26" t="s">
        <v>59</v>
      </c>
      <c r="L172" s="26" t="s">
        <v>59</v>
      </c>
      <c r="M172" s="34">
        <v>2009</v>
      </c>
      <c r="N172" s="22" t="s">
        <v>628</v>
      </c>
      <c r="O172" s="26">
        <v>59.1</v>
      </c>
      <c r="P172" s="26">
        <v>11.6</v>
      </c>
      <c r="Q172" s="26">
        <v>42.7</v>
      </c>
      <c r="R172" s="22" t="s">
        <v>804</v>
      </c>
      <c r="S172" s="22">
        <v>2</v>
      </c>
      <c r="T172" s="22">
        <v>260</v>
      </c>
      <c r="U172" s="22">
        <v>2</v>
      </c>
      <c r="V172" s="26">
        <v>129</v>
      </c>
      <c r="W172" s="26">
        <v>131</v>
      </c>
      <c r="X172" s="26" t="s">
        <v>59</v>
      </c>
      <c r="Y172" s="26" t="s">
        <v>59</v>
      </c>
      <c r="Z172" s="22">
        <v>0</v>
      </c>
      <c r="AA172" s="22">
        <v>0</v>
      </c>
      <c r="AB172" s="34" t="s">
        <v>59</v>
      </c>
      <c r="AC172" s="22">
        <v>12</v>
      </c>
      <c r="AD172" s="22">
        <v>12</v>
      </c>
      <c r="AE172" s="22" t="s">
        <v>59</v>
      </c>
      <c r="AF172" s="26" t="s">
        <v>489</v>
      </c>
      <c r="AG172" s="26" t="s">
        <v>1407</v>
      </c>
      <c r="AJ172" s="41" t="s">
        <v>489</v>
      </c>
      <c r="AK172" s="41" t="s">
        <v>489</v>
      </c>
      <c r="AN172" s="41" t="s">
        <v>489</v>
      </c>
      <c r="AO172" s="41" t="s">
        <v>489</v>
      </c>
      <c r="AP172" s="41" t="s">
        <v>489</v>
      </c>
      <c r="AQ172" s="41" t="s">
        <v>489</v>
      </c>
      <c r="AR172" s="41"/>
      <c r="AS172" s="41"/>
      <c r="AT172" s="41"/>
    </row>
    <row r="173" spans="1:46">
      <c r="A173" s="172" t="s">
        <v>374</v>
      </c>
      <c r="B173" s="22">
        <v>10382</v>
      </c>
      <c r="C173" s="22" t="s">
        <v>570</v>
      </c>
      <c r="D173" s="22" t="s">
        <v>571</v>
      </c>
      <c r="E173" s="44" t="s">
        <v>572</v>
      </c>
      <c r="F173" s="22" t="s">
        <v>573</v>
      </c>
      <c r="G173" s="43" t="s">
        <v>61</v>
      </c>
      <c r="H173" s="22">
        <v>0</v>
      </c>
      <c r="I173" s="22" t="s">
        <v>61</v>
      </c>
      <c r="J173" s="43" t="s">
        <v>2265</v>
      </c>
      <c r="K173" s="26" t="s">
        <v>59</v>
      </c>
      <c r="L173" s="48" t="s">
        <v>59</v>
      </c>
      <c r="M173" s="34">
        <v>2011</v>
      </c>
      <c r="N173" s="43" t="s">
        <v>496</v>
      </c>
      <c r="O173" s="26">
        <v>49.3</v>
      </c>
      <c r="P173" s="26">
        <v>8.4</v>
      </c>
      <c r="Q173" s="26">
        <v>31.3</v>
      </c>
      <c r="R173" s="43" t="s">
        <v>574</v>
      </c>
      <c r="S173" s="22">
        <v>2</v>
      </c>
      <c r="T173" s="22">
        <v>83</v>
      </c>
      <c r="U173" s="22">
        <v>2</v>
      </c>
      <c r="V173" s="26">
        <v>35</v>
      </c>
      <c r="W173" s="26">
        <v>48</v>
      </c>
      <c r="X173" s="48" t="s">
        <v>59</v>
      </c>
      <c r="Y173" s="48" t="s">
        <v>59</v>
      </c>
      <c r="Z173" s="22">
        <v>0</v>
      </c>
      <c r="AA173" s="22">
        <v>0</v>
      </c>
      <c r="AB173" s="22">
        <v>0</v>
      </c>
      <c r="AC173" s="22">
        <v>6</v>
      </c>
      <c r="AD173" s="22">
        <v>6</v>
      </c>
      <c r="AE173" s="43" t="s">
        <v>575</v>
      </c>
      <c r="AF173" s="48" t="s">
        <v>489</v>
      </c>
      <c r="AG173" s="26" t="s">
        <v>1407</v>
      </c>
      <c r="AN173" s="41" t="s">
        <v>489</v>
      </c>
    </row>
    <row r="174" spans="1:46">
      <c r="A174" s="195" t="s">
        <v>576</v>
      </c>
      <c r="B174" s="52">
        <v>10385</v>
      </c>
      <c r="C174" s="52" t="s">
        <v>577</v>
      </c>
      <c r="D174" s="52" t="s">
        <v>578</v>
      </c>
      <c r="E174" s="54" t="s">
        <v>579</v>
      </c>
      <c r="F174" s="52" t="s">
        <v>580</v>
      </c>
      <c r="G174" s="52" t="s">
        <v>581</v>
      </c>
      <c r="H174" s="52">
        <v>0</v>
      </c>
      <c r="I174" s="52" t="s">
        <v>61</v>
      </c>
      <c r="J174" s="22" t="s">
        <v>485</v>
      </c>
      <c r="K174" s="39">
        <v>34</v>
      </c>
      <c r="L174" s="26" t="s">
        <v>61</v>
      </c>
      <c r="M174" s="51">
        <v>2011</v>
      </c>
      <c r="N174" s="52" t="s">
        <v>496</v>
      </c>
      <c r="O174" s="39">
        <v>55.8</v>
      </c>
      <c r="P174" s="39">
        <v>10.7</v>
      </c>
      <c r="Q174" s="39">
        <v>53.2</v>
      </c>
      <c r="R174" s="52" t="s">
        <v>582</v>
      </c>
      <c r="S174" s="52">
        <v>2</v>
      </c>
      <c r="T174" s="52">
        <v>483</v>
      </c>
      <c r="U174" s="52">
        <v>2</v>
      </c>
      <c r="V174" s="39">
        <v>230</v>
      </c>
      <c r="W174" s="39">
        <v>269</v>
      </c>
      <c r="X174" s="39" t="s">
        <v>59</v>
      </c>
      <c r="Y174" s="39" t="s">
        <v>59</v>
      </c>
      <c r="Z174" s="52">
        <v>0</v>
      </c>
      <c r="AA174" s="52">
        <v>0</v>
      </c>
      <c r="AB174" s="52">
        <v>0</v>
      </c>
      <c r="AC174" s="51">
        <v>12</v>
      </c>
      <c r="AD174" s="51">
        <v>12</v>
      </c>
      <c r="AE174" s="52" t="s">
        <v>583</v>
      </c>
      <c r="AF174" s="39" t="s">
        <v>489</v>
      </c>
      <c r="AG174" s="26" t="s">
        <v>1407</v>
      </c>
      <c r="AH174" s="39"/>
      <c r="AI174" s="39"/>
      <c r="AJ174" s="39"/>
      <c r="AK174" s="39"/>
      <c r="AL174" s="39"/>
      <c r="AM174" s="39"/>
      <c r="AN174" s="166" t="s">
        <v>489</v>
      </c>
      <c r="AO174" s="39"/>
      <c r="AP174" s="39"/>
      <c r="AQ174" s="39"/>
      <c r="AR174" s="39"/>
      <c r="AS174" s="39"/>
      <c r="AT174" s="166" t="s">
        <v>489</v>
      </c>
    </row>
    <row r="175" spans="1:46">
      <c r="A175" s="169" t="s">
        <v>584</v>
      </c>
      <c r="B175" s="22">
        <v>10388</v>
      </c>
      <c r="C175" s="22" t="s">
        <v>585</v>
      </c>
      <c r="D175" s="22" t="s">
        <v>586</v>
      </c>
      <c r="E175" s="44" t="s">
        <v>587</v>
      </c>
      <c r="F175" s="22" t="s">
        <v>588</v>
      </c>
      <c r="G175" s="43" t="s">
        <v>61</v>
      </c>
      <c r="H175" s="22">
        <v>0</v>
      </c>
      <c r="I175" s="43" t="s">
        <v>589</v>
      </c>
      <c r="J175" s="22" t="s">
        <v>485</v>
      </c>
      <c r="K175" s="26">
        <v>11</v>
      </c>
      <c r="L175" s="26">
        <v>41</v>
      </c>
      <c r="M175" s="34">
        <v>2011</v>
      </c>
      <c r="N175" s="22" t="s">
        <v>496</v>
      </c>
      <c r="O175" s="26" t="s">
        <v>61</v>
      </c>
      <c r="P175" s="26" t="s">
        <v>61</v>
      </c>
      <c r="Q175" s="26" t="s">
        <v>61</v>
      </c>
      <c r="R175" s="22" t="s">
        <v>590</v>
      </c>
      <c r="S175" s="22">
        <v>2</v>
      </c>
      <c r="T175" s="22">
        <v>2556</v>
      </c>
      <c r="U175" s="22">
        <v>2</v>
      </c>
      <c r="V175" s="26">
        <v>1362</v>
      </c>
      <c r="W175" s="26">
        <v>1194</v>
      </c>
      <c r="X175" s="48" t="s">
        <v>59</v>
      </c>
      <c r="Y175" s="48" t="s">
        <v>59</v>
      </c>
      <c r="Z175" s="22">
        <v>0</v>
      </c>
      <c r="AA175" s="22">
        <v>0</v>
      </c>
      <c r="AB175" s="22">
        <v>0</v>
      </c>
      <c r="AC175" s="22">
        <v>6</v>
      </c>
      <c r="AD175" s="22">
        <v>6</v>
      </c>
      <c r="AE175" s="43" t="s">
        <v>591</v>
      </c>
      <c r="AF175" s="26" t="s">
        <v>489</v>
      </c>
      <c r="AG175" s="26" t="s">
        <v>1407</v>
      </c>
      <c r="AN175" s="41" t="s">
        <v>489</v>
      </c>
      <c r="AO175" s="41" t="s">
        <v>489</v>
      </c>
      <c r="AP175" s="41" t="s">
        <v>489</v>
      </c>
      <c r="AQ175" s="41" t="s">
        <v>489</v>
      </c>
    </row>
    <row r="176" spans="1:46">
      <c r="A176" s="171" t="s">
        <v>375</v>
      </c>
      <c r="B176" s="22">
        <v>10391</v>
      </c>
      <c r="C176" s="43" t="s">
        <v>1071</v>
      </c>
      <c r="D176" s="43" t="s">
        <v>1072</v>
      </c>
      <c r="E176" s="50" t="s">
        <v>1073</v>
      </c>
      <c r="F176" s="43" t="s">
        <v>1074</v>
      </c>
      <c r="G176" s="22" t="s">
        <v>61</v>
      </c>
      <c r="H176" s="22">
        <v>0</v>
      </c>
      <c r="I176" s="22" t="s">
        <v>1075</v>
      </c>
      <c r="J176" s="43" t="s">
        <v>2265</v>
      </c>
      <c r="K176" s="26" t="s">
        <v>59</v>
      </c>
      <c r="L176" s="26" t="s">
        <v>59</v>
      </c>
      <c r="M176" s="34">
        <v>2005</v>
      </c>
      <c r="N176" s="22" t="s">
        <v>628</v>
      </c>
      <c r="O176" s="26" t="s">
        <v>61</v>
      </c>
      <c r="P176" s="26" t="s">
        <v>61</v>
      </c>
      <c r="Q176" s="26" t="s">
        <v>61</v>
      </c>
      <c r="R176" s="22" t="s">
        <v>1076</v>
      </c>
      <c r="S176" s="22">
        <v>2</v>
      </c>
      <c r="T176" s="22">
        <v>48</v>
      </c>
      <c r="U176" s="22">
        <v>2</v>
      </c>
      <c r="V176" s="26">
        <v>21</v>
      </c>
      <c r="W176" s="26">
        <v>27</v>
      </c>
      <c r="X176" s="26" t="s">
        <v>59</v>
      </c>
      <c r="Y176" s="26" t="s">
        <v>59</v>
      </c>
      <c r="Z176" s="22">
        <v>0</v>
      </c>
      <c r="AA176" s="22">
        <v>1</v>
      </c>
      <c r="AB176" s="34" t="s">
        <v>59</v>
      </c>
      <c r="AC176" s="22">
        <v>4</v>
      </c>
      <c r="AD176" s="22">
        <v>4</v>
      </c>
      <c r="AE176" s="43" t="s">
        <v>59</v>
      </c>
      <c r="AF176" s="26" t="s">
        <v>489</v>
      </c>
      <c r="AG176" s="26" t="s">
        <v>1407</v>
      </c>
      <c r="AN176" s="41" t="s">
        <v>489</v>
      </c>
      <c r="AO176" s="41" t="s">
        <v>489</v>
      </c>
      <c r="AP176" s="41" t="s">
        <v>489</v>
      </c>
      <c r="AQ176" s="41" t="s">
        <v>489</v>
      </c>
      <c r="AT176" s="41"/>
    </row>
    <row r="177" spans="1:46">
      <c r="A177" s="171" t="s">
        <v>376</v>
      </c>
      <c r="B177" s="22">
        <v>10407</v>
      </c>
      <c r="C177" s="22" t="s">
        <v>1077</v>
      </c>
      <c r="D177" s="22" t="s">
        <v>1078</v>
      </c>
      <c r="E177" s="199" t="s">
        <v>1079</v>
      </c>
      <c r="F177" s="43" t="s">
        <v>1080</v>
      </c>
      <c r="G177" s="43" t="s">
        <v>61</v>
      </c>
      <c r="H177" s="22">
        <v>0</v>
      </c>
      <c r="I177" s="43" t="s">
        <v>1081</v>
      </c>
      <c r="J177" s="43" t="s">
        <v>2265</v>
      </c>
      <c r="K177" s="48" t="s">
        <v>59</v>
      </c>
      <c r="L177" s="48" t="s">
        <v>59</v>
      </c>
      <c r="M177" s="34">
        <v>2010</v>
      </c>
      <c r="N177" s="43" t="s">
        <v>496</v>
      </c>
      <c r="O177" s="26" t="s">
        <v>61</v>
      </c>
      <c r="P177" s="26" t="s">
        <v>61</v>
      </c>
      <c r="Q177" s="26" t="s">
        <v>61</v>
      </c>
      <c r="R177" s="43" t="s">
        <v>1082</v>
      </c>
      <c r="S177" s="22">
        <v>4</v>
      </c>
      <c r="T177" s="22">
        <v>286</v>
      </c>
      <c r="U177" s="22">
        <v>2</v>
      </c>
      <c r="V177" s="26">
        <v>117</v>
      </c>
      <c r="W177" s="26">
        <v>169</v>
      </c>
      <c r="X177" s="26" t="s">
        <v>59</v>
      </c>
      <c r="Y177" s="48" t="s">
        <v>59</v>
      </c>
      <c r="Z177" s="22">
        <v>0</v>
      </c>
      <c r="AA177" s="22">
        <v>0</v>
      </c>
      <c r="AB177" s="49" t="s">
        <v>59</v>
      </c>
      <c r="AC177" s="22">
        <v>12</v>
      </c>
      <c r="AD177" s="22">
        <v>12</v>
      </c>
      <c r="AE177" s="43" t="s">
        <v>59</v>
      </c>
      <c r="AF177" s="26" t="s">
        <v>489</v>
      </c>
      <c r="AG177" s="26" t="s">
        <v>58</v>
      </c>
      <c r="AN177" s="41" t="s">
        <v>489</v>
      </c>
      <c r="AO177" s="41"/>
      <c r="AQ177" s="41"/>
    </row>
    <row r="178" spans="1:46">
      <c r="A178" s="171" t="s">
        <v>377</v>
      </c>
      <c r="B178" s="22">
        <v>10408</v>
      </c>
      <c r="C178" s="43" t="s">
        <v>1083</v>
      </c>
      <c r="D178" s="43" t="s">
        <v>1084</v>
      </c>
      <c r="E178" s="44" t="s">
        <v>1085</v>
      </c>
      <c r="F178" s="43" t="s">
        <v>1086</v>
      </c>
      <c r="G178" s="43" t="s">
        <v>61</v>
      </c>
      <c r="H178" s="43">
        <v>0</v>
      </c>
      <c r="I178" s="43" t="s">
        <v>61</v>
      </c>
      <c r="J178" s="43" t="s">
        <v>2265</v>
      </c>
      <c r="K178" s="48" t="s">
        <v>59</v>
      </c>
      <c r="L178" s="48" t="s">
        <v>59</v>
      </c>
      <c r="M178" s="34">
        <v>2010</v>
      </c>
      <c r="N178" s="43" t="s">
        <v>879</v>
      </c>
      <c r="O178" s="26" t="s">
        <v>61</v>
      </c>
      <c r="P178" s="26" t="s">
        <v>61</v>
      </c>
      <c r="Q178" s="26" t="s">
        <v>61</v>
      </c>
      <c r="R178" s="43" t="s">
        <v>1087</v>
      </c>
      <c r="S178" s="22">
        <v>2</v>
      </c>
      <c r="T178" s="22">
        <v>61</v>
      </c>
      <c r="U178" s="22">
        <v>2</v>
      </c>
      <c r="V178" s="26">
        <v>31</v>
      </c>
      <c r="W178" s="26">
        <v>30</v>
      </c>
      <c r="X178" s="48" t="s">
        <v>59</v>
      </c>
      <c r="Y178" s="48" t="s">
        <v>59</v>
      </c>
      <c r="Z178" s="22">
        <v>0</v>
      </c>
      <c r="AA178" s="22">
        <v>0</v>
      </c>
      <c r="AB178" s="49" t="s">
        <v>59</v>
      </c>
      <c r="AC178" s="22">
        <v>3</v>
      </c>
      <c r="AD178" s="22">
        <v>3</v>
      </c>
      <c r="AE178" s="43" t="s">
        <v>59</v>
      </c>
      <c r="AF178" s="48" t="s">
        <v>489</v>
      </c>
      <c r="AG178" s="26" t="s">
        <v>1407</v>
      </c>
      <c r="AN178" s="41" t="s">
        <v>489</v>
      </c>
    </row>
    <row r="179" spans="1:46">
      <c r="A179" s="171" t="s">
        <v>378</v>
      </c>
      <c r="B179" s="22">
        <v>10791</v>
      </c>
      <c r="C179" s="43" t="s">
        <v>1088</v>
      </c>
      <c r="D179" s="43" t="s">
        <v>1089</v>
      </c>
      <c r="E179" s="44" t="s">
        <v>1090</v>
      </c>
      <c r="F179" s="43" t="s">
        <v>1091</v>
      </c>
      <c r="G179" s="43" t="s">
        <v>61</v>
      </c>
      <c r="H179" s="22">
        <v>0</v>
      </c>
      <c r="I179" s="47" t="s">
        <v>1092</v>
      </c>
      <c r="J179" s="43" t="s">
        <v>2265</v>
      </c>
      <c r="K179" s="48" t="s">
        <v>59</v>
      </c>
      <c r="L179" s="48" t="s">
        <v>59</v>
      </c>
      <c r="M179" s="34">
        <v>2005</v>
      </c>
      <c r="N179" s="43" t="s">
        <v>1093</v>
      </c>
      <c r="O179" s="26" t="s">
        <v>61</v>
      </c>
      <c r="P179" s="26" t="s">
        <v>61</v>
      </c>
      <c r="Q179" s="26" t="s">
        <v>61</v>
      </c>
      <c r="R179" s="43" t="s">
        <v>1094</v>
      </c>
      <c r="S179" s="22">
        <v>2</v>
      </c>
      <c r="T179" s="22">
        <v>71</v>
      </c>
      <c r="U179" s="22">
        <v>2</v>
      </c>
      <c r="V179" s="26">
        <v>35</v>
      </c>
      <c r="W179" s="26">
        <v>36</v>
      </c>
      <c r="X179" s="48" t="s">
        <v>59</v>
      </c>
      <c r="Y179" s="48" t="s">
        <v>59</v>
      </c>
      <c r="Z179" s="22">
        <v>0</v>
      </c>
      <c r="AA179" s="22">
        <v>0</v>
      </c>
      <c r="AB179" s="49" t="s">
        <v>59</v>
      </c>
      <c r="AC179" s="22">
        <v>3</v>
      </c>
      <c r="AD179" s="22">
        <v>3</v>
      </c>
      <c r="AE179" s="43" t="s">
        <v>59</v>
      </c>
      <c r="AF179" s="48" t="s">
        <v>489</v>
      </c>
      <c r="AG179" s="26" t="s">
        <v>1407</v>
      </c>
      <c r="AN179" s="41" t="s">
        <v>489</v>
      </c>
    </row>
    <row r="180" spans="1:46">
      <c r="A180" s="169" t="s">
        <v>294</v>
      </c>
      <c r="B180" s="22">
        <v>10808</v>
      </c>
      <c r="C180" s="43" t="s">
        <v>592</v>
      </c>
      <c r="D180" s="43" t="s">
        <v>593</v>
      </c>
      <c r="E180" s="44" t="s">
        <v>594</v>
      </c>
      <c r="F180" s="43" t="s">
        <v>595</v>
      </c>
      <c r="G180" s="22" t="s">
        <v>61</v>
      </c>
      <c r="H180" s="22">
        <v>0</v>
      </c>
      <c r="I180" s="22" t="s">
        <v>61</v>
      </c>
      <c r="J180" s="22" t="s">
        <v>485</v>
      </c>
      <c r="K180" s="26">
        <v>9</v>
      </c>
      <c r="L180" s="48">
        <v>68</v>
      </c>
      <c r="M180" s="34">
        <v>2011</v>
      </c>
      <c r="N180" s="43" t="s">
        <v>496</v>
      </c>
      <c r="O180" s="26" t="s">
        <v>61</v>
      </c>
      <c r="P180" s="26" t="s">
        <v>61</v>
      </c>
      <c r="Q180" s="26" t="s">
        <v>61</v>
      </c>
      <c r="R180" s="43" t="s">
        <v>596</v>
      </c>
      <c r="S180" s="22">
        <v>4</v>
      </c>
      <c r="T180" s="22">
        <v>6229</v>
      </c>
      <c r="U180" s="22">
        <v>2</v>
      </c>
      <c r="V180" s="26">
        <v>4160</v>
      </c>
      <c r="W180" s="26">
        <v>2069</v>
      </c>
      <c r="X180" s="48" t="s">
        <v>59</v>
      </c>
      <c r="Y180" s="48" t="s">
        <v>59</v>
      </c>
      <c r="Z180" s="22">
        <v>0</v>
      </c>
      <c r="AA180" s="22">
        <v>0</v>
      </c>
      <c r="AB180" s="22">
        <v>0</v>
      </c>
      <c r="AC180" s="22">
        <v>24</v>
      </c>
      <c r="AD180" s="22">
        <v>24</v>
      </c>
      <c r="AE180" s="43" t="s">
        <v>597</v>
      </c>
      <c r="AF180" s="48" t="s">
        <v>489</v>
      </c>
      <c r="AG180" s="26" t="s">
        <v>1407</v>
      </c>
      <c r="AI180" s="41" t="s">
        <v>489</v>
      </c>
      <c r="AJ180" s="41"/>
      <c r="AK180" s="41"/>
      <c r="AL180" s="41"/>
      <c r="AM180" s="41"/>
      <c r="AN180" s="41" t="s">
        <v>489</v>
      </c>
      <c r="AO180" s="41" t="s">
        <v>489</v>
      </c>
      <c r="AP180" s="41" t="s">
        <v>489</v>
      </c>
      <c r="AQ180" s="41" t="s">
        <v>489</v>
      </c>
      <c r="AR180" s="41" t="s">
        <v>489</v>
      </c>
    </row>
    <row r="181" spans="1:46">
      <c r="A181" s="171" t="s">
        <v>378</v>
      </c>
      <c r="B181" s="22">
        <v>10839</v>
      </c>
      <c r="C181" s="43" t="s">
        <v>1095</v>
      </c>
      <c r="D181" s="43" t="s">
        <v>1096</v>
      </c>
      <c r="E181" s="50" t="s">
        <v>1090</v>
      </c>
      <c r="F181" s="43" t="s">
        <v>1091</v>
      </c>
      <c r="G181" s="43" t="s">
        <v>61</v>
      </c>
      <c r="H181" s="22">
        <v>0</v>
      </c>
      <c r="I181" s="43" t="s">
        <v>61</v>
      </c>
      <c r="J181" s="43" t="s">
        <v>2265</v>
      </c>
      <c r="K181" s="48" t="s">
        <v>59</v>
      </c>
      <c r="L181" s="48" t="s">
        <v>59</v>
      </c>
      <c r="M181" s="34">
        <v>2011</v>
      </c>
      <c r="N181" s="43" t="s">
        <v>1097</v>
      </c>
      <c r="O181" s="26" t="s">
        <v>61</v>
      </c>
      <c r="P181" s="26" t="s">
        <v>61</v>
      </c>
      <c r="Q181" s="26" t="s">
        <v>61</v>
      </c>
      <c r="R181" s="43" t="s">
        <v>1098</v>
      </c>
      <c r="S181" s="22">
        <v>2</v>
      </c>
      <c r="T181" s="22">
        <v>79</v>
      </c>
      <c r="U181" s="22">
        <v>2</v>
      </c>
      <c r="V181" s="26">
        <v>41</v>
      </c>
      <c r="W181" s="26">
        <v>38</v>
      </c>
      <c r="X181" s="48" t="s">
        <v>59</v>
      </c>
      <c r="Y181" s="48" t="s">
        <v>59</v>
      </c>
      <c r="Z181" s="22">
        <v>0</v>
      </c>
      <c r="AA181" s="22">
        <v>0</v>
      </c>
      <c r="AB181" s="49" t="s">
        <v>59</v>
      </c>
      <c r="AC181" s="22">
        <v>6</v>
      </c>
      <c r="AD181" s="22">
        <v>6</v>
      </c>
      <c r="AE181" s="43" t="s">
        <v>59</v>
      </c>
      <c r="AF181" s="26" t="s">
        <v>489</v>
      </c>
      <c r="AG181" s="26" t="s">
        <v>1407</v>
      </c>
      <c r="AN181" s="41" t="s">
        <v>489</v>
      </c>
      <c r="AQ181" s="41" t="s">
        <v>489</v>
      </c>
    </row>
    <row r="182" spans="1:46">
      <c r="A182" s="171" t="s">
        <v>380</v>
      </c>
      <c r="B182" s="22">
        <v>11183</v>
      </c>
      <c r="C182" s="43" t="s">
        <v>1105</v>
      </c>
      <c r="D182" s="43" t="s">
        <v>1106</v>
      </c>
      <c r="E182" s="44" t="s">
        <v>1107</v>
      </c>
      <c r="F182" s="43" t="s">
        <v>1108</v>
      </c>
      <c r="G182" s="43" t="s">
        <v>61</v>
      </c>
      <c r="H182" s="43">
        <v>0</v>
      </c>
      <c r="I182" s="43" t="s">
        <v>61</v>
      </c>
      <c r="J182" s="43" t="s">
        <v>2265</v>
      </c>
      <c r="K182" s="48" t="s">
        <v>59</v>
      </c>
      <c r="L182" s="48" t="s">
        <v>59</v>
      </c>
      <c r="M182" s="34">
        <v>2009</v>
      </c>
      <c r="N182" s="43" t="s">
        <v>879</v>
      </c>
      <c r="O182" s="26" t="s">
        <v>61</v>
      </c>
      <c r="P182" s="26" t="s">
        <v>61</v>
      </c>
      <c r="Q182" s="26" t="s">
        <v>61</v>
      </c>
      <c r="R182" s="43" t="s">
        <v>1109</v>
      </c>
      <c r="S182" s="22">
        <v>2</v>
      </c>
      <c r="T182" s="22">
        <v>174</v>
      </c>
      <c r="U182" s="22">
        <v>2</v>
      </c>
      <c r="V182" s="26">
        <v>87</v>
      </c>
      <c r="W182" s="26">
        <v>87</v>
      </c>
      <c r="X182" s="48" t="s">
        <v>59</v>
      </c>
      <c r="Y182" s="48" t="s">
        <v>59</v>
      </c>
      <c r="Z182" s="22">
        <v>0</v>
      </c>
      <c r="AA182" s="22">
        <v>0</v>
      </c>
      <c r="AB182" s="49" t="s">
        <v>59</v>
      </c>
      <c r="AC182" s="22">
        <v>3</v>
      </c>
      <c r="AD182" s="22">
        <v>3</v>
      </c>
      <c r="AE182" s="43" t="s">
        <v>59</v>
      </c>
      <c r="AF182" s="48" t="s">
        <v>489</v>
      </c>
      <c r="AG182" s="26" t="s">
        <v>1407</v>
      </c>
      <c r="AN182" s="41" t="s">
        <v>489</v>
      </c>
    </row>
    <row r="183" spans="1:46">
      <c r="A183" s="171" t="s">
        <v>1110</v>
      </c>
      <c r="B183" s="22">
        <v>11206</v>
      </c>
      <c r="C183" s="43" t="s">
        <v>1111</v>
      </c>
      <c r="D183" s="43" t="s">
        <v>1112</v>
      </c>
      <c r="E183" s="44" t="s">
        <v>1113</v>
      </c>
      <c r="F183" s="43" t="s">
        <v>1114</v>
      </c>
      <c r="G183" s="22" t="s">
        <v>61</v>
      </c>
      <c r="H183" s="22">
        <v>0</v>
      </c>
      <c r="I183" s="22" t="s">
        <v>61</v>
      </c>
      <c r="J183" s="43" t="s">
        <v>2265</v>
      </c>
      <c r="K183" s="48" t="s">
        <v>59</v>
      </c>
      <c r="L183" s="48" t="s">
        <v>59</v>
      </c>
      <c r="M183" s="34">
        <v>2011</v>
      </c>
      <c r="N183" s="43" t="s">
        <v>1115</v>
      </c>
      <c r="O183" s="26" t="s">
        <v>61</v>
      </c>
      <c r="P183" s="26" t="s">
        <v>61</v>
      </c>
      <c r="Q183" s="26" t="s">
        <v>61</v>
      </c>
      <c r="R183" s="43" t="s">
        <v>1116</v>
      </c>
      <c r="S183" s="22">
        <v>2</v>
      </c>
      <c r="T183" s="22">
        <v>121</v>
      </c>
      <c r="U183" s="22">
        <v>2</v>
      </c>
      <c r="V183" s="26">
        <v>61</v>
      </c>
      <c r="W183" s="26">
        <v>60</v>
      </c>
      <c r="X183" s="48" t="s">
        <v>59</v>
      </c>
      <c r="Y183" s="48" t="s">
        <v>59</v>
      </c>
      <c r="Z183" s="22">
        <v>0</v>
      </c>
      <c r="AA183" s="22">
        <v>1</v>
      </c>
      <c r="AB183" s="34" t="s">
        <v>59</v>
      </c>
      <c r="AC183" s="22">
        <v>6</v>
      </c>
      <c r="AD183" s="22">
        <v>6</v>
      </c>
      <c r="AE183" s="43" t="s">
        <v>59</v>
      </c>
      <c r="AF183" s="48" t="s">
        <v>489</v>
      </c>
      <c r="AG183" s="26" t="s">
        <v>1407</v>
      </c>
      <c r="AN183" s="41" t="s">
        <v>489</v>
      </c>
      <c r="AO183" s="41" t="s">
        <v>489</v>
      </c>
      <c r="AP183" s="41" t="s">
        <v>489</v>
      </c>
      <c r="AQ183" s="41"/>
      <c r="AS183" s="41" t="s">
        <v>489</v>
      </c>
    </row>
    <row r="184" spans="1:46">
      <c r="A184" s="172" t="s">
        <v>382</v>
      </c>
      <c r="B184" s="22">
        <v>11209</v>
      </c>
      <c r="C184" s="43" t="s">
        <v>1117</v>
      </c>
      <c r="D184" s="43" t="s">
        <v>1118</v>
      </c>
      <c r="E184" s="44" t="s">
        <v>1119</v>
      </c>
      <c r="F184" s="22" t="s">
        <v>1120</v>
      </c>
      <c r="G184" s="43" t="s">
        <v>61</v>
      </c>
      <c r="H184" s="22">
        <v>0</v>
      </c>
      <c r="I184" s="43" t="s">
        <v>61</v>
      </c>
      <c r="J184" s="43" t="s">
        <v>2265</v>
      </c>
      <c r="K184" s="48" t="s">
        <v>59</v>
      </c>
      <c r="L184" s="48" t="s">
        <v>59</v>
      </c>
      <c r="M184" s="34">
        <v>2008</v>
      </c>
      <c r="N184" s="22" t="s">
        <v>936</v>
      </c>
      <c r="O184" s="26">
        <v>34.6</v>
      </c>
      <c r="P184" s="26">
        <v>9</v>
      </c>
      <c r="Q184" s="26">
        <v>55.6</v>
      </c>
      <c r="R184" s="22" t="s">
        <v>1121</v>
      </c>
      <c r="S184" s="22">
        <v>1</v>
      </c>
      <c r="T184" s="22">
        <v>81</v>
      </c>
      <c r="U184" s="22">
        <v>2</v>
      </c>
      <c r="V184" s="26">
        <v>41</v>
      </c>
      <c r="W184" s="26">
        <v>40</v>
      </c>
      <c r="X184" s="48" t="s">
        <v>59</v>
      </c>
      <c r="Y184" s="48" t="s">
        <v>59</v>
      </c>
      <c r="Z184" s="22">
        <v>0</v>
      </c>
      <c r="AA184" s="22">
        <v>0</v>
      </c>
      <c r="AB184" s="49" t="s">
        <v>59</v>
      </c>
      <c r="AC184" s="22">
        <v>24</v>
      </c>
      <c r="AD184" s="22">
        <v>24</v>
      </c>
      <c r="AE184" s="43" t="s">
        <v>59</v>
      </c>
      <c r="AF184" s="48" t="s">
        <v>489</v>
      </c>
      <c r="AG184" s="26" t="s">
        <v>1407</v>
      </c>
      <c r="AI184" s="41" t="s">
        <v>489</v>
      </c>
      <c r="AJ184" s="41" t="s">
        <v>489</v>
      </c>
      <c r="AK184" s="41"/>
      <c r="AL184" s="41"/>
      <c r="AM184" s="41"/>
      <c r="AN184" s="41" t="s">
        <v>489</v>
      </c>
      <c r="AO184" s="41" t="s">
        <v>489</v>
      </c>
      <c r="AP184" s="41" t="s">
        <v>489</v>
      </c>
      <c r="AQ184" s="41" t="s">
        <v>489</v>
      </c>
    </row>
    <row r="185" spans="1:46">
      <c r="A185" s="171" t="s">
        <v>384</v>
      </c>
      <c r="B185" s="22">
        <v>11220</v>
      </c>
      <c r="C185" s="43" t="s">
        <v>805</v>
      </c>
      <c r="D185" s="43" t="s">
        <v>806</v>
      </c>
      <c r="E185" s="44" t="s">
        <v>807</v>
      </c>
      <c r="F185" s="22" t="s">
        <v>808</v>
      </c>
      <c r="G185" s="43" t="s">
        <v>61</v>
      </c>
      <c r="H185" s="22">
        <v>0</v>
      </c>
      <c r="I185" s="43" t="s">
        <v>61</v>
      </c>
      <c r="J185" s="43" t="s">
        <v>2265</v>
      </c>
      <c r="K185" s="48" t="s">
        <v>59</v>
      </c>
      <c r="L185" s="26" t="s">
        <v>59</v>
      </c>
      <c r="M185" s="34">
        <v>2009</v>
      </c>
      <c r="N185" s="43" t="s">
        <v>496</v>
      </c>
      <c r="O185" s="26">
        <v>64.900000000000006</v>
      </c>
      <c r="P185" s="26" t="s">
        <v>61</v>
      </c>
      <c r="Q185" s="26" t="s">
        <v>61</v>
      </c>
      <c r="R185" s="43" t="s">
        <v>809</v>
      </c>
      <c r="S185" s="22">
        <v>4</v>
      </c>
      <c r="T185" s="22">
        <v>76</v>
      </c>
      <c r="U185" s="22">
        <v>2</v>
      </c>
      <c r="V185" s="26">
        <v>36</v>
      </c>
      <c r="W185" s="26">
        <v>40</v>
      </c>
      <c r="X185" s="48" t="s">
        <v>59</v>
      </c>
      <c r="Y185" s="48" t="s">
        <v>59</v>
      </c>
      <c r="Z185" s="22">
        <v>0</v>
      </c>
      <c r="AA185" s="22">
        <v>0</v>
      </c>
      <c r="AB185" s="49" t="s">
        <v>59</v>
      </c>
      <c r="AC185" s="22">
        <v>6</v>
      </c>
      <c r="AD185" s="22">
        <v>6</v>
      </c>
      <c r="AE185" s="43" t="s">
        <v>59</v>
      </c>
      <c r="AF185" s="48" t="s">
        <v>489</v>
      </c>
      <c r="AG185" s="26" t="s">
        <v>1407</v>
      </c>
      <c r="AN185" s="41" t="s">
        <v>489</v>
      </c>
      <c r="AO185" s="41" t="s">
        <v>489</v>
      </c>
      <c r="AP185" s="41" t="s">
        <v>489</v>
      </c>
      <c r="AQ185" s="41" t="s">
        <v>489</v>
      </c>
    </row>
    <row r="186" spans="1:46">
      <c r="A186" s="173" t="s">
        <v>385</v>
      </c>
      <c r="B186" s="52">
        <v>11240</v>
      </c>
      <c r="C186" s="52" t="s">
        <v>1122</v>
      </c>
      <c r="D186" s="52" t="s">
        <v>1123</v>
      </c>
      <c r="E186" s="44" t="s">
        <v>1124</v>
      </c>
      <c r="F186" s="52" t="s">
        <v>1125</v>
      </c>
      <c r="G186" s="52" t="s">
        <v>1126</v>
      </c>
      <c r="H186" s="52">
        <v>0</v>
      </c>
      <c r="I186" s="52" t="s">
        <v>1127</v>
      </c>
      <c r="J186" s="43" t="s">
        <v>2265</v>
      </c>
      <c r="K186" s="39" t="s">
        <v>59</v>
      </c>
      <c r="L186" s="39" t="s">
        <v>59</v>
      </c>
      <c r="M186" s="51">
        <v>2009</v>
      </c>
      <c r="N186" s="52" t="s">
        <v>936</v>
      </c>
      <c r="O186" s="39" t="s">
        <v>61</v>
      </c>
      <c r="P186" s="39" t="s">
        <v>61</v>
      </c>
      <c r="Q186" s="39" t="s">
        <v>61</v>
      </c>
      <c r="R186" s="52" t="s">
        <v>1128</v>
      </c>
      <c r="S186" s="52">
        <v>2</v>
      </c>
      <c r="T186" s="52">
        <v>593</v>
      </c>
      <c r="U186" s="52">
        <v>3</v>
      </c>
      <c r="V186" s="39">
        <v>99</v>
      </c>
      <c r="W186" s="39">
        <v>248</v>
      </c>
      <c r="X186" s="39">
        <v>246</v>
      </c>
      <c r="Y186" s="39" t="s">
        <v>59</v>
      </c>
      <c r="Z186" s="51">
        <v>0</v>
      </c>
      <c r="AA186" s="51">
        <v>0</v>
      </c>
      <c r="AB186" s="51" t="s">
        <v>59</v>
      </c>
      <c r="AC186" s="52">
        <v>12</v>
      </c>
      <c r="AD186" s="51">
        <v>12</v>
      </c>
      <c r="AE186" s="52" t="s">
        <v>59</v>
      </c>
      <c r="AF186" s="39" t="s">
        <v>489</v>
      </c>
      <c r="AG186" s="26" t="s">
        <v>1407</v>
      </c>
      <c r="AH186" s="39"/>
      <c r="AI186" s="166" t="s">
        <v>489</v>
      </c>
      <c r="AJ186" s="166" t="s">
        <v>489</v>
      </c>
      <c r="AK186" s="39"/>
      <c r="AL186" s="39"/>
      <c r="AM186" s="39"/>
      <c r="AN186" s="166" t="s">
        <v>489</v>
      </c>
      <c r="AO186" s="166" t="s">
        <v>489</v>
      </c>
      <c r="AP186" s="166" t="s">
        <v>489</v>
      </c>
      <c r="AQ186" s="166" t="s">
        <v>489</v>
      </c>
      <c r="AR186" s="39"/>
      <c r="AS186" s="39"/>
      <c r="AT186" s="39"/>
    </row>
    <row r="187" spans="1:46">
      <c r="A187" s="28" t="s">
        <v>432</v>
      </c>
      <c r="B187" s="22">
        <v>11241</v>
      </c>
      <c r="C187" s="22" t="s">
        <v>598</v>
      </c>
      <c r="D187" s="22" t="s">
        <v>599</v>
      </c>
      <c r="E187" s="44" t="s">
        <v>600</v>
      </c>
      <c r="F187" s="22" t="s">
        <v>601</v>
      </c>
      <c r="G187" s="43" t="s">
        <v>3535</v>
      </c>
      <c r="H187" s="22">
        <v>0</v>
      </c>
      <c r="I187" s="43" t="s">
        <v>602</v>
      </c>
      <c r="J187" s="22" t="s">
        <v>485</v>
      </c>
      <c r="K187" s="48">
        <v>343</v>
      </c>
      <c r="L187" s="48" t="s">
        <v>61</v>
      </c>
      <c r="M187" s="34">
        <v>2011</v>
      </c>
      <c r="N187" s="43" t="s">
        <v>603</v>
      </c>
      <c r="O187" s="26" t="s">
        <v>61</v>
      </c>
      <c r="P187" s="26" t="s">
        <v>61</v>
      </c>
      <c r="Q187" s="26">
        <v>57.9</v>
      </c>
      <c r="R187" s="43" t="s">
        <v>604</v>
      </c>
      <c r="S187" s="22">
        <v>2</v>
      </c>
      <c r="T187" s="22">
        <v>3057</v>
      </c>
      <c r="U187" s="22">
        <v>2</v>
      </c>
      <c r="V187" s="26">
        <v>1379</v>
      </c>
      <c r="W187" s="26">
        <v>1678</v>
      </c>
      <c r="X187" s="48" t="s">
        <v>59</v>
      </c>
      <c r="Y187" s="48" t="s">
        <v>59</v>
      </c>
      <c r="Z187" s="22">
        <v>1</v>
      </c>
      <c r="AA187" s="22">
        <v>1</v>
      </c>
      <c r="AB187" s="49">
        <v>0</v>
      </c>
      <c r="AC187" s="22">
        <v>60</v>
      </c>
      <c r="AD187" s="22">
        <v>60</v>
      </c>
      <c r="AE187" s="43" t="s">
        <v>605</v>
      </c>
      <c r="AF187" s="26" t="s">
        <v>109</v>
      </c>
      <c r="AG187" s="26" t="s">
        <v>1407</v>
      </c>
      <c r="AH187" s="41" t="s">
        <v>489</v>
      </c>
      <c r="AI187" s="41" t="s">
        <v>489</v>
      </c>
      <c r="AJ187" s="41" t="s">
        <v>489</v>
      </c>
      <c r="AK187" s="41"/>
      <c r="AL187" s="41"/>
      <c r="AM187" s="41"/>
      <c r="AN187" s="41" t="s">
        <v>489</v>
      </c>
      <c r="AO187" s="41" t="s">
        <v>489</v>
      </c>
      <c r="AP187" s="41" t="s">
        <v>489</v>
      </c>
      <c r="AQ187" s="41" t="s">
        <v>489</v>
      </c>
      <c r="AR187" s="41" t="s">
        <v>489</v>
      </c>
      <c r="AS187" s="41" t="s">
        <v>489</v>
      </c>
    </row>
    <row r="188" spans="1:46">
      <c r="A188" s="173" t="s">
        <v>1129</v>
      </c>
      <c r="B188" s="52">
        <v>11247</v>
      </c>
      <c r="C188" s="52" t="s">
        <v>1130</v>
      </c>
      <c r="D188" s="52" t="s">
        <v>1131</v>
      </c>
      <c r="E188" s="44" t="s">
        <v>1132</v>
      </c>
      <c r="F188" s="52" t="s">
        <v>1133</v>
      </c>
      <c r="G188" s="52" t="s">
        <v>1134</v>
      </c>
      <c r="H188" s="52">
        <v>1</v>
      </c>
      <c r="I188" s="52" t="s">
        <v>1135</v>
      </c>
      <c r="J188" s="43" t="s">
        <v>2265</v>
      </c>
      <c r="K188" s="39" t="s">
        <v>59</v>
      </c>
      <c r="L188" s="39" t="s">
        <v>59</v>
      </c>
      <c r="M188" s="51">
        <v>2010</v>
      </c>
      <c r="N188" s="52" t="s">
        <v>677</v>
      </c>
      <c r="O188" s="39">
        <v>48.9</v>
      </c>
      <c r="P188" s="39">
        <v>0.5</v>
      </c>
      <c r="Q188" s="39">
        <v>74.2</v>
      </c>
      <c r="R188" s="52" t="s">
        <v>1136</v>
      </c>
      <c r="S188" s="52">
        <v>2</v>
      </c>
      <c r="T188" s="52">
        <v>62</v>
      </c>
      <c r="U188" s="52">
        <v>2</v>
      </c>
      <c r="V188" s="39">
        <v>16</v>
      </c>
      <c r="W188" s="39">
        <v>46</v>
      </c>
      <c r="X188" s="39" t="s">
        <v>59</v>
      </c>
      <c r="Y188" s="39" t="s">
        <v>59</v>
      </c>
      <c r="Z188" s="52">
        <v>0</v>
      </c>
      <c r="AA188" s="52">
        <v>0</v>
      </c>
      <c r="AB188" s="51" t="s">
        <v>59</v>
      </c>
      <c r="AC188" s="51">
        <v>6</v>
      </c>
      <c r="AD188" s="51">
        <v>6</v>
      </c>
      <c r="AE188" s="52" t="s">
        <v>59</v>
      </c>
      <c r="AF188" s="39" t="s">
        <v>489</v>
      </c>
      <c r="AG188" s="26" t="s">
        <v>1407</v>
      </c>
      <c r="AH188" s="39"/>
      <c r="AI188" s="39"/>
      <c r="AJ188" s="39"/>
      <c r="AK188" s="39"/>
      <c r="AL188" s="39"/>
      <c r="AM188" s="39"/>
      <c r="AN188" s="166" t="s">
        <v>489</v>
      </c>
      <c r="AO188" s="166" t="s">
        <v>489</v>
      </c>
      <c r="AP188" s="166" t="s">
        <v>489</v>
      </c>
      <c r="AQ188" s="39"/>
      <c r="AR188" s="39"/>
      <c r="AS188" s="39"/>
      <c r="AT188" s="41" t="s">
        <v>489</v>
      </c>
    </row>
    <row r="189" spans="1:46">
      <c r="A189" s="169" t="s">
        <v>296</v>
      </c>
      <c r="B189" s="22">
        <v>11249</v>
      </c>
      <c r="C189" s="43" t="s">
        <v>606</v>
      </c>
      <c r="D189" s="43" t="s">
        <v>607</v>
      </c>
      <c r="E189" s="44" t="s">
        <v>608</v>
      </c>
      <c r="F189" s="43" t="s">
        <v>609</v>
      </c>
      <c r="G189" s="22" t="s">
        <v>61</v>
      </c>
      <c r="H189" s="22">
        <v>0</v>
      </c>
      <c r="I189" s="43" t="s">
        <v>610</v>
      </c>
      <c r="J189" s="22" t="s">
        <v>485</v>
      </c>
      <c r="K189" s="26">
        <v>22</v>
      </c>
      <c r="L189" s="26">
        <v>92</v>
      </c>
      <c r="M189" s="34">
        <v>2001</v>
      </c>
      <c r="N189" s="22" t="s">
        <v>496</v>
      </c>
      <c r="O189" s="26">
        <v>72.900000000000006</v>
      </c>
      <c r="P189" s="26" t="s">
        <v>61</v>
      </c>
      <c r="Q189" s="26">
        <v>49.8</v>
      </c>
      <c r="R189" s="22" t="s">
        <v>611</v>
      </c>
      <c r="S189" s="22">
        <v>4</v>
      </c>
      <c r="T189" s="22">
        <v>2155</v>
      </c>
      <c r="U189" s="22">
        <v>3</v>
      </c>
      <c r="V189" s="26">
        <v>652</v>
      </c>
      <c r="W189" s="26">
        <v>849</v>
      </c>
      <c r="X189" s="26">
        <v>654</v>
      </c>
      <c r="Y189" s="26" t="s">
        <v>59</v>
      </c>
      <c r="Z189" s="22">
        <v>0</v>
      </c>
      <c r="AA189" s="22">
        <v>1</v>
      </c>
      <c r="AB189" s="22">
        <v>0</v>
      </c>
      <c r="AC189" s="22">
        <v>12</v>
      </c>
      <c r="AD189" s="22">
        <v>24</v>
      </c>
      <c r="AE189" s="22" t="s">
        <v>612</v>
      </c>
      <c r="AF189" s="48" t="s">
        <v>489</v>
      </c>
      <c r="AG189" s="26" t="s">
        <v>1407</v>
      </c>
      <c r="AK189" s="41" t="s">
        <v>489</v>
      </c>
      <c r="AL189" s="41" t="s">
        <v>489</v>
      </c>
      <c r="AM189" s="41" t="s">
        <v>489</v>
      </c>
      <c r="AN189" s="41" t="s">
        <v>489</v>
      </c>
      <c r="AO189" s="41" t="s">
        <v>489</v>
      </c>
      <c r="AP189" s="41" t="s">
        <v>489</v>
      </c>
      <c r="AQ189" s="41" t="s">
        <v>489</v>
      </c>
      <c r="AR189" s="41" t="s">
        <v>489</v>
      </c>
    </row>
    <row r="190" spans="1:46">
      <c r="A190" s="171" t="s">
        <v>387</v>
      </c>
      <c r="B190" s="22">
        <v>11250</v>
      </c>
      <c r="C190" s="43" t="s">
        <v>1137</v>
      </c>
      <c r="D190" s="43" t="s">
        <v>1138</v>
      </c>
      <c r="E190" s="50" t="s">
        <v>1139</v>
      </c>
      <c r="F190" s="43" t="s">
        <v>1140</v>
      </c>
      <c r="G190" s="43" t="s">
        <v>61</v>
      </c>
      <c r="H190" s="22">
        <v>0</v>
      </c>
      <c r="I190" s="47" t="s">
        <v>1141</v>
      </c>
      <c r="J190" s="43" t="s">
        <v>2265</v>
      </c>
      <c r="K190" s="26" t="s">
        <v>59</v>
      </c>
      <c r="L190" s="26" t="s">
        <v>59</v>
      </c>
      <c r="M190" s="34">
        <v>2006</v>
      </c>
      <c r="N190" s="22" t="s">
        <v>1142</v>
      </c>
      <c r="O190" s="26" t="s">
        <v>61</v>
      </c>
      <c r="P190" s="26" t="s">
        <v>61</v>
      </c>
      <c r="Q190" s="26" t="s">
        <v>61</v>
      </c>
      <c r="R190" s="22" t="s">
        <v>1143</v>
      </c>
      <c r="S190" s="22">
        <v>1</v>
      </c>
      <c r="T190" s="22">
        <v>134</v>
      </c>
      <c r="U190" s="22">
        <v>2</v>
      </c>
      <c r="V190" s="26">
        <v>65</v>
      </c>
      <c r="W190" s="26">
        <v>69</v>
      </c>
      <c r="X190" s="26" t="s">
        <v>59</v>
      </c>
      <c r="Y190" s="26" t="s">
        <v>59</v>
      </c>
      <c r="Z190" s="22">
        <v>0</v>
      </c>
      <c r="AA190" s="22">
        <v>0</v>
      </c>
      <c r="AB190" s="49" t="s">
        <v>59</v>
      </c>
      <c r="AC190" s="22">
        <v>9</v>
      </c>
      <c r="AD190" s="22">
        <v>9</v>
      </c>
      <c r="AE190" s="22" t="s">
        <v>59</v>
      </c>
      <c r="AF190" s="26" t="s">
        <v>489</v>
      </c>
      <c r="AG190" s="26" t="s">
        <v>1407</v>
      </c>
      <c r="AN190" s="41" t="s">
        <v>489</v>
      </c>
    </row>
    <row r="191" spans="1:46">
      <c r="A191" s="171" t="s">
        <v>388</v>
      </c>
      <c r="B191" s="22">
        <v>11257</v>
      </c>
      <c r="C191" s="43" t="s">
        <v>1144</v>
      </c>
      <c r="D191" s="43" t="s">
        <v>1145</v>
      </c>
      <c r="E191" s="44" t="s">
        <v>1146</v>
      </c>
      <c r="F191" s="43" t="s">
        <v>1147</v>
      </c>
      <c r="G191" s="43" t="s">
        <v>1148</v>
      </c>
      <c r="H191" s="22">
        <v>0</v>
      </c>
      <c r="I191" s="22" t="s">
        <v>1149</v>
      </c>
      <c r="J191" s="43" t="s">
        <v>2265</v>
      </c>
      <c r="K191" s="48" t="s">
        <v>59</v>
      </c>
      <c r="L191" s="26" t="s">
        <v>59</v>
      </c>
      <c r="M191" s="34">
        <v>2011</v>
      </c>
      <c r="N191" s="43" t="s">
        <v>628</v>
      </c>
      <c r="O191" s="26">
        <v>69.099999999999994</v>
      </c>
      <c r="P191" s="26">
        <v>8.6999999999999993</v>
      </c>
      <c r="Q191" s="26">
        <v>46.6</v>
      </c>
      <c r="R191" s="22" t="s">
        <v>1150</v>
      </c>
      <c r="S191" s="22">
        <v>4</v>
      </c>
      <c r="T191" s="22">
        <v>238</v>
      </c>
      <c r="U191" s="22">
        <v>2</v>
      </c>
      <c r="V191" s="69">
        <v>105</v>
      </c>
      <c r="W191" s="69">
        <v>133</v>
      </c>
      <c r="X191" s="26" t="s">
        <v>59</v>
      </c>
      <c r="Y191" s="26" t="s">
        <v>59</v>
      </c>
      <c r="Z191" s="22">
        <v>0</v>
      </c>
      <c r="AA191" s="22">
        <v>1</v>
      </c>
      <c r="AB191" s="49" t="s">
        <v>59</v>
      </c>
      <c r="AC191" s="22">
        <v>12</v>
      </c>
      <c r="AD191" s="22">
        <v>12</v>
      </c>
      <c r="AE191" s="43" t="s">
        <v>59</v>
      </c>
      <c r="AF191" s="26" t="s">
        <v>489</v>
      </c>
      <c r="AG191" s="26" t="s">
        <v>3532</v>
      </c>
      <c r="AH191" s="41"/>
      <c r="AI191" s="41"/>
      <c r="AJ191" s="41"/>
      <c r="AK191" s="41"/>
      <c r="AL191" s="41"/>
      <c r="AM191" s="41"/>
      <c r="AN191" s="41" t="s">
        <v>489</v>
      </c>
      <c r="AO191" s="41"/>
      <c r="AP191" s="41"/>
      <c r="AQ191" s="41"/>
      <c r="AR191" s="41"/>
      <c r="AS191" s="41"/>
      <c r="AT191" s="22"/>
    </row>
    <row r="192" spans="1:46">
      <c r="A192" s="28" t="s">
        <v>299</v>
      </c>
      <c r="B192" s="22">
        <v>11292</v>
      </c>
      <c r="C192" s="22" t="s">
        <v>613</v>
      </c>
      <c r="D192" s="22" t="s">
        <v>614</v>
      </c>
      <c r="E192" s="44" t="s">
        <v>615</v>
      </c>
      <c r="F192" s="22" t="s">
        <v>616</v>
      </c>
      <c r="G192" s="43" t="s">
        <v>617</v>
      </c>
      <c r="H192" s="22">
        <v>0</v>
      </c>
      <c r="I192" s="43" t="s">
        <v>618</v>
      </c>
      <c r="J192" s="22" t="s">
        <v>485</v>
      </c>
      <c r="K192" s="26">
        <v>477</v>
      </c>
      <c r="L192" s="26">
        <v>477</v>
      </c>
      <c r="M192" s="34">
        <v>2010</v>
      </c>
      <c r="N192" s="43" t="s">
        <v>619</v>
      </c>
      <c r="O192" s="26" t="s">
        <v>61</v>
      </c>
      <c r="P192" s="26" t="s">
        <v>61</v>
      </c>
      <c r="Q192" s="26" t="s">
        <v>61</v>
      </c>
      <c r="R192" s="43" t="s">
        <v>620</v>
      </c>
      <c r="S192" s="22">
        <v>2</v>
      </c>
      <c r="T192" s="22">
        <v>4027</v>
      </c>
      <c r="U192" s="22">
        <v>2</v>
      </c>
      <c r="V192" s="26">
        <v>1518</v>
      </c>
      <c r="W192" s="26">
        <v>2509</v>
      </c>
      <c r="X192" s="48" t="s">
        <v>59</v>
      </c>
      <c r="Y192" s="48" t="s">
        <v>59</v>
      </c>
      <c r="Z192" s="22">
        <v>0</v>
      </c>
      <c r="AA192" s="22">
        <v>0</v>
      </c>
      <c r="AB192" s="22">
        <v>1</v>
      </c>
      <c r="AC192" s="22">
        <v>12</v>
      </c>
      <c r="AD192" s="22">
        <v>12</v>
      </c>
      <c r="AE192" s="43" t="s">
        <v>621</v>
      </c>
      <c r="AF192" s="26" t="s">
        <v>109</v>
      </c>
      <c r="AG192" s="26" t="s">
        <v>1407</v>
      </c>
      <c r="AH192" s="41" t="s">
        <v>489</v>
      </c>
      <c r="AI192" s="41" t="s">
        <v>489</v>
      </c>
      <c r="AJ192" s="41" t="s">
        <v>489</v>
      </c>
      <c r="AK192" s="41" t="s">
        <v>489</v>
      </c>
      <c r="AL192" s="41" t="s">
        <v>489</v>
      </c>
      <c r="AN192" s="41" t="s">
        <v>489</v>
      </c>
      <c r="AO192" s="41" t="s">
        <v>489</v>
      </c>
      <c r="AQ192" s="41" t="s">
        <v>489</v>
      </c>
      <c r="AR192" s="41" t="s">
        <v>489</v>
      </c>
      <c r="AS192" s="41" t="s">
        <v>489</v>
      </c>
    </row>
    <row r="193" spans="1:46">
      <c r="A193" s="171" t="s">
        <v>389</v>
      </c>
      <c r="B193" s="22">
        <v>11309</v>
      </c>
      <c r="C193" s="43" t="s">
        <v>1151</v>
      </c>
      <c r="D193" s="43" t="s">
        <v>1152</v>
      </c>
      <c r="E193" s="44" t="s">
        <v>1153</v>
      </c>
      <c r="F193" s="43" t="s">
        <v>1154</v>
      </c>
      <c r="G193" s="43" t="s">
        <v>61</v>
      </c>
      <c r="H193" s="22">
        <v>0</v>
      </c>
      <c r="I193" s="43" t="s">
        <v>61</v>
      </c>
      <c r="J193" s="43" t="s">
        <v>2265</v>
      </c>
      <c r="K193" s="26" t="s">
        <v>59</v>
      </c>
      <c r="L193" s="26" t="s">
        <v>59</v>
      </c>
      <c r="M193" s="34">
        <v>2009</v>
      </c>
      <c r="N193" s="22" t="s">
        <v>1155</v>
      </c>
      <c r="O193" s="26" t="s">
        <v>61</v>
      </c>
      <c r="P193" s="26" t="s">
        <v>61</v>
      </c>
      <c r="Q193" s="26">
        <v>50</v>
      </c>
      <c r="R193" s="22" t="s">
        <v>1156</v>
      </c>
      <c r="S193" s="22">
        <v>2</v>
      </c>
      <c r="T193" s="22">
        <v>120</v>
      </c>
      <c r="U193" s="22">
        <v>2</v>
      </c>
      <c r="V193" s="26">
        <v>60</v>
      </c>
      <c r="W193" s="26">
        <v>60</v>
      </c>
      <c r="X193" s="26" t="s">
        <v>59</v>
      </c>
      <c r="Y193" s="26" t="s">
        <v>59</v>
      </c>
      <c r="Z193" s="22">
        <v>0</v>
      </c>
      <c r="AA193" s="22">
        <v>0</v>
      </c>
      <c r="AB193" s="34" t="s">
        <v>59</v>
      </c>
      <c r="AC193" s="22">
        <v>8</v>
      </c>
      <c r="AD193" s="22">
        <v>8</v>
      </c>
      <c r="AE193" s="22" t="s">
        <v>59</v>
      </c>
      <c r="AF193" s="48" t="s">
        <v>489</v>
      </c>
      <c r="AG193" s="26" t="s">
        <v>1407</v>
      </c>
      <c r="AN193" s="41" t="s">
        <v>489</v>
      </c>
    </row>
    <row r="194" spans="1:46">
      <c r="A194" s="171" t="s">
        <v>1157</v>
      </c>
      <c r="B194" s="22">
        <v>12000</v>
      </c>
      <c r="C194" s="43" t="s">
        <v>1158</v>
      </c>
      <c r="D194" s="22" t="s">
        <v>1159</v>
      </c>
      <c r="E194" s="50" t="s">
        <v>1160</v>
      </c>
      <c r="F194" s="43" t="s">
        <v>1161</v>
      </c>
      <c r="G194" s="43" t="s">
        <v>1162</v>
      </c>
      <c r="H194" s="43">
        <v>1</v>
      </c>
      <c r="I194" s="43" t="s">
        <v>1163</v>
      </c>
      <c r="J194" s="43" t="s">
        <v>2265</v>
      </c>
      <c r="K194" s="48" t="s">
        <v>59</v>
      </c>
      <c r="L194" s="48" t="s">
        <v>59</v>
      </c>
      <c r="M194" s="49">
        <v>2009</v>
      </c>
      <c r="N194" s="22" t="s">
        <v>652</v>
      </c>
      <c r="O194" s="26">
        <v>67</v>
      </c>
      <c r="P194" s="26">
        <v>9.6</v>
      </c>
      <c r="Q194" s="26">
        <v>56.3</v>
      </c>
      <c r="R194" s="22" t="s">
        <v>1164</v>
      </c>
      <c r="S194" s="22">
        <v>3</v>
      </c>
      <c r="T194" s="22">
        <v>80</v>
      </c>
      <c r="U194" s="22">
        <v>2</v>
      </c>
      <c r="V194" s="26">
        <v>41</v>
      </c>
      <c r="W194" s="26">
        <v>39</v>
      </c>
      <c r="X194" s="26" t="s">
        <v>59</v>
      </c>
      <c r="Y194" s="26" t="s">
        <v>59</v>
      </c>
      <c r="Z194" s="22">
        <v>0</v>
      </c>
      <c r="AA194" s="22">
        <v>1</v>
      </c>
      <c r="AB194" s="34" t="s">
        <v>59</v>
      </c>
      <c r="AC194" s="34">
        <v>3</v>
      </c>
      <c r="AD194" s="34">
        <v>12</v>
      </c>
      <c r="AE194" s="22" t="s">
        <v>59</v>
      </c>
      <c r="AF194" s="26" t="s">
        <v>489</v>
      </c>
      <c r="AG194" s="26" t="s">
        <v>1407</v>
      </c>
      <c r="AM194" s="41"/>
      <c r="AN194" s="41" t="s">
        <v>489</v>
      </c>
      <c r="AO194" s="41" t="s">
        <v>489</v>
      </c>
      <c r="AP194" s="41" t="s">
        <v>489</v>
      </c>
    </row>
    <row r="195" spans="1:46">
      <c r="A195" s="171" t="s">
        <v>394</v>
      </c>
      <c r="B195" s="22">
        <v>12016</v>
      </c>
      <c r="C195" s="43" t="s">
        <v>1173</v>
      </c>
      <c r="D195" s="43" t="s">
        <v>1174</v>
      </c>
      <c r="E195" s="44" t="s">
        <v>1175</v>
      </c>
      <c r="F195" s="43" t="s">
        <v>1176</v>
      </c>
      <c r="G195" s="22" t="s">
        <v>61</v>
      </c>
      <c r="H195" s="22">
        <v>0</v>
      </c>
      <c r="I195" s="22" t="s">
        <v>1177</v>
      </c>
      <c r="J195" s="43" t="s">
        <v>2265</v>
      </c>
      <c r="K195" s="26" t="s">
        <v>59</v>
      </c>
      <c r="L195" s="26" t="s">
        <v>59</v>
      </c>
      <c r="M195" s="34">
        <v>2012</v>
      </c>
      <c r="N195" s="22" t="s">
        <v>496</v>
      </c>
      <c r="O195" s="26">
        <v>60.2</v>
      </c>
      <c r="P195" s="26">
        <v>10.8</v>
      </c>
      <c r="Q195" s="26">
        <v>94.7</v>
      </c>
      <c r="R195" s="22" t="s">
        <v>1178</v>
      </c>
      <c r="S195" s="22">
        <v>2</v>
      </c>
      <c r="T195" s="22">
        <v>152</v>
      </c>
      <c r="U195" s="22">
        <v>3</v>
      </c>
      <c r="V195" s="26">
        <v>50</v>
      </c>
      <c r="W195" s="26">
        <v>51</v>
      </c>
      <c r="X195" s="26">
        <v>51</v>
      </c>
      <c r="Y195" s="26" t="s">
        <v>59</v>
      </c>
      <c r="Z195" s="22">
        <v>0</v>
      </c>
      <c r="AA195" s="22">
        <v>0</v>
      </c>
      <c r="AB195" s="34" t="s">
        <v>59</v>
      </c>
      <c r="AC195" s="22">
        <v>12</v>
      </c>
      <c r="AD195" s="22">
        <v>12</v>
      </c>
      <c r="AE195" s="22" t="s">
        <v>59</v>
      </c>
      <c r="AF195" s="48" t="s">
        <v>489</v>
      </c>
      <c r="AG195" s="26" t="s">
        <v>1407</v>
      </c>
      <c r="AN195" s="41" t="s">
        <v>489</v>
      </c>
      <c r="AO195" s="41" t="s">
        <v>489</v>
      </c>
      <c r="AP195" s="41" t="s">
        <v>489</v>
      </c>
      <c r="AQ195" s="41" t="s">
        <v>489</v>
      </c>
    </row>
    <row r="196" spans="1:46">
      <c r="A196" s="171" t="s">
        <v>395</v>
      </c>
      <c r="B196" s="22">
        <v>12021</v>
      </c>
      <c r="C196" s="43" t="s">
        <v>1179</v>
      </c>
      <c r="D196" s="43" t="s">
        <v>1180</v>
      </c>
      <c r="E196" s="50" t="s">
        <v>1181</v>
      </c>
      <c r="F196" s="43" t="s">
        <v>1182</v>
      </c>
      <c r="G196" s="22" t="s">
        <v>61</v>
      </c>
      <c r="H196" s="22">
        <v>1</v>
      </c>
      <c r="I196" s="22" t="s">
        <v>61</v>
      </c>
      <c r="J196" s="43" t="s">
        <v>2265</v>
      </c>
      <c r="K196" s="26" t="s">
        <v>59</v>
      </c>
      <c r="L196" s="26" t="s">
        <v>59</v>
      </c>
      <c r="M196" s="34">
        <v>2010</v>
      </c>
      <c r="N196" s="22" t="s">
        <v>936</v>
      </c>
      <c r="O196" s="26" t="s">
        <v>61</v>
      </c>
      <c r="P196" s="26" t="s">
        <v>61</v>
      </c>
      <c r="Q196" s="26">
        <v>50</v>
      </c>
      <c r="R196" s="22" t="s">
        <v>1183</v>
      </c>
      <c r="S196" s="22">
        <v>2</v>
      </c>
      <c r="T196" s="22">
        <v>48</v>
      </c>
      <c r="U196" s="22">
        <v>2</v>
      </c>
      <c r="V196" s="26">
        <v>23</v>
      </c>
      <c r="W196" s="26">
        <v>25</v>
      </c>
      <c r="X196" s="26" t="s">
        <v>59</v>
      </c>
      <c r="Y196" s="26" t="s">
        <v>59</v>
      </c>
      <c r="Z196" s="22">
        <v>0</v>
      </c>
      <c r="AA196" s="22">
        <v>0</v>
      </c>
      <c r="AB196" s="34" t="s">
        <v>59</v>
      </c>
      <c r="AC196" s="22">
        <v>12</v>
      </c>
      <c r="AD196" s="22">
        <v>12</v>
      </c>
      <c r="AE196" s="43" t="s">
        <v>59</v>
      </c>
      <c r="AF196" s="26" t="s">
        <v>489</v>
      </c>
      <c r="AG196" s="26" t="s">
        <v>1407</v>
      </c>
      <c r="AN196" s="41" t="s">
        <v>489</v>
      </c>
      <c r="AO196" s="41" t="s">
        <v>489</v>
      </c>
      <c r="AP196" s="41" t="s">
        <v>489</v>
      </c>
      <c r="AQ196" s="41" t="s">
        <v>489</v>
      </c>
      <c r="AR196" s="41"/>
      <c r="AS196" s="41"/>
      <c r="AT196" s="41" t="s">
        <v>489</v>
      </c>
    </row>
    <row r="197" spans="1:46">
      <c r="A197" s="171" t="s">
        <v>396</v>
      </c>
      <c r="B197" s="22">
        <v>12035</v>
      </c>
      <c r="C197" s="43" t="s">
        <v>1184</v>
      </c>
      <c r="D197" s="43" t="s">
        <v>1185</v>
      </c>
      <c r="E197" s="44" t="s">
        <v>1186</v>
      </c>
      <c r="F197" s="43" t="s">
        <v>1187</v>
      </c>
      <c r="G197" s="43" t="s">
        <v>1188</v>
      </c>
      <c r="H197" s="22">
        <v>0</v>
      </c>
      <c r="I197" s="47" t="s">
        <v>1189</v>
      </c>
      <c r="J197" s="43" t="s">
        <v>2265</v>
      </c>
      <c r="K197" s="26" t="s">
        <v>59</v>
      </c>
      <c r="L197" s="26" t="s">
        <v>59</v>
      </c>
      <c r="M197" s="34">
        <v>2003</v>
      </c>
      <c r="N197" s="22" t="s">
        <v>496</v>
      </c>
      <c r="O197" s="26" t="s">
        <v>61</v>
      </c>
      <c r="P197" s="26" t="s">
        <v>61</v>
      </c>
      <c r="Q197" s="26" t="s">
        <v>61</v>
      </c>
      <c r="R197" s="22" t="s">
        <v>1190</v>
      </c>
      <c r="S197" s="22">
        <v>2</v>
      </c>
      <c r="T197" s="22">
        <v>396</v>
      </c>
      <c r="U197" s="22">
        <v>2</v>
      </c>
      <c r="V197" s="26">
        <v>201</v>
      </c>
      <c r="W197" s="26">
        <v>195</v>
      </c>
      <c r="X197" s="26" t="s">
        <v>59</v>
      </c>
      <c r="Y197" s="26" t="s">
        <v>59</v>
      </c>
      <c r="Z197" s="22">
        <v>0</v>
      </c>
      <c r="AA197" s="22">
        <v>0</v>
      </c>
      <c r="AB197" s="34" t="s">
        <v>59</v>
      </c>
      <c r="AC197" s="22">
        <v>12</v>
      </c>
      <c r="AD197" s="22">
        <v>12</v>
      </c>
      <c r="AE197" s="22" t="s">
        <v>59</v>
      </c>
      <c r="AF197" s="48" t="s">
        <v>489</v>
      </c>
      <c r="AG197" s="26" t="s">
        <v>1407</v>
      </c>
      <c r="AH197" s="41" t="s">
        <v>489</v>
      </c>
      <c r="AI197" s="41" t="s">
        <v>489</v>
      </c>
      <c r="AJ197" s="41" t="s">
        <v>489</v>
      </c>
      <c r="AK197" s="41" t="s">
        <v>489</v>
      </c>
      <c r="AL197" s="41"/>
      <c r="AM197" s="41" t="s">
        <v>489</v>
      </c>
      <c r="AN197" s="41" t="s">
        <v>489</v>
      </c>
      <c r="AO197" s="41" t="s">
        <v>489</v>
      </c>
      <c r="AP197" s="41" t="s">
        <v>489</v>
      </c>
      <c r="AQ197" s="41" t="s">
        <v>489</v>
      </c>
      <c r="AR197" s="41" t="s">
        <v>489</v>
      </c>
    </row>
    <row r="198" spans="1:46">
      <c r="A198" s="171" t="s">
        <v>397</v>
      </c>
      <c r="B198" s="22">
        <v>12092</v>
      </c>
      <c r="C198" s="43" t="s">
        <v>1191</v>
      </c>
      <c r="D198" s="43" t="s">
        <v>1192</v>
      </c>
      <c r="E198" s="44" t="s">
        <v>1193</v>
      </c>
      <c r="F198" s="43" t="s">
        <v>1194</v>
      </c>
      <c r="G198" s="43" t="s">
        <v>1195</v>
      </c>
      <c r="H198" s="22">
        <v>0</v>
      </c>
      <c r="I198" s="198" t="s">
        <v>1196</v>
      </c>
      <c r="J198" s="43" t="s">
        <v>2265</v>
      </c>
      <c r="K198" s="48" t="s">
        <v>59</v>
      </c>
      <c r="L198" s="26" t="s">
        <v>59</v>
      </c>
      <c r="M198" s="34">
        <v>2010</v>
      </c>
      <c r="N198" s="22" t="s">
        <v>496</v>
      </c>
      <c r="O198" s="26">
        <v>53.7</v>
      </c>
      <c r="P198" s="26">
        <v>12.2</v>
      </c>
      <c r="Q198" s="26">
        <v>32.6</v>
      </c>
      <c r="R198" s="22" t="s">
        <v>1197</v>
      </c>
      <c r="S198" s="22">
        <v>2</v>
      </c>
      <c r="T198" s="22">
        <v>144</v>
      </c>
      <c r="U198" s="22">
        <v>2</v>
      </c>
      <c r="V198" s="26">
        <v>71</v>
      </c>
      <c r="W198" s="26">
        <v>73</v>
      </c>
      <c r="X198" s="48" t="s">
        <v>59</v>
      </c>
      <c r="Y198" s="48" t="s">
        <v>59</v>
      </c>
      <c r="Z198" s="22">
        <v>1</v>
      </c>
      <c r="AA198" s="22">
        <v>1</v>
      </c>
      <c r="AB198" s="49" t="s">
        <v>59</v>
      </c>
      <c r="AC198" s="22">
        <v>24</v>
      </c>
      <c r="AD198" s="22">
        <v>24</v>
      </c>
      <c r="AE198" s="22" t="s">
        <v>59</v>
      </c>
      <c r="AF198" s="26" t="s">
        <v>489</v>
      </c>
      <c r="AG198" s="26" t="s">
        <v>1407</v>
      </c>
      <c r="AN198" s="41" t="s">
        <v>489</v>
      </c>
      <c r="AR198" s="41" t="s">
        <v>489</v>
      </c>
    </row>
    <row r="199" spans="1:46">
      <c r="A199" s="171" t="s">
        <v>398</v>
      </c>
      <c r="B199" s="22">
        <v>12106</v>
      </c>
      <c r="C199" s="43" t="s">
        <v>1198</v>
      </c>
      <c r="D199" s="43" t="s">
        <v>1199</v>
      </c>
      <c r="E199" s="44" t="s">
        <v>1200</v>
      </c>
      <c r="F199" s="43" t="s">
        <v>1201</v>
      </c>
      <c r="G199" s="43" t="s">
        <v>61</v>
      </c>
      <c r="H199" s="22">
        <v>0</v>
      </c>
      <c r="I199" s="22" t="s">
        <v>1202</v>
      </c>
      <c r="J199" s="43" t="s">
        <v>2265</v>
      </c>
      <c r="K199" s="26" t="s">
        <v>59</v>
      </c>
      <c r="L199" s="26" t="s">
        <v>59</v>
      </c>
      <c r="M199" s="34">
        <v>2011</v>
      </c>
      <c r="N199" s="22" t="s">
        <v>1203</v>
      </c>
      <c r="O199" s="26">
        <v>54.7</v>
      </c>
      <c r="P199" s="26">
        <v>9.3000000000000007</v>
      </c>
      <c r="Q199" s="26">
        <v>56.5</v>
      </c>
      <c r="R199" s="22" t="s">
        <v>1204</v>
      </c>
      <c r="S199" s="22">
        <v>2</v>
      </c>
      <c r="T199" s="22">
        <v>628</v>
      </c>
      <c r="U199" s="22">
        <v>2</v>
      </c>
      <c r="V199" s="26">
        <v>316</v>
      </c>
      <c r="W199" s="26">
        <v>312</v>
      </c>
      <c r="X199" s="26" t="s">
        <v>59</v>
      </c>
      <c r="Y199" s="26" t="s">
        <v>59</v>
      </c>
      <c r="Z199" s="22">
        <v>0</v>
      </c>
      <c r="AA199" s="22">
        <v>0</v>
      </c>
      <c r="AB199" s="34" t="s">
        <v>59</v>
      </c>
      <c r="AC199" s="22">
        <v>12</v>
      </c>
      <c r="AD199" s="22">
        <v>12</v>
      </c>
      <c r="AE199" s="22" t="s">
        <v>59</v>
      </c>
      <c r="AF199" s="26" t="s">
        <v>489</v>
      </c>
      <c r="AG199" s="26" t="s">
        <v>1407</v>
      </c>
      <c r="AI199" s="41"/>
      <c r="AJ199" s="41"/>
      <c r="AK199" s="41"/>
      <c r="AL199" s="41"/>
      <c r="AM199" s="41"/>
      <c r="AN199" s="41" t="s">
        <v>489</v>
      </c>
      <c r="AO199" s="41" t="s">
        <v>489</v>
      </c>
      <c r="AP199" s="41" t="s">
        <v>489</v>
      </c>
      <c r="AQ199" s="41" t="s">
        <v>489</v>
      </c>
    </row>
    <row r="200" spans="1:46">
      <c r="A200" s="172" t="s">
        <v>399</v>
      </c>
      <c r="B200" s="22">
        <v>12164</v>
      </c>
      <c r="C200" s="22" t="s">
        <v>1205</v>
      </c>
      <c r="D200" s="22" t="s">
        <v>1206</v>
      </c>
      <c r="E200" s="44" t="s">
        <v>1207</v>
      </c>
      <c r="F200" s="22" t="s">
        <v>1208</v>
      </c>
      <c r="G200" s="22" t="s">
        <v>61</v>
      </c>
      <c r="H200" s="22">
        <v>0</v>
      </c>
      <c r="I200" s="22" t="s">
        <v>61</v>
      </c>
      <c r="J200" s="43" t="s">
        <v>2265</v>
      </c>
      <c r="K200" s="48" t="s">
        <v>59</v>
      </c>
      <c r="L200" s="48" t="s">
        <v>59</v>
      </c>
      <c r="M200" s="34">
        <v>2014</v>
      </c>
      <c r="N200" s="22" t="s">
        <v>792</v>
      </c>
      <c r="O200" s="26" t="s">
        <v>61</v>
      </c>
      <c r="P200" s="26" t="s">
        <v>61</v>
      </c>
      <c r="Q200" s="26" t="s">
        <v>61</v>
      </c>
      <c r="R200" s="22" t="s">
        <v>1209</v>
      </c>
      <c r="S200" s="22">
        <v>2</v>
      </c>
      <c r="T200" s="22">
        <v>197</v>
      </c>
      <c r="U200" s="22">
        <v>2</v>
      </c>
      <c r="V200" s="26">
        <v>114</v>
      </c>
      <c r="W200" s="26">
        <v>83</v>
      </c>
      <c r="X200" s="48" t="s">
        <v>59</v>
      </c>
      <c r="Y200" s="48" t="s">
        <v>59</v>
      </c>
      <c r="Z200" s="22">
        <v>0</v>
      </c>
      <c r="AA200" s="22">
        <v>0</v>
      </c>
      <c r="AB200" s="49" t="s">
        <v>59</v>
      </c>
      <c r="AC200" s="22">
        <v>10</v>
      </c>
      <c r="AD200" s="22">
        <v>16</v>
      </c>
      <c r="AE200" s="22" t="s">
        <v>59</v>
      </c>
      <c r="AF200" s="26" t="s">
        <v>489</v>
      </c>
      <c r="AG200" s="26" t="s">
        <v>1407</v>
      </c>
      <c r="AN200" s="41" t="s">
        <v>489</v>
      </c>
    </row>
    <row r="201" spans="1:46">
      <c r="A201" s="169" t="s">
        <v>302</v>
      </c>
      <c r="B201" s="22">
        <v>12181</v>
      </c>
      <c r="C201" s="43" t="s">
        <v>640</v>
      </c>
      <c r="D201" s="43" t="s">
        <v>641</v>
      </c>
      <c r="E201" s="44" t="s">
        <v>642</v>
      </c>
      <c r="F201" s="44" t="s">
        <v>643</v>
      </c>
      <c r="G201" s="43" t="s">
        <v>61</v>
      </c>
      <c r="H201" s="22">
        <v>1</v>
      </c>
      <c r="I201" s="22" t="s">
        <v>61</v>
      </c>
      <c r="J201" s="22" t="s">
        <v>485</v>
      </c>
      <c r="K201" s="26">
        <v>6</v>
      </c>
      <c r="L201" s="48" t="s">
        <v>61</v>
      </c>
      <c r="M201" s="34">
        <v>2011</v>
      </c>
      <c r="N201" s="43" t="s">
        <v>496</v>
      </c>
      <c r="O201" s="26">
        <v>54.8</v>
      </c>
      <c r="P201" s="26">
        <v>11</v>
      </c>
      <c r="Q201" s="26">
        <v>39.1</v>
      </c>
      <c r="R201" s="43" t="s">
        <v>644</v>
      </c>
      <c r="S201" s="22">
        <v>2</v>
      </c>
      <c r="T201" s="22">
        <v>486</v>
      </c>
      <c r="U201" s="22">
        <v>2</v>
      </c>
      <c r="V201" s="26">
        <v>272</v>
      </c>
      <c r="W201" s="26">
        <v>214</v>
      </c>
      <c r="X201" s="48" t="s">
        <v>59</v>
      </c>
      <c r="Y201" s="48" t="s">
        <v>59</v>
      </c>
      <c r="Z201" s="22">
        <v>0</v>
      </c>
      <c r="AA201" s="22">
        <v>0</v>
      </c>
      <c r="AB201" s="22">
        <v>0</v>
      </c>
      <c r="AC201" s="22">
        <v>12</v>
      </c>
      <c r="AD201" s="22">
        <v>12</v>
      </c>
      <c r="AE201" s="43" t="s">
        <v>645</v>
      </c>
      <c r="AF201" s="26" t="s">
        <v>489</v>
      </c>
      <c r="AG201" s="26" t="s">
        <v>1407</v>
      </c>
      <c r="AK201" s="41"/>
      <c r="AL201" s="41"/>
      <c r="AM201" s="41"/>
      <c r="AN201" s="41" t="s">
        <v>489</v>
      </c>
      <c r="AO201" s="41" t="s">
        <v>489</v>
      </c>
      <c r="AP201" s="41" t="s">
        <v>489</v>
      </c>
      <c r="AQ201" s="41" t="s">
        <v>489</v>
      </c>
    </row>
    <row r="202" spans="1:46">
      <c r="A202" s="171" t="s">
        <v>401</v>
      </c>
      <c r="B202" s="22">
        <v>12208</v>
      </c>
      <c r="C202" s="43" t="s">
        <v>1210</v>
      </c>
      <c r="D202" s="43" t="s">
        <v>1211</v>
      </c>
      <c r="E202" s="44" t="s">
        <v>1212</v>
      </c>
      <c r="F202" s="43" t="s">
        <v>1213</v>
      </c>
      <c r="G202" s="22" t="s">
        <v>61</v>
      </c>
      <c r="H202" s="22">
        <v>0</v>
      </c>
      <c r="I202" s="22" t="s">
        <v>61</v>
      </c>
      <c r="J202" s="43" t="s">
        <v>2265</v>
      </c>
      <c r="K202" s="48" t="s">
        <v>59</v>
      </c>
      <c r="L202" s="26" t="s">
        <v>59</v>
      </c>
      <c r="M202" s="34">
        <v>2009</v>
      </c>
      <c r="N202" s="43" t="s">
        <v>1214</v>
      </c>
      <c r="O202" s="26" t="s">
        <v>61</v>
      </c>
      <c r="P202" s="26" t="s">
        <v>61</v>
      </c>
      <c r="Q202" s="26" t="s">
        <v>61</v>
      </c>
      <c r="R202" s="22" t="s">
        <v>1215</v>
      </c>
      <c r="S202" s="22">
        <v>2</v>
      </c>
      <c r="T202" s="22">
        <v>105</v>
      </c>
      <c r="U202" s="22">
        <v>2</v>
      </c>
      <c r="V202" s="26">
        <v>54</v>
      </c>
      <c r="W202" s="26">
        <v>51</v>
      </c>
      <c r="X202" s="26" t="s">
        <v>59</v>
      </c>
      <c r="Y202" s="26" t="s">
        <v>59</v>
      </c>
      <c r="Z202" s="22">
        <v>0</v>
      </c>
      <c r="AA202" s="22">
        <v>0</v>
      </c>
      <c r="AB202" s="34" t="s">
        <v>59</v>
      </c>
      <c r="AC202" s="22">
        <v>9</v>
      </c>
      <c r="AD202" s="22">
        <v>9</v>
      </c>
      <c r="AE202" s="22" t="s">
        <v>59</v>
      </c>
      <c r="AF202" s="48" t="s">
        <v>489</v>
      </c>
      <c r="AG202" s="26" t="s">
        <v>1407</v>
      </c>
      <c r="AH202" s="41" t="s">
        <v>489</v>
      </c>
      <c r="AI202" s="41" t="s">
        <v>489</v>
      </c>
      <c r="AJ202" s="41" t="s">
        <v>489</v>
      </c>
      <c r="AK202" s="41"/>
      <c r="AL202" s="41"/>
      <c r="AM202" s="41"/>
      <c r="AN202" s="41" t="s">
        <v>489</v>
      </c>
      <c r="AO202" s="41" t="s">
        <v>489</v>
      </c>
      <c r="AP202" s="41" t="s">
        <v>489</v>
      </c>
      <c r="AQ202" s="41" t="s">
        <v>489</v>
      </c>
      <c r="AR202" s="41"/>
      <c r="AS202" s="41" t="s">
        <v>489</v>
      </c>
    </row>
    <row r="203" spans="1:46">
      <c r="A203" s="173" t="s">
        <v>402</v>
      </c>
      <c r="B203" s="52">
        <v>12215</v>
      </c>
      <c r="C203" s="52" t="s">
        <v>1216</v>
      </c>
      <c r="D203" s="52" t="s">
        <v>1217</v>
      </c>
      <c r="E203" s="44" t="s">
        <v>1218</v>
      </c>
      <c r="F203" s="52" t="s">
        <v>1219</v>
      </c>
      <c r="G203" s="52" t="s">
        <v>61</v>
      </c>
      <c r="H203" s="52">
        <v>0</v>
      </c>
      <c r="I203" s="52" t="s">
        <v>61</v>
      </c>
      <c r="J203" s="43" t="s">
        <v>2265</v>
      </c>
      <c r="K203" s="39" t="s">
        <v>59</v>
      </c>
      <c r="L203" s="39" t="s">
        <v>59</v>
      </c>
      <c r="M203" s="51">
        <v>2011</v>
      </c>
      <c r="N203" s="52" t="s">
        <v>1220</v>
      </c>
      <c r="O203" s="39" t="s">
        <v>61</v>
      </c>
      <c r="P203" s="39" t="s">
        <v>61</v>
      </c>
      <c r="Q203" s="39" t="s">
        <v>61</v>
      </c>
      <c r="R203" s="52" t="s">
        <v>1221</v>
      </c>
      <c r="S203" s="52">
        <v>2</v>
      </c>
      <c r="T203" s="52">
        <v>171</v>
      </c>
      <c r="U203" s="52">
        <v>2</v>
      </c>
      <c r="V203" s="39">
        <v>86</v>
      </c>
      <c r="W203" s="39">
        <v>85</v>
      </c>
      <c r="X203" s="39" t="s">
        <v>59</v>
      </c>
      <c r="Y203" s="39" t="s">
        <v>59</v>
      </c>
      <c r="Z203" s="52">
        <v>0</v>
      </c>
      <c r="AA203" s="52">
        <v>0</v>
      </c>
      <c r="AB203" s="51" t="s">
        <v>59</v>
      </c>
      <c r="AC203" s="51">
        <v>6</v>
      </c>
      <c r="AD203" s="51">
        <v>6</v>
      </c>
      <c r="AE203" s="52" t="s">
        <v>59</v>
      </c>
      <c r="AF203" s="39" t="s">
        <v>489</v>
      </c>
      <c r="AG203" s="26" t="s">
        <v>1407</v>
      </c>
      <c r="AH203" s="39"/>
      <c r="AI203" s="166" t="s">
        <v>489</v>
      </c>
      <c r="AJ203" s="166" t="s">
        <v>489</v>
      </c>
      <c r="AK203" s="39"/>
      <c r="AL203" s="39"/>
      <c r="AM203" s="39"/>
      <c r="AN203" s="166" t="s">
        <v>489</v>
      </c>
      <c r="AO203" s="166" t="s">
        <v>489</v>
      </c>
      <c r="AP203" s="166" t="s">
        <v>489</v>
      </c>
      <c r="AQ203" s="166" t="s">
        <v>489</v>
      </c>
      <c r="AR203" s="166" t="s">
        <v>489</v>
      </c>
      <c r="AS203" s="166" t="s">
        <v>489</v>
      </c>
      <c r="AT203" s="39"/>
    </row>
    <row r="204" spans="1:46">
      <c r="A204" s="169" t="s">
        <v>304</v>
      </c>
      <c r="B204" s="22">
        <v>12220</v>
      </c>
      <c r="C204" s="43" t="s">
        <v>646</v>
      </c>
      <c r="D204" s="43" t="s">
        <v>647</v>
      </c>
      <c r="E204" s="44" t="s">
        <v>648</v>
      </c>
      <c r="F204" s="43" t="s">
        <v>649</v>
      </c>
      <c r="G204" s="22" t="s">
        <v>650</v>
      </c>
      <c r="H204" s="22">
        <v>1</v>
      </c>
      <c r="I204" s="43" t="s">
        <v>651</v>
      </c>
      <c r="J204" s="22" t="s">
        <v>485</v>
      </c>
      <c r="K204" s="26">
        <v>11</v>
      </c>
      <c r="L204" s="48" t="s">
        <v>61</v>
      </c>
      <c r="M204" s="34">
        <v>2013</v>
      </c>
      <c r="N204" s="43" t="s">
        <v>652</v>
      </c>
      <c r="O204" s="26" t="s">
        <v>61</v>
      </c>
      <c r="P204" s="26" t="s">
        <v>61</v>
      </c>
      <c r="Q204" s="26" t="s">
        <v>61</v>
      </c>
      <c r="R204" s="43" t="s">
        <v>653</v>
      </c>
      <c r="S204" s="22">
        <v>2</v>
      </c>
      <c r="T204" s="22">
        <v>156</v>
      </c>
      <c r="U204" s="22">
        <v>2</v>
      </c>
      <c r="V204" s="48">
        <v>67</v>
      </c>
      <c r="W204" s="48">
        <v>89</v>
      </c>
      <c r="X204" s="48" t="s">
        <v>59</v>
      </c>
      <c r="Y204" s="48" t="s">
        <v>59</v>
      </c>
      <c r="Z204" s="22">
        <v>0</v>
      </c>
      <c r="AA204" s="22">
        <v>0</v>
      </c>
      <c r="AB204" s="22">
        <v>0</v>
      </c>
      <c r="AC204" s="22">
        <v>12</v>
      </c>
      <c r="AD204" s="22">
        <v>12</v>
      </c>
      <c r="AE204" s="43" t="s">
        <v>654</v>
      </c>
      <c r="AF204" s="26" t="s">
        <v>489</v>
      </c>
      <c r="AG204" s="26" t="s">
        <v>1407</v>
      </c>
      <c r="AN204" s="41" t="s">
        <v>489</v>
      </c>
      <c r="AP204" s="41"/>
      <c r="AR204" s="41"/>
    </row>
    <row r="205" spans="1:46">
      <c r="A205" s="172" t="s">
        <v>405</v>
      </c>
      <c r="B205" s="22">
        <v>12239</v>
      </c>
      <c r="C205" s="43" t="s">
        <v>1222</v>
      </c>
      <c r="D205" s="43" t="s">
        <v>1223</v>
      </c>
      <c r="E205" s="44" t="s">
        <v>1224</v>
      </c>
      <c r="F205" s="43" t="s">
        <v>1225</v>
      </c>
      <c r="G205" s="43" t="s">
        <v>61</v>
      </c>
      <c r="H205" s="22">
        <v>0</v>
      </c>
      <c r="I205" s="22" t="s">
        <v>1226</v>
      </c>
      <c r="J205" s="43" t="s">
        <v>2265</v>
      </c>
      <c r="K205" s="48" t="s">
        <v>59</v>
      </c>
      <c r="L205" s="48" t="s">
        <v>59</v>
      </c>
      <c r="M205" s="34">
        <v>2013</v>
      </c>
      <c r="N205" s="22" t="s">
        <v>652</v>
      </c>
      <c r="O205" s="26">
        <v>35.200000000000003</v>
      </c>
      <c r="P205" s="26">
        <v>10.43</v>
      </c>
      <c r="Q205" s="26">
        <v>39</v>
      </c>
      <c r="R205" s="22" t="s">
        <v>1227</v>
      </c>
      <c r="S205" s="22">
        <v>1</v>
      </c>
      <c r="T205" s="22">
        <v>72</v>
      </c>
      <c r="U205" s="22">
        <v>2</v>
      </c>
      <c r="V205" s="26">
        <v>36</v>
      </c>
      <c r="W205" s="26">
        <v>36</v>
      </c>
      <c r="X205" s="48" t="s">
        <v>59</v>
      </c>
      <c r="Y205" s="48" t="s">
        <v>59</v>
      </c>
      <c r="Z205" s="22">
        <v>0</v>
      </c>
      <c r="AA205" s="22">
        <v>0</v>
      </c>
      <c r="AB205" s="49" t="s">
        <v>59</v>
      </c>
      <c r="AC205" s="22">
        <v>6</v>
      </c>
      <c r="AD205" s="22">
        <v>9</v>
      </c>
      <c r="AE205" s="22" t="s">
        <v>59</v>
      </c>
      <c r="AF205" s="26" t="s">
        <v>489</v>
      </c>
      <c r="AG205" s="26" t="s">
        <v>1407</v>
      </c>
      <c r="AN205" s="41" t="s">
        <v>489</v>
      </c>
    </row>
    <row r="206" spans="1:46">
      <c r="A206" s="172" t="s">
        <v>406</v>
      </c>
      <c r="B206" s="22">
        <v>12250</v>
      </c>
      <c r="C206" s="43" t="s">
        <v>1228</v>
      </c>
      <c r="D206" s="43" t="s">
        <v>1229</v>
      </c>
      <c r="E206" s="44" t="s">
        <v>1230</v>
      </c>
      <c r="F206" s="43" t="s">
        <v>1231</v>
      </c>
      <c r="G206" s="43" t="s">
        <v>61</v>
      </c>
      <c r="H206" s="22">
        <v>0</v>
      </c>
      <c r="I206" s="22" t="s">
        <v>1232</v>
      </c>
      <c r="J206" s="43" t="s">
        <v>2265</v>
      </c>
      <c r="K206" s="26" t="s">
        <v>59</v>
      </c>
      <c r="L206" s="48" t="s">
        <v>59</v>
      </c>
      <c r="M206" s="34">
        <v>2011</v>
      </c>
      <c r="N206" s="22" t="s">
        <v>1036</v>
      </c>
      <c r="O206" s="26" t="s">
        <v>61</v>
      </c>
      <c r="P206" s="26" t="s">
        <v>61</v>
      </c>
      <c r="Q206" s="26" t="s">
        <v>61</v>
      </c>
      <c r="R206" s="22" t="s">
        <v>1233</v>
      </c>
      <c r="S206" s="22">
        <v>2</v>
      </c>
      <c r="T206" s="22">
        <v>204</v>
      </c>
      <c r="U206" s="22">
        <v>2</v>
      </c>
      <c r="V206" s="26">
        <v>101</v>
      </c>
      <c r="W206" s="26">
        <v>103</v>
      </c>
      <c r="X206" s="26" t="s">
        <v>59</v>
      </c>
      <c r="Y206" s="26" t="s">
        <v>59</v>
      </c>
      <c r="Z206" s="22">
        <v>0</v>
      </c>
      <c r="AA206" s="22">
        <v>0</v>
      </c>
      <c r="AB206" s="49" t="s">
        <v>59</v>
      </c>
      <c r="AC206" s="22">
        <v>12</v>
      </c>
      <c r="AD206" s="22">
        <v>18</v>
      </c>
      <c r="AE206" s="22" t="s">
        <v>59</v>
      </c>
      <c r="AF206" s="26" t="s">
        <v>489</v>
      </c>
      <c r="AG206" s="26" t="s">
        <v>1407</v>
      </c>
      <c r="AN206" s="41" t="s">
        <v>489</v>
      </c>
      <c r="AO206" s="41" t="s">
        <v>489</v>
      </c>
      <c r="AP206" s="41" t="s">
        <v>489</v>
      </c>
      <c r="AQ206" s="41"/>
    </row>
    <row r="207" spans="1:46">
      <c r="A207" s="169" t="s">
        <v>305</v>
      </c>
      <c r="B207" s="22">
        <v>12290</v>
      </c>
      <c r="C207" s="43" t="s">
        <v>655</v>
      </c>
      <c r="D207" s="43" t="s">
        <v>656</v>
      </c>
      <c r="E207" s="44" t="s">
        <v>657</v>
      </c>
      <c r="F207" s="43" t="s">
        <v>658</v>
      </c>
      <c r="G207" s="43" t="s">
        <v>61</v>
      </c>
      <c r="H207" s="22">
        <v>0</v>
      </c>
      <c r="I207" s="22" t="s">
        <v>659</v>
      </c>
      <c r="J207" s="22" t="s">
        <v>485</v>
      </c>
      <c r="K207" s="26">
        <v>18</v>
      </c>
      <c r="L207" s="48" t="s">
        <v>61</v>
      </c>
      <c r="M207" s="34">
        <v>2000</v>
      </c>
      <c r="N207" s="22" t="s">
        <v>660</v>
      </c>
      <c r="O207" s="26" t="s">
        <v>61</v>
      </c>
      <c r="P207" s="26" t="s">
        <v>61</v>
      </c>
      <c r="Q207" s="26" t="s">
        <v>61</v>
      </c>
      <c r="R207" s="22" t="s">
        <v>661</v>
      </c>
      <c r="S207" s="22">
        <v>3</v>
      </c>
      <c r="T207" s="22">
        <v>456</v>
      </c>
      <c r="U207" s="22">
        <v>2</v>
      </c>
      <c r="V207" s="26">
        <v>227</v>
      </c>
      <c r="W207" s="26">
        <v>229</v>
      </c>
      <c r="X207" s="48" t="s">
        <v>59</v>
      </c>
      <c r="Y207" s="48" t="s">
        <v>59</v>
      </c>
      <c r="Z207" s="22">
        <v>0</v>
      </c>
      <c r="AA207" s="22">
        <v>0</v>
      </c>
      <c r="AB207" s="49">
        <v>0</v>
      </c>
      <c r="AC207" s="22">
        <v>12</v>
      </c>
      <c r="AD207" s="22">
        <v>12</v>
      </c>
      <c r="AE207" s="22" t="s">
        <v>662</v>
      </c>
      <c r="AF207" s="26" t="s">
        <v>489</v>
      </c>
      <c r="AG207" s="26" t="s">
        <v>1407</v>
      </c>
      <c r="AK207" s="41" t="s">
        <v>489</v>
      </c>
      <c r="AL207" s="41" t="s">
        <v>489</v>
      </c>
      <c r="AM207" s="41"/>
      <c r="AN207" s="41" t="s">
        <v>489</v>
      </c>
    </row>
    <row r="208" spans="1:46">
      <c r="A208" s="171" t="s">
        <v>407</v>
      </c>
      <c r="B208" s="22">
        <v>12294</v>
      </c>
      <c r="C208" s="43" t="s">
        <v>1234</v>
      </c>
      <c r="D208" s="43" t="s">
        <v>1235</v>
      </c>
      <c r="E208" s="44" t="s">
        <v>1236</v>
      </c>
      <c r="F208" s="43" t="s">
        <v>1237</v>
      </c>
      <c r="G208" s="43" t="s">
        <v>1238</v>
      </c>
      <c r="H208" s="22">
        <v>0</v>
      </c>
      <c r="I208" s="198" t="s">
        <v>1239</v>
      </c>
      <c r="J208" s="43" t="s">
        <v>2265</v>
      </c>
      <c r="K208" s="48" t="s">
        <v>59</v>
      </c>
      <c r="L208" s="48" t="s">
        <v>59</v>
      </c>
      <c r="M208" s="34">
        <v>2012</v>
      </c>
      <c r="N208" s="22" t="s">
        <v>496</v>
      </c>
      <c r="O208" s="26">
        <v>60</v>
      </c>
      <c r="P208" s="26" t="s">
        <v>61</v>
      </c>
      <c r="Q208" s="26">
        <v>50</v>
      </c>
      <c r="R208" s="22" t="s">
        <v>1240</v>
      </c>
      <c r="S208" s="22">
        <v>2</v>
      </c>
      <c r="T208" s="34">
        <v>141</v>
      </c>
      <c r="U208" s="22">
        <v>4</v>
      </c>
      <c r="V208" s="26">
        <v>32</v>
      </c>
      <c r="W208" s="26">
        <v>35</v>
      </c>
      <c r="X208" s="26">
        <v>36</v>
      </c>
      <c r="Y208" s="26">
        <v>38</v>
      </c>
      <c r="Z208" s="34">
        <v>0</v>
      </c>
      <c r="AA208" s="34">
        <v>0</v>
      </c>
      <c r="AB208" s="49" t="s">
        <v>59</v>
      </c>
      <c r="AC208" s="22">
        <v>6</v>
      </c>
      <c r="AD208" s="22">
        <v>6</v>
      </c>
      <c r="AE208" s="43" t="s">
        <v>59</v>
      </c>
      <c r="AF208" s="48" t="s">
        <v>489</v>
      </c>
      <c r="AG208" s="26" t="s">
        <v>1407</v>
      </c>
      <c r="AN208" s="41" t="s">
        <v>489</v>
      </c>
      <c r="AO208" s="41" t="s">
        <v>489</v>
      </c>
      <c r="AP208" s="41" t="s">
        <v>489</v>
      </c>
      <c r="AQ208" s="41" t="s">
        <v>489</v>
      </c>
    </row>
    <row r="209" spans="1:45">
      <c r="A209" s="172" t="s">
        <v>408</v>
      </c>
      <c r="B209" s="22">
        <v>12297</v>
      </c>
      <c r="C209" s="22" t="s">
        <v>1241</v>
      </c>
      <c r="D209" s="22" t="s">
        <v>1242</v>
      </c>
      <c r="E209" s="44" t="s">
        <v>1243</v>
      </c>
      <c r="F209" s="22" t="s">
        <v>1244</v>
      </c>
      <c r="G209" s="22" t="s">
        <v>61</v>
      </c>
      <c r="H209" s="22">
        <v>0</v>
      </c>
      <c r="I209" s="22" t="s">
        <v>61</v>
      </c>
      <c r="J209" s="43" t="s">
        <v>2265</v>
      </c>
      <c r="K209" s="26" t="s">
        <v>59</v>
      </c>
      <c r="L209" s="48" t="s">
        <v>59</v>
      </c>
      <c r="M209" s="34">
        <v>2009</v>
      </c>
      <c r="N209" s="22" t="s">
        <v>496</v>
      </c>
      <c r="O209" s="26">
        <v>40</v>
      </c>
      <c r="P209" s="26">
        <v>13</v>
      </c>
      <c r="Q209" s="26">
        <v>52</v>
      </c>
      <c r="R209" s="22" t="s">
        <v>1245</v>
      </c>
      <c r="S209" s="22">
        <v>1</v>
      </c>
      <c r="T209" s="22">
        <v>39</v>
      </c>
      <c r="U209" s="22">
        <v>2</v>
      </c>
      <c r="V209" s="26">
        <v>20</v>
      </c>
      <c r="W209" s="26">
        <v>19</v>
      </c>
      <c r="X209" s="48" t="s">
        <v>59</v>
      </c>
      <c r="Y209" s="48" t="s">
        <v>59</v>
      </c>
      <c r="Z209" s="22">
        <v>0</v>
      </c>
      <c r="AA209" s="22">
        <v>0</v>
      </c>
      <c r="AB209" s="34" t="s">
        <v>59</v>
      </c>
      <c r="AC209" s="22">
        <v>7</v>
      </c>
      <c r="AD209" s="22">
        <v>7</v>
      </c>
      <c r="AE209" s="22" t="s">
        <v>59</v>
      </c>
      <c r="AF209" s="48" t="s">
        <v>489</v>
      </c>
      <c r="AG209" s="26" t="s">
        <v>1407</v>
      </c>
      <c r="AN209" s="41" t="s">
        <v>489</v>
      </c>
    </row>
    <row r="210" spans="1:45">
      <c r="A210" s="172" t="s">
        <v>409</v>
      </c>
      <c r="B210" s="22">
        <v>12299</v>
      </c>
      <c r="C210" s="43" t="s">
        <v>1246</v>
      </c>
      <c r="D210" s="43" t="s">
        <v>1247</v>
      </c>
      <c r="E210" s="44" t="s">
        <v>1248</v>
      </c>
      <c r="F210" s="43" t="s">
        <v>1249</v>
      </c>
      <c r="G210" s="43" t="s">
        <v>1250</v>
      </c>
      <c r="H210" s="22">
        <v>0</v>
      </c>
      <c r="I210" s="43" t="s">
        <v>61</v>
      </c>
      <c r="J210" s="43" t="s">
        <v>2265</v>
      </c>
      <c r="K210" s="48" t="s">
        <v>59</v>
      </c>
      <c r="L210" s="26" t="s">
        <v>59</v>
      </c>
      <c r="M210" s="34">
        <v>2009</v>
      </c>
      <c r="N210" s="22" t="s">
        <v>496</v>
      </c>
      <c r="O210" s="26">
        <v>48.46</v>
      </c>
      <c r="P210" s="26">
        <v>9.7899999999999991</v>
      </c>
      <c r="Q210" s="26">
        <v>37.369999999999997</v>
      </c>
      <c r="R210" s="22" t="s">
        <v>1251</v>
      </c>
      <c r="S210" s="22">
        <v>3</v>
      </c>
      <c r="T210" s="22">
        <v>190</v>
      </c>
      <c r="U210" s="22">
        <v>2</v>
      </c>
      <c r="V210" s="26">
        <v>62</v>
      </c>
      <c r="W210" s="26">
        <v>128</v>
      </c>
      <c r="X210" s="48" t="s">
        <v>59</v>
      </c>
      <c r="Y210" s="48" t="s">
        <v>59</v>
      </c>
      <c r="Z210" s="22">
        <v>0</v>
      </c>
      <c r="AA210" s="22">
        <v>0</v>
      </c>
      <c r="AB210" s="49" t="s">
        <v>59</v>
      </c>
      <c r="AC210" s="22">
        <v>12</v>
      </c>
      <c r="AD210" s="22">
        <v>12</v>
      </c>
      <c r="AE210" s="43" t="s">
        <v>59</v>
      </c>
      <c r="AF210" s="48" t="s">
        <v>489</v>
      </c>
      <c r="AG210" s="26" t="s">
        <v>1407</v>
      </c>
      <c r="AN210" s="41" t="s">
        <v>489</v>
      </c>
    </row>
    <row r="211" spans="1:45">
      <c r="A211" s="28" t="s">
        <v>308</v>
      </c>
      <c r="B211" s="22">
        <v>12300</v>
      </c>
      <c r="C211" s="43" t="s">
        <v>663</v>
      </c>
      <c r="D211" s="43" t="s">
        <v>664</v>
      </c>
      <c r="E211" s="44" t="s">
        <v>665</v>
      </c>
      <c r="F211" s="43" t="s">
        <v>666</v>
      </c>
      <c r="G211" s="43" t="s">
        <v>667</v>
      </c>
      <c r="H211" s="22">
        <v>0</v>
      </c>
      <c r="I211" s="22" t="s">
        <v>668</v>
      </c>
      <c r="J211" s="22" t="s">
        <v>485</v>
      </c>
      <c r="K211" s="26">
        <v>59</v>
      </c>
      <c r="L211" s="26" t="s">
        <v>61</v>
      </c>
      <c r="M211" s="34">
        <v>2011</v>
      </c>
      <c r="N211" s="22" t="s">
        <v>652</v>
      </c>
      <c r="O211" s="26">
        <v>62.8</v>
      </c>
      <c r="P211" s="26">
        <v>10.5</v>
      </c>
      <c r="Q211" s="26">
        <v>57</v>
      </c>
      <c r="R211" s="22" t="s">
        <v>669</v>
      </c>
      <c r="S211" s="22">
        <v>2</v>
      </c>
      <c r="T211" s="22">
        <v>473</v>
      </c>
      <c r="U211" s="22">
        <v>2</v>
      </c>
      <c r="V211" s="26">
        <v>237</v>
      </c>
      <c r="W211" s="26">
        <v>236</v>
      </c>
      <c r="X211" s="48" t="s">
        <v>59</v>
      </c>
      <c r="Y211" s="48" t="s">
        <v>59</v>
      </c>
      <c r="Z211" s="22">
        <v>0</v>
      </c>
      <c r="AA211" s="22">
        <v>1</v>
      </c>
      <c r="AB211" s="22">
        <v>0</v>
      </c>
      <c r="AC211" s="22">
        <v>18</v>
      </c>
      <c r="AD211" s="22">
        <v>18</v>
      </c>
      <c r="AE211" s="43" t="s">
        <v>670</v>
      </c>
      <c r="AF211" s="48" t="s">
        <v>489</v>
      </c>
      <c r="AG211" s="26" t="s">
        <v>1407</v>
      </c>
      <c r="AN211" s="41" t="s">
        <v>489</v>
      </c>
      <c r="AO211" s="41" t="s">
        <v>489</v>
      </c>
      <c r="AP211" s="41" t="s">
        <v>489</v>
      </c>
      <c r="AQ211" s="41" t="s">
        <v>489</v>
      </c>
      <c r="AR211" s="41"/>
      <c r="AS211" s="41" t="s">
        <v>489</v>
      </c>
    </row>
    <row r="212" spans="1:45">
      <c r="A212" s="172" t="s">
        <v>410</v>
      </c>
      <c r="B212" s="22">
        <v>12303</v>
      </c>
      <c r="C212" s="43" t="s">
        <v>1252</v>
      </c>
      <c r="D212" s="43" t="s">
        <v>1253</v>
      </c>
      <c r="E212" s="44" t="s">
        <v>1254</v>
      </c>
      <c r="F212" s="43" t="s">
        <v>1255</v>
      </c>
      <c r="G212" s="43" t="s">
        <v>1256</v>
      </c>
      <c r="H212" s="22">
        <v>0</v>
      </c>
      <c r="I212" s="58" t="s">
        <v>1257</v>
      </c>
      <c r="J212" s="43" t="s">
        <v>2265</v>
      </c>
      <c r="K212" s="48" t="s">
        <v>59</v>
      </c>
      <c r="L212" s="26" t="s">
        <v>59</v>
      </c>
      <c r="M212" s="34">
        <v>2013</v>
      </c>
      <c r="N212" s="22" t="s">
        <v>652</v>
      </c>
      <c r="O212" s="26">
        <v>58</v>
      </c>
      <c r="P212" s="26">
        <v>8.6</v>
      </c>
      <c r="Q212" s="26">
        <v>56.3</v>
      </c>
      <c r="R212" s="43" t="s">
        <v>1258</v>
      </c>
      <c r="S212" s="22">
        <v>2</v>
      </c>
      <c r="T212" s="22">
        <v>302</v>
      </c>
      <c r="U212" s="22">
        <v>2</v>
      </c>
      <c r="V212" s="26">
        <v>151</v>
      </c>
      <c r="W212" s="26">
        <v>151</v>
      </c>
      <c r="X212" s="48" t="s">
        <v>59</v>
      </c>
      <c r="Y212" s="48" t="s">
        <v>59</v>
      </c>
      <c r="Z212" s="22">
        <v>0</v>
      </c>
      <c r="AA212" s="22">
        <v>1</v>
      </c>
      <c r="AB212" s="49" t="s">
        <v>59</v>
      </c>
      <c r="AC212" s="22">
        <v>6</v>
      </c>
      <c r="AD212" s="22">
        <v>6</v>
      </c>
      <c r="AE212" s="43" t="s">
        <v>59</v>
      </c>
      <c r="AF212" s="48" t="s">
        <v>489</v>
      </c>
      <c r="AG212" s="26" t="s">
        <v>1407</v>
      </c>
      <c r="AN212" s="41" t="s">
        <v>489</v>
      </c>
    </row>
    <row r="213" spans="1:45">
      <c r="A213" s="28" t="s">
        <v>309</v>
      </c>
      <c r="B213" s="22">
        <v>12327</v>
      </c>
      <c r="C213" s="43" t="s">
        <v>671</v>
      </c>
      <c r="D213" s="43" t="s">
        <v>672</v>
      </c>
      <c r="E213" s="44" t="s">
        <v>673</v>
      </c>
      <c r="F213" s="43" t="s">
        <v>674</v>
      </c>
      <c r="G213" s="43" t="s">
        <v>675</v>
      </c>
      <c r="H213" s="22">
        <v>1</v>
      </c>
      <c r="I213" s="22" t="s">
        <v>676</v>
      </c>
      <c r="J213" s="22" t="s">
        <v>485</v>
      </c>
      <c r="K213" s="26">
        <v>9</v>
      </c>
      <c r="L213" s="26" t="s">
        <v>61</v>
      </c>
      <c r="M213" s="34">
        <v>2013</v>
      </c>
      <c r="N213" s="22" t="s">
        <v>677</v>
      </c>
      <c r="O213" s="26" t="s">
        <v>61</v>
      </c>
      <c r="P213" s="26" t="s">
        <v>61</v>
      </c>
      <c r="Q213" s="26" t="s">
        <v>61</v>
      </c>
      <c r="R213" s="43" t="s">
        <v>678</v>
      </c>
      <c r="S213" s="22">
        <v>2</v>
      </c>
      <c r="T213" s="22">
        <v>1461</v>
      </c>
      <c r="U213" s="22">
        <v>2</v>
      </c>
      <c r="V213" s="48" t="s">
        <v>61</v>
      </c>
      <c r="W213" s="48" t="s">
        <v>61</v>
      </c>
      <c r="X213" s="48" t="s">
        <v>59</v>
      </c>
      <c r="Y213" s="48" t="s">
        <v>59</v>
      </c>
      <c r="Z213" s="22">
        <v>0</v>
      </c>
      <c r="AA213" s="22">
        <v>0</v>
      </c>
      <c r="AB213" s="22">
        <v>0</v>
      </c>
      <c r="AC213" s="22">
        <v>24</v>
      </c>
      <c r="AD213" s="22">
        <v>24</v>
      </c>
      <c r="AE213" s="43" t="s">
        <v>679</v>
      </c>
      <c r="AF213" s="26" t="s">
        <v>489</v>
      </c>
      <c r="AG213" s="26" t="s">
        <v>1407</v>
      </c>
      <c r="AH213" s="41" t="s">
        <v>489</v>
      </c>
      <c r="AI213" s="41" t="s">
        <v>489</v>
      </c>
      <c r="AJ213" s="41" t="s">
        <v>489</v>
      </c>
      <c r="AK213" s="41"/>
      <c r="AL213" s="41"/>
      <c r="AM213" s="41"/>
      <c r="AN213" s="41" t="s">
        <v>489</v>
      </c>
      <c r="AO213" s="41" t="s">
        <v>489</v>
      </c>
      <c r="AP213" s="41" t="s">
        <v>489</v>
      </c>
      <c r="AQ213" s="41" t="s">
        <v>489</v>
      </c>
      <c r="AR213" s="41" t="s">
        <v>489</v>
      </c>
    </row>
    <row r="214" spans="1:45">
      <c r="A214" s="28" t="s">
        <v>311</v>
      </c>
      <c r="B214" s="22">
        <v>12334</v>
      </c>
      <c r="C214" s="22" t="s">
        <v>680</v>
      </c>
      <c r="D214" s="22" t="s">
        <v>681</v>
      </c>
      <c r="E214" s="44" t="s">
        <v>682</v>
      </c>
      <c r="F214" s="22" t="s">
        <v>683</v>
      </c>
      <c r="G214" s="22" t="s">
        <v>684</v>
      </c>
      <c r="H214" s="22">
        <v>0</v>
      </c>
      <c r="I214" s="22" t="s">
        <v>685</v>
      </c>
      <c r="J214" s="22" t="s">
        <v>485</v>
      </c>
      <c r="K214" s="26">
        <v>36</v>
      </c>
      <c r="L214" s="26">
        <v>36</v>
      </c>
      <c r="M214" s="34">
        <v>2013</v>
      </c>
      <c r="N214" s="22" t="s">
        <v>686</v>
      </c>
      <c r="O214" s="26" t="s">
        <v>61</v>
      </c>
      <c r="P214" s="26" t="s">
        <v>61</v>
      </c>
      <c r="Q214" s="26" t="s">
        <v>61</v>
      </c>
      <c r="R214" s="43" t="s">
        <v>687</v>
      </c>
      <c r="S214" s="22">
        <v>2</v>
      </c>
      <c r="T214" s="22">
        <v>468</v>
      </c>
      <c r="U214" s="22">
        <v>4</v>
      </c>
      <c r="V214" s="26">
        <v>117</v>
      </c>
      <c r="W214" s="26">
        <v>117</v>
      </c>
      <c r="X214" s="26">
        <v>117</v>
      </c>
      <c r="Y214" s="26">
        <v>117</v>
      </c>
      <c r="Z214" s="22">
        <v>0</v>
      </c>
      <c r="AA214" s="22">
        <v>0</v>
      </c>
      <c r="AB214" s="22">
        <v>0</v>
      </c>
      <c r="AC214" s="22">
        <v>42</v>
      </c>
      <c r="AD214" s="22">
        <v>42</v>
      </c>
      <c r="AE214" s="22" t="s">
        <v>688</v>
      </c>
      <c r="AF214" s="26" t="s">
        <v>489</v>
      </c>
      <c r="AG214" s="26" t="s">
        <v>1407</v>
      </c>
      <c r="AN214" s="41" t="s">
        <v>489</v>
      </c>
      <c r="AO214" s="41" t="s">
        <v>489</v>
      </c>
    </row>
    <row r="215" spans="1:45">
      <c r="A215" s="172" t="s">
        <v>411</v>
      </c>
      <c r="B215" s="22">
        <v>12341</v>
      </c>
      <c r="C215" s="43" t="s">
        <v>1259</v>
      </c>
      <c r="D215" s="43" t="s">
        <v>1260</v>
      </c>
      <c r="E215" s="44" t="s">
        <v>1261</v>
      </c>
      <c r="F215" s="43" t="s">
        <v>1262</v>
      </c>
      <c r="G215" s="43" t="s">
        <v>61</v>
      </c>
      <c r="H215" s="22">
        <v>0</v>
      </c>
      <c r="I215" s="22" t="s">
        <v>61</v>
      </c>
      <c r="J215" s="43" t="s">
        <v>2265</v>
      </c>
      <c r="K215" s="48" t="s">
        <v>59</v>
      </c>
      <c r="L215" s="26" t="s">
        <v>59</v>
      </c>
      <c r="M215" s="34">
        <v>2012</v>
      </c>
      <c r="N215" s="43" t="s">
        <v>735</v>
      </c>
      <c r="O215" s="26" t="s">
        <v>61</v>
      </c>
      <c r="P215" s="26" t="s">
        <v>61</v>
      </c>
      <c r="Q215" s="26" t="s">
        <v>61</v>
      </c>
      <c r="R215" s="43" t="s">
        <v>1263</v>
      </c>
      <c r="S215" s="22">
        <v>2</v>
      </c>
      <c r="T215" s="22">
        <v>56</v>
      </c>
      <c r="U215" s="22">
        <v>2</v>
      </c>
      <c r="V215" s="26">
        <v>29</v>
      </c>
      <c r="W215" s="26">
        <v>27</v>
      </c>
      <c r="X215" s="48" t="s">
        <v>59</v>
      </c>
      <c r="Y215" s="48" t="s">
        <v>59</v>
      </c>
      <c r="Z215" s="22">
        <v>0</v>
      </c>
      <c r="AA215" s="22">
        <v>0</v>
      </c>
      <c r="AB215" s="49" t="s">
        <v>59</v>
      </c>
      <c r="AC215" s="22">
        <v>10</v>
      </c>
      <c r="AD215" s="22">
        <v>10</v>
      </c>
      <c r="AE215" s="22" t="s">
        <v>59</v>
      </c>
      <c r="AF215" s="26" t="s">
        <v>489</v>
      </c>
      <c r="AG215" s="26" t="s">
        <v>1407</v>
      </c>
      <c r="AN215" s="41" t="s">
        <v>489</v>
      </c>
      <c r="AO215" s="41" t="s">
        <v>489</v>
      </c>
      <c r="AP215" s="41" t="s">
        <v>489</v>
      </c>
    </row>
    <row r="216" spans="1:45">
      <c r="A216" s="171" t="s">
        <v>412</v>
      </c>
      <c r="B216" s="22">
        <v>12342</v>
      </c>
      <c r="C216" s="43" t="s">
        <v>1264</v>
      </c>
      <c r="D216" s="43" t="s">
        <v>1265</v>
      </c>
      <c r="E216" s="44" t="s">
        <v>1266</v>
      </c>
      <c r="F216" s="43" t="s">
        <v>1267</v>
      </c>
      <c r="G216" s="43" t="s">
        <v>61</v>
      </c>
      <c r="H216" s="22">
        <v>0</v>
      </c>
      <c r="I216" s="22" t="s">
        <v>1268</v>
      </c>
      <c r="J216" s="43" t="s">
        <v>2265</v>
      </c>
      <c r="K216" s="48" t="s">
        <v>59</v>
      </c>
      <c r="L216" s="26" t="s">
        <v>59</v>
      </c>
      <c r="M216" s="34">
        <v>2013</v>
      </c>
      <c r="N216" s="22" t="s">
        <v>677</v>
      </c>
      <c r="O216" s="26">
        <v>36.9</v>
      </c>
      <c r="P216" s="26">
        <v>10.5</v>
      </c>
      <c r="Q216" s="26" t="s">
        <v>61</v>
      </c>
      <c r="R216" s="22" t="s">
        <v>1269</v>
      </c>
      <c r="S216" s="22">
        <v>1</v>
      </c>
      <c r="T216" s="22">
        <v>127</v>
      </c>
      <c r="U216" s="22">
        <v>2</v>
      </c>
      <c r="V216" s="26">
        <v>64</v>
      </c>
      <c r="W216" s="26">
        <v>63</v>
      </c>
      <c r="X216" s="48" t="s">
        <v>59</v>
      </c>
      <c r="Y216" s="48" t="s">
        <v>59</v>
      </c>
      <c r="Z216" s="22">
        <v>0</v>
      </c>
      <c r="AA216" s="22">
        <v>0</v>
      </c>
      <c r="AB216" s="49" t="s">
        <v>59</v>
      </c>
      <c r="AC216" s="22">
        <v>6</v>
      </c>
      <c r="AD216" s="22">
        <v>6</v>
      </c>
      <c r="AE216" s="22" t="s">
        <v>59</v>
      </c>
      <c r="AF216" s="26" t="s">
        <v>489</v>
      </c>
      <c r="AG216" s="26" t="s">
        <v>1407</v>
      </c>
      <c r="AN216" s="41" t="s">
        <v>489</v>
      </c>
      <c r="AO216" s="41" t="s">
        <v>489</v>
      </c>
      <c r="AP216" s="41" t="s">
        <v>489</v>
      </c>
      <c r="AQ216" s="41" t="s">
        <v>489</v>
      </c>
    </row>
    <row r="217" spans="1:45">
      <c r="A217" s="171" t="s">
        <v>413</v>
      </c>
      <c r="B217" s="22">
        <v>12348</v>
      </c>
      <c r="C217" s="43" t="s">
        <v>3543</v>
      </c>
      <c r="D217" s="43" t="s">
        <v>1270</v>
      </c>
      <c r="E217" s="44" t="s">
        <v>1271</v>
      </c>
      <c r="F217" s="22" t="s">
        <v>1272</v>
      </c>
      <c r="G217" s="43" t="s">
        <v>61</v>
      </c>
      <c r="H217" s="22">
        <v>0</v>
      </c>
      <c r="I217" s="22" t="s">
        <v>1273</v>
      </c>
      <c r="J217" s="43" t="s">
        <v>2265</v>
      </c>
      <c r="K217" s="48" t="s">
        <v>59</v>
      </c>
      <c r="L217" s="26" t="s">
        <v>59</v>
      </c>
      <c r="M217" s="34">
        <v>2012</v>
      </c>
      <c r="N217" s="22" t="s">
        <v>496</v>
      </c>
      <c r="O217" s="26" t="s">
        <v>61</v>
      </c>
      <c r="P217" s="26" t="s">
        <v>61</v>
      </c>
      <c r="Q217" s="26" t="s">
        <v>61</v>
      </c>
      <c r="R217" s="22" t="s">
        <v>1274</v>
      </c>
      <c r="S217" s="22">
        <v>4</v>
      </c>
      <c r="T217" s="22">
        <v>2135</v>
      </c>
      <c r="U217" s="22">
        <v>2</v>
      </c>
      <c r="V217" s="26">
        <v>706</v>
      </c>
      <c r="W217" s="26">
        <v>1429</v>
      </c>
      <c r="X217" s="48" t="s">
        <v>59</v>
      </c>
      <c r="Y217" s="48" t="s">
        <v>59</v>
      </c>
      <c r="Z217" s="22">
        <v>0</v>
      </c>
      <c r="AA217" s="22">
        <v>0</v>
      </c>
      <c r="AB217" s="49" t="s">
        <v>59</v>
      </c>
      <c r="AC217" s="22">
        <v>12</v>
      </c>
      <c r="AD217" s="22">
        <v>12</v>
      </c>
      <c r="AE217" s="22" t="s">
        <v>59</v>
      </c>
      <c r="AF217" s="236" t="s">
        <v>109</v>
      </c>
      <c r="AG217" s="26" t="s">
        <v>1407</v>
      </c>
      <c r="AJ217" s="194" t="s">
        <v>489</v>
      </c>
      <c r="AK217" s="41" t="s">
        <v>489</v>
      </c>
      <c r="AL217" s="41"/>
      <c r="AM217" s="41" t="s">
        <v>489</v>
      </c>
      <c r="AN217" s="41" t="s">
        <v>489</v>
      </c>
      <c r="AO217" s="41" t="s">
        <v>489</v>
      </c>
      <c r="AP217" s="41" t="s">
        <v>489</v>
      </c>
      <c r="AQ217" s="41" t="s">
        <v>489</v>
      </c>
      <c r="AR217" s="41" t="s">
        <v>489</v>
      </c>
      <c r="AS217" s="41" t="s">
        <v>489</v>
      </c>
    </row>
    <row r="218" spans="1:45">
      <c r="A218" s="171" t="s">
        <v>414</v>
      </c>
      <c r="B218" s="22">
        <v>12352</v>
      </c>
      <c r="C218" s="43" t="s">
        <v>1275</v>
      </c>
      <c r="D218" s="43" t="s">
        <v>1276</v>
      </c>
      <c r="E218" s="44" t="s">
        <v>1277</v>
      </c>
      <c r="F218" s="43" t="s">
        <v>1278</v>
      </c>
      <c r="G218" s="43" t="s">
        <v>1279</v>
      </c>
      <c r="H218" s="22">
        <v>0</v>
      </c>
      <c r="I218" s="198" t="s">
        <v>1280</v>
      </c>
      <c r="J218" s="43" t="s">
        <v>2265</v>
      </c>
      <c r="K218" s="48" t="s">
        <v>59</v>
      </c>
      <c r="L218" s="26" t="s">
        <v>59</v>
      </c>
      <c r="M218" s="34">
        <v>2010</v>
      </c>
      <c r="N218" s="22" t="s">
        <v>496</v>
      </c>
      <c r="O218" s="26" t="s">
        <v>61</v>
      </c>
      <c r="P218" s="26" t="s">
        <v>61</v>
      </c>
      <c r="Q218" s="26" t="s">
        <v>61</v>
      </c>
      <c r="R218" s="22" t="s">
        <v>1281</v>
      </c>
      <c r="S218" s="22">
        <v>2</v>
      </c>
      <c r="T218" s="22">
        <v>545</v>
      </c>
      <c r="U218" s="22">
        <v>2</v>
      </c>
      <c r="V218" s="26">
        <v>271</v>
      </c>
      <c r="W218" s="26">
        <v>274</v>
      </c>
      <c r="X218" s="48" t="s">
        <v>59</v>
      </c>
      <c r="Y218" s="48" t="s">
        <v>59</v>
      </c>
      <c r="Z218" s="22">
        <v>0</v>
      </c>
      <c r="AA218" s="22">
        <v>0</v>
      </c>
      <c r="AB218" s="49" t="s">
        <v>59</v>
      </c>
      <c r="AC218" s="22">
        <v>24</v>
      </c>
      <c r="AD218" s="22">
        <v>24</v>
      </c>
      <c r="AE218" s="22" t="s">
        <v>59</v>
      </c>
      <c r="AF218" s="48" t="s">
        <v>489</v>
      </c>
      <c r="AG218" s="26" t="s">
        <v>1407</v>
      </c>
      <c r="AK218" s="41" t="s">
        <v>489</v>
      </c>
      <c r="AL218" s="41" t="s">
        <v>489</v>
      </c>
      <c r="AM218" s="41" t="s">
        <v>489</v>
      </c>
      <c r="AN218" s="41" t="s">
        <v>489</v>
      </c>
      <c r="AO218" s="41" t="s">
        <v>489</v>
      </c>
      <c r="AP218" s="41" t="s">
        <v>489</v>
      </c>
      <c r="AQ218" s="41" t="s">
        <v>489</v>
      </c>
      <c r="AR218" s="41"/>
    </row>
    <row r="219" spans="1:45">
      <c r="A219" s="171" t="s">
        <v>415</v>
      </c>
      <c r="B219" s="22">
        <v>12356</v>
      </c>
      <c r="C219" s="43" t="s">
        <v>1282</v>
      </c>
      <c r="D219" s="43" t="s">
        <v>1283</v>
      </c>
      <c r="E219" s="44" t="s">
        <v>1284</v>
      </c>
      <c r="F219" s="43" t="s">
        <v>1285</v>
      </c>
      <c r="G219" s="43" t="s">
        <v>61</v>
      </c>
      <c r="H219" s="22">
        <v>1</v>
      </c>
      <c r="I219" s="22" t="s">
        <v>61</v>
      </c>
      <c r="J219" s="43" t="s">
        <v>2265</v>
      </c>
      <c r="K219" s="48" t="s">
        <v>59</v>
      </c>
      <c r="L219" s="26" t="s">
        <v>59</v>
      </c>
      <c r="M219" s="34">
        <v>2007</v>
      </c>
      <c r="N219" s="22" t="s">
        <v>1286</v>
      </c>
      <c r="O219" s="26" t="s">
        <v>61</v>
      </c>
      <c r="P219" s="26" t="s">
        <v>61</v>
      </c>
      <c r="Q219" s="26" t="s">
        <v>61</v>
      </c>
      <c r="R219" s="22" t="s">
        <v>1287</v>
      </c>
      <c r="S219" s="22">
        <v>2</v>
      </c>
      <c r="T219" s="22">
        <v>105</v>
      </c>
      <c r="U219" s="22">
        <v>2</v>
      </c>
      <c r="V219" s="26">
        <v>47</v>
      </c>
      <c r="W219" s="26">
        <v>58</v>
      </c>
      <c r="X219" s="48" t="s">
        <v>59</v>
      </c>
      <c r="Y219" s="48" t="s">
        <v>59</v>
      </c>
      <c r="Z219" s="22">
        <v>0</v>
      </c>
      <c r="AA219" s="22">
        <v>0</v>
      </c>
      <c r="AB219" s="49" t="s">
        <v>59</v>
      </c>
      <c r="AC219" s="22">
        <v>6</v>
      </c>
      <c r="AD219" s="22">
        <v>6</v>
      </c>
      <c r="AE219" s="22" t="s">
        <v>59</v>
      </c>
      <c r="AF219" s="26" t="s">
        <v>489</v>
      </c>
      <c r="AG219" s="26" t="s">
        <v>1407</v>
      </c>
      <c r="AN219" s="41" t="s">
        <v>489</v>
      </c>
      <c r="AO219" s="41" t="s">
        <v>489</v>
      </c>
      <c r="AP219" s="41" t="s">
        <v>489</v>
      </c>
      <c r="AQ219" s="41"/>
    </row>
    <row r="220" spans="1:45">
      <c r="A220" s="171" t="s">
        <v>416</v>
      </c>
      <c r="B220" s="22">
        <v>12383</v>
      </c>
      <c r="C220" s="43" t="s">
        <v>1288</v>
      </c>
      <c r="D220" s="43" t="s">
        <v>1289</v>
      </c>
      <c r="E220" s="44" t="s">
        <v>1290</v>
      </c>
      <c r="F220" s="43" t="s">
        <v>1291</v>
      </c>
      <c r="G220" s="43" t="s">
        <v>1292</v>
      </c>
      <c r="H220" s="22">
        <v>0</v>
      </c>
      <c r="I220" s="22" t="s">
        <v>1293</v>
      </c>
      <c r="J220" s="43" t="s">
        <v>2265</v>
      </c>
      <c r="K220" s="26" t="s">
        <v>59</v>
      </c>
      <c r="L220" s="26" t="s">
        <v>59</v>
      </c>
      <c r="M220" s="34">
        <v>2013</v>
      </c>
      <c r="N220" s="22" t="s">
        <v>496</v>
      </c>
      <c r="O220" s="26" t="s">
        <v>61</v>
      </c>
      <c r="P220" s="26" t="s">
        <v>61</v>
      </c>
      <c r="Q220" s="26">
        <v>28</v>
      </c>
      <c r="R220" s="22" t="s">
        <v>1294</v>
      </c>
      <c r="S220" s="22">
        <v>2</v>
      </c>
      <c r="T220" s="22">
        <v>359</v>
      </c>
      <c r="U220" s="22">
        <v>2</v>
      </c>
      <c r="V220" s="26">
        <v>177</v>
      </c>
      <c r="W220" s="26">
        <v>182</v>
      </c>
      <c r="X220" s="26" t="s">
        <v>59</v>
      </c>
      <c r="Y220" s="26" t="s">
        <v>59</v>
      </c>
      <c r="Z220" s="22">
        <v>0</v>
      </c>
      <c r="AA220" s="22">
        <v>0</v>
      </c>
      <c r="AB220" s="49" t="s">
        <v>59</v>
      </c>
      <c r="AC220" s="22">
        <v>12</v>
      </c>
      <c r="AD220" s="22">
        <v>12</v>
      </c>
      <c r="AE220" s="22" t="s">
        <v>59</v>
      </c>
      <c r="AF220" s="26" t="s">
        <v>489</v>
      </c>
      <c r="AG220" s="26" t="s">
        <v>1407</v>
      </c>
      <c r="AN220" s="41" t="s">
        <v>489</v>
      </c>
      <c r="AO220" s="41" t="s">
        <v>489</v>
      </c>
      <c r="AP220" s="41"/>
      <c r="AQ220" s="41" t="s">
        <v>489</v>
      </c>
    </row>
    <row r="221" spans="1:45">
      <c r="A221" s="28" t="s">
        <v>697</v>
      </c>
      <c r="B221" s="22">
        <v>12388</v>
      </c>
      <c r="C221" s="43" t="s">
        <v>698</v>
      </c>
      <c r="D221" s="43" t="s">
        <v>699</v>
      </c>
      <c r="E221" s="44" t="s">
        <v>700</v>
      </c>
      <c r="F221" s="43" t="s">
        <v>701</v>
      </c>
      <c r="G221" s="43" t="s">
        <v>702</v>
      </c>
      <c r="H221" s="22">
        <v>0</v>
      </c>
      <c r="I221" s="22" t="s">
        <v>703</v>
      </c>
      <c r="J221" s="22" t="s">
        <v>485</v>
      </c>
      <c r="K221" s="26">
        <v>12</v>
      </c>
      <c r="L221" s="26" t="s">
        <v>61</v>
      </c>
      <c r="M221" s="34">
        <v>2011</v>
      </c>
      <c r="N221" s="22" t="s">
        <v>496</v>
      </c>
      <c r="O221" s="26">
        <v>55</v>
      </c>
      <c r="P221" s="26">
        <v>12.7</v>
      </c>
      <c r="Q221" s="26">
        <v>38</v>
      </c>
      <c r="R221" s="22" t="s">
        <v>704</v>
      </c>
      <c r="S221" s="22">
        <v>2</v>
      </c>
      <c r="T221" s="22">
        <v>268</v>
      </c>
      <c r="U221" s="22">
        <v>2</v>
      </c>
      <c r="V221" s="26">
        <v>164</v>
      </c>
      <c r="W221" s="26">
        <v>104</v>
      </c>
      <c r="X221" s="48" t="s">
        <v>59</v>
      </c>
      <c r="Y221" s="48" t="s">
        <v>59</v>
      </c>
      <c r="Z221" s="22">
        <v>0</v>
      </c>
      <c r="AA221" s="22">
        <v>0</v>
      </c>
      <c r="AB221" s="22">
        <v>0</v>
      </c>
      <c r="AC221" s="22">
        <v>12</v>
      </c>
      <c r="AD221" s="22">
        <v>12</v>
      </c>
      <c r="AE221" s="43" t="s">
        <v>705</v>
      </c>
      <c r="AF221" s="26" t="s">
        <v>489</v>
      </c>
      <c r="AG221" s="26" t="s">
        <v>1407</v>
      </c>
      <c r="AN221" s="41" t="s">
        <v>489</v>
      </c>
    </row>
    <row r="222" spans="1:45">
      <c r="A222" s="169" t="s">
        <v>314</v>
      </c>
      <c r="B222" s="22">
        <v>12420</v>
      </c>
      <c r="C222" s="43" t="s">
        <v>706</v>
      </c>
      <c r="D222" s="43" t="s">
        <v>707</v>
      </c>
      <c r="E222" s="44" t="s">
        <v>708</v>
      </c>
      <c r="F222" s="43" t="s">
        <v>709</v>
      </c>
      <c r="G222" s="43" t="s">
        <v>61</v>
      </c>
      <c r="H222" s="22">
        <v>0</v>
      </c>
      <c r="I222" s="22" t="s">
        <v>710</v>
      </c>
      <c r="J222" s="22" t="s">
        <v>485</v>
      </c>
      <c r="K222" s="26">
        <v>20</v>
      </c>
      <c r="L222" s="26">
        <v>20</v>
      </c>
      <c r="M222" s="34">
        <v>2011</v>
      </c>
      <c r="N222" s="22" t="s">
        <v>711</v>
      </c>
      <c r="O222" s="26">
        <v>61.3</v>
      </c>
      <c r="P222" s="26" t="s">
        <v>61</v>
      </c>
      <c r="Q222" s="26">
        <v>51</v>
      </c>
      <c r="R222" s="22" t="s">
        <v>712</v>
      </c>
      <c r="S222" s="22">
        <v>2</v>
      </c>
      <c r="T222" s="22">
        <v>193</v>
      </c>
      <c r="U222" s="22">
        <v>2</v>
      </c>
      <c r="V222" s="26">
        <v>93</v>
      </c>
      <c r="W222" s="26">
        <v>100</v>
      </c>
      <c r="X222" s="26" t="s">
        <v>59</v>
      </c>
      <c r="Y222" s="26" t="s">
        <v>59</v>
      </c>
      <c r="Z222" s="22">
        <v>1</v>
      </c>
      <c r="AA222" s="22">
        <v>0</v>
      </c>
      <c r="AB222" s="22">
        <v>0</v>
      </c>
      <c r="AC222" s="22">
        <v>6</v>
      </c>
      <c r="AD222" s="22">
        <v>6</v>
      </c>
      <c r="AE222" s="43" t="s">
        <v>713</v>
      </c>
      <c r="AF222" s="48" t="s">
        <v>489</v>
      </c>
      <c r="AG222" s="26" t="s">
        <v>1407</v>
      </c>
      <c r="AN222" s="41" t="s">
        <v>489</v>
      </c>
      <c r="AO222" s="41" t="s">
        <v>489</v>
      </c>
      <c r="AP222" s="41" t="s">
        <v>489</v>
      </c>
      <c r="AQ222" s="41" t="s">
        <v>489</v>
      </c>
    </row>
    <row r="223" spans="1:45">
      <c r="A223" s="28" t="s">
        <v>316</v>
      </c>
      <c r="B223" s="22">
        <v>12431</v>
      </c>
      <c r="C223" s="22" t="s">
        <v>714</v>
      </c>
      <c r="D223" s="22" t="s">
        <v>715</v>
      </c>
      <c r="E223" s="44" t="s">
        <v>716</v>
      </c>
      <c r="F223" s="22" t="s">
        <v>717</v>
      </c>
      <c r="G223" s="43" t="s">
        <v>61</v>
      </c>
      <c r="H223" s="22">
        <v>0</v>
      </c>
      <c r="I223" s="22" t="s">
        <v>718</v>
      </c>
      <c r="J223" s="22" t="s">
        <v>485</v>
      </c>
      <c r="K223" s="26">
        <v>58</v>
      </c>
      <c r="L223" s="48">
        <v>58</v>
      </c>
      <c r="M223" s="34">
        <v>2008</v>
      </c>
      <c r="N223" s="43" t="s">
        <v>719</v>
      </c>
      <c r="O223" s="26" t="s">
        <v>61</v>
      </c>
      <c r="P223" s="26" t="s">
        <v>61</v>
      </c>
      <c r="Q223" s="26" t="s">
        <v>61</v>
      </c>
      <c r="R223" s="43" t="s">
        <v>720</v>
      </c>
      <c r="S223" s="22">
        <v>2</v>
      </c>
      <c r="T223" s="22">
        <v>940</v>
      </c>
      <c r="U223" s="22">
        <v>2</v>
      </c>
      <c r="V223" s="26">
        <v>518</v>
      </c>
      <c r="W223" s="26">
        <v>422</v>
      </c>
      <c r="X223" s="48" t="s">
        <v>59</v>
      </c>
      <c r="Y223" s="48" t="s">
        <v>59</v>
      </c>
      <c r="Z223" s="22">
        <v>0</v>
      </c>
      <c r="AA223" s="22">
        <v>0</v>
      </c>
      <c r="AB223" s="22">
        <v>0</v>
      </c>
      <c r="AC223" s="22">
        <v>14</v>
      </c>
      <c r="AD223" s="22">
        <v>14</v>
      </c>
      <c r="AE223" s="43" t="s">
        <v>721</v>
      </c>
      <c r="AF223" s="48" t="s">
        <v>489</v>
      </c>
      <c r="AG223" s="26" t="s">
        <v>1407</v>
      </c>
      <c r="AK223" s="41" t="s">
        <v>489</v>
      </c>
      <c r="AL223" s="41" t="s">
        <v>489</v>
      </c>
      <c r="AM223" s="41" t="s">
        <v>489</v>
      </c>
      <c r="AN223" s="41" t="s">
        <v>489</v>
      </c>
      <c r="AO223" s="41" t="s">
        <v>489</v>
      </c>
      <c r="AP223" s="41" t="s">
        <v>489</v>
      </c>
      <c r="AQ223" s="41" t="s">
        <v>489</v>
      </c>
    </row>
    <row r="224" spans="1:45">
      <c r="A224" s="172" t="s">
        <v>418</v>
      </c>
      <c r="B224" s="22">
        <v>12433</v>
      </c>
      <c r="C224" s="22" t="s">
        <v>1301</v>
      </c>
      <c r="D224" s="22" t="s">
        <v>1302</v>
      </c>
      <c r="E224" s="44" t="s">
        <v>1303</v>
      </c>
      <c r="F224" s="22" t="s">
        <v>1304</v>
      </c>
      <c r="G224" s="22" t="s">
        <v>61</v>
      </c>
      <c r="H224" s="22">
        <v>0</v>
      </c>
      <c r="I224" s="22" t="s">
        <v>61</v>
      </c>
      <c r="J224" s="43" t="s">
        <v>2265</v>
      </c>
      <c r="K224" s="48" t="s">
        <v>59</v>
      </c>
      <c r="L224" s="26" t="s">
        <v>59</v>
      </c>
      <c r="M224" s="34">
        <v>2013</v>
      </c>
      <c r="N224" s="22" t="s">
        <v>1305</v>
      </c>
      <c r="O224" s="26">
        <v>62</v>
      </c>
      <c r="P224" s="26">
        <v>9</v>
      </c>
      <c r="Q224" s="26">
        <v>69</v>
      </c>
      <c r="R224" s="43" t="s">
        <v>1306</v>
      </c>
      <c r="S224" s="22">
        <v>2</v>
      </c>
      <c r="T224" s="22">
        <v>92</v>
      </c>
      <c r="U224" s="22">
        <v>2</v>
      </c>
      <c r="V224" s="26">
        <v>32</v>
      </c>
      <c r="W224" s="26">
        <v>60</v>
      </c>
      <c r="X224" s="48" t="s">
        <v>59</v>
      </c>
      <c r="Y224" s="48" t="s">
        <v>59</v>
      </c>
      <c r="Z224" s="22">
        <v>0</v>
      </c>
      <c r="AA224" s="22">
        <v>0</v>
      </c>
      <c r="AB224" s="49" t="s">
        <v>59</v>
      </c>
      <c r="AC224" s="22">
        <v>6</v>
      </c>
      <c r="AD224" s="22">
        <v>12</v>
      </c>
      <c r="AE224" s="43" t="s">
        <v>59</v>
      </c>
      <c r="AF224" s="48" t="s">
        <v>489</v>
      </c>
      <c r="AG224" s="26" t="s">
        <v>1407</v>
      </c>
      <c r="AN224" s="41" t="s">
        <v>489</v>
      </c>
      <c r="AO224" s="41" t="s">
        <v>489</v>
      </c>
      <c r="AQ224" s="41" t="s">
        <v>489</v>
      </c>
    </row>
    <row r="225" spans="1:46">
      <c r="A225" s="172" t="s">
        <v>419</v>
      </c>
      <c r="B225" s="22">
        <v>12443</v>
      </c>
      <c r="C225" s="22" t="s">
        <v>1307</v>
      </c>
      <c r="D225" s="22" t="s">
        <v>1308</v>
      </c>
      <c r="E225" s="44" t="s">
        <v>1309</v>
      </c>
      <c r="F225" s="22" t="s">
        <v>1310</v>
      </c>
      <c r="G225" s="22" t="s">
        <v>1311</v>
      </c>
      <c r="H225" s="22">
        <v>0</v>
      </c>
      <c r="I225" s="22" t="s">
        <v>1312</v>
      </c>
      <c r="J225" s="43" t="s">
        <v>2265</v>
      </c>
      <c r="K225" s="48" t="s">
        <v>59</v>
      </c>
      <c r="L225" s="26" t="s">
        <v>59</v>
      </c>
      <c r="M225" s="34">
        <v>2011</v>
      </c>
      <c r="N225" s="22" t="s">
        <v>496</v>
      </c>
      <c r="O225" s="26">
        <v>48.2</v>
      </c>
      <c r="P225" s="26">
        <v>12</v>
      </c>
      <c r="Q225" s="26">
        <v>56.1</v>
      </c>
      <c r="R225" s="43" t="s">
        <v>1313</v>
      </c>
      <c r="S225" s="22">
        <v>3</v>
      </c>
      <c r="T225" s="22">
        <v>98</v>
      </c>
      <c r="U225" s="22">
        <v>2</v>
      </c>
      <c r="V225" s="26">
        <v>49</v>
      </c>
      <c r="W225" s="26">
        <v>49</v>
      </c>
      <c r="X225" s="48" t="s">
        <v>59</v>
      </c>
      <c r="Y225" s="48" t="s">
        <v>59</v>
      </c>
      <c r="Z225" s="22">
        <v>0</v>
      </c>
      <c r="AA225" s="22">
        <v>0</v>
      </c>
      <c r="AB225" s="49" t="s">
        <v>59</v>
      </c>
      <c r="AC225" s="22">
        <v>12</v>
      </c>
      <c r="AD225" s="22">
        <v>12</v>
      </c>
      <c r="AE225" s="43" t="s">
        <v>59</v>
      </c>
      <c r="AF225" s="48" t="s">
        <v>489</v>
      </c>
      <c r="AG225" s="26" t="s">
        <v>1407</v>
      </c>
      <c r="AN225" s="41" t="s">
        <v>489</v>
      </c>
      <c r="AO225" s="41" t="s">
        <v>489</v>
      </c>
      <c r="AP225" s="41" t="s">
        <v>489</v>
      </c>
      <c r="AQ225" s="41" t="s">
        <v>489</v>
      </c>
      <c r="AR225" s="41"/>
      <c r="AS225" s="41"/>
      <c r="AT225" s="41" t="s">
        <v>489</v>
      </c>
    </row>
    <row r="226" spans="1:46">
      <c r="A226" s="172" t="s">
        <v>420</v>
      </c>
      <c r="B226" s="22">
        <v>12459</v>
      </c>
      <c r="C226" s="22" t="s">
        <v>1314</v>
      </c>
      <c r="D226" s="22" t="s">
        <v>1315</v>
      </c>
      <c r="E226" s="44" t="s">
        <v>1316</v>
      </c>
      <c r="F226" s="22" t="s">
        <v>1317</v>
      </c>
      <c r="G226" s="22" t="s">
        <v>1318</v>
      </c>
      <c r="H226" s="22">
        <v>0</v>
      </c>
      <c r="I226" s="22" t="s">
        <v>1319</v>
      </c>
      <c r="J226" s="43" t="s">
        <v>2265</v>
      </c>
      <c r="K226" s="48" t="s">
        <v>59</v>
      </c>
      <c r="L226" s="26" t="s">
        <v>59</v>
      </c>
      <c r="M226" s="34">
        <v>2010</v>
      </c>
      <c r="N226" s="22" t="s">
        <v>496</v>
      </c>
      <c r="O226" s="48" t="s">
        <v>61</v>
      </c>
      <c r="P226" s="48" t="s">
        <v>61</v>
      </c>
      <c r="Q226" s="26" t="s">
        <v>61</v>
      </c>
      <c r="R226" s="43" t="s">
        <v>1320</v>
      </c>
      <c r="S226" s="22">
        <v>2</v>
      </c>
      <c r="T226" s="22">
        <v>415</v>
      </c>
      <c r="U226" s="22">
        <v>2</v>
      </c>
      <c r="V226" s="26">
        <v>213</v>
      </c>
      <c r="W226" s="26">
        <v>202</v>
      </c>
      <c r="X226" s="48" t="s">
        <v>59</v>
      </c>
      <c r="Y226" s="48" t="s">
        <v>59</v>
      </c>
      <c r="Z226" s="22">
        <v>0</v>
      </c>
      <c r="AA226" s="22">
        <v>1</v>
      </c>
      <c r="AB226" s="49" t="s">
        <v>59</v>
      </c>
      <c r="AC226" s="22">
        <v>12</v>
      </c>
      <c r="AD226" s="22">
        <v>12</v>
      </c>
      <c r="AE226" s="43" t="s">
        <v>59</v>
      </c>
      <c r="AF226" s="236" t="s">
        <v>109</v>
      </c>
      <c r="AG226" s="26" t="s">
        <v>1407</v>
      </c>
      <c r="AN226" s="41" t="s">
        <v>489</v>
      </c>
      <c r="AO226" s="41" t="s">
        <v>489</v>
      </c>
      <c r="AP226" s="41" t="s">
        <v>489</v>
      </c>
      <c r="AQ226" s="41" t="s">
        <v>489</v>
      </c>
    </row>
    <row r="227" spans="1:46">
      <c r="A227" s="172" t="s">
        <v>421</v>
      </c>
      <c r="B227" s="22">
        <v>12481</v>
      </c>
      <c r="C227" s="43" t="s">
        <v>1321</v>
      </c>
      <c r="D227" s="43" t="s">
        <v>1322</v>
      </c>
      <c r="E227" s="44" t="s">
        <v>1323</v>
      </c>
      <c r="F227" s="43" t="s">
        <v>1324</v>
      </c>
      <c r="G227" s="43" t="s">
        <v>61</v>
      </c>
      <c r="H227" s="22">
        <v>0</v>
      </c>
      <c r="I227" s="22" t="s">
        <v>1325</v>
      </c>
      <c r="J227" s="43" t="s">
        <v>2265</v>
      </c>
      <c r="K227" s="48" t="s">
        <v>59</v>
      </c>
      <c r="L227" s="26" t="s">
        <v>59</v>
      </c>
      <c r="M227" s="34">
        <v>2009</v>
      </c>
      <c r="N227" s="22" t="s">
        <v>1203</v>
      </c>
      <c r="O227" s="48" t="s">
        <v>61</v>
      </c>
      <c r="P227" s="48" t="s">
        <v>61</v>
      </c>
      <c r="Q227" s="48" t="s">
        <v>61</v>
      </c>
      <c r="R227" s="43" t="s">
        <v>1326</v>
      </c>
      <c r="S227" s="22">
        <v>2</v>
      </c>
      <c r="T227" s="22">
        <v>150</v>
      </c>
      <c r="U227" s="22">
        <v>2</v>
      </c>
      <c r="V227" s="26">
        <v>75</v>
      </c>
      <c r="W227" s="26">
        <v>75</v>
      </c>
      <c r="X227" s="48" t="s">
        <v>59</v>
      </c>
      <c r="Y227" s="48" t="s">
        <v>59</v>
      </c>
      <c r="Z227" s="22">
        <v>0</v>
      </c>
      <c r="AA227" s="22">
        <v>0</v>
      </c>
      <c r="AB227" s="49" t="s">
        <v>59</v>
      </c>
      <c r="AC227" s="22">
        <v>84</v>
      </c>
      <c r="AD227" s="22">
        <v>84</v>
      </c>
      <c r="AE227" s="43" t="s">
        <v>59</v>
      </c>
      <c r="AF227" s="236" t="s">
        <v>109</v>
      </c>
      <c r="AG227" s="26" t="s">
        <v>1407</v>
      </c>
      <c r="AN227" s="41" t="s">
        <v>489</v>
      </c>
      <c r="AO227" s="41" t="s">
        <v>489</v>
      </c>
      <c r="AP227" s="41" t="s">
        <v>489</v>
      </c>
      <c r="AQ227" s="41" t="s">
        <v>489</v>
      </c>
    </row>
    <row r="228" spans="1:46">
      <c r="A228" s="171" t="s">
        <v>422</v>
      </c>
      <c r="B228" s="22">
        <v>12509</v>
      </c>
      <c r="C228" s="22" t="s">
        <v>1327</v>
      </c>
      <c r="D228" s="22" t="s">
        <v>1328</v>
      </c>
      <c r="E228" s="44" t="s">
        <v>1329</v>
      </c>
      <c r="F228" s="22" t="s">
        <v>1330</v>
      </c>
      <c r="G228" s="22" t="s">
        <v>61</v>
      </c>
      <c r="H228" s="22">
        <v>1</v>
      </c>
      <c r="I228" s="22" t="s">
        <v>61</v>
      </c>
      <c r="J228" s="43" t="s">
        <v>2265</v>
      </c>
      <c r="K228" s="48" t="s">
        <v>59</v>
      </c>
      <c r="L228" s="48" t="s">
        <v>59</v>
      </c>
      <c r="M228" s="34">
        <v>2012</v>
      </c>
      <c r="N228" s="22" t="s">
        <v>936</v>
      </c>
      <c r="O228" s="26">
        <v>58</v>
      </c>
      <c r="P228" s="26">
        <v>11</v>
      </c>
      <c r="Q228" s="26">
        <v>71</v>
      </c>
      <c r="R228" s="43" t="s">
        <v>1331</v>
      </c>
      <c r="S228" s="22">
        <v>2</v>
      </c>
      <c r="T228" s="22">
        <v>17</v>
      </c>
      <c r="U228" s="22">
        <v>2</v>
      </c>
      <c r="V228" s="26">
        <v>9</v>
      </c>
      <c r="W228" s="26">
        <v>8</v>
      </c>
      <c r="X228" s="48" t="s">
        <v>59</v>
      </c>
      <c r="Y228" s="48" t="s">
        <v>59</v>
      </c>
      <c r="Z228" s="22">
        <v>0</v>
      </c>
      <c r="AA228" s="22">
        <v>0</v>
      </c>
      <c r="AB228" s="49" t="s">
        <v>59</v>
      </c>
      <c r="AC228" s="22">
        <v>12</v>
      </c>
      <c r="AD228" s="22">
        <v>12</v>
      </c>
      <c r="AE228" s="43" t="s">
        <v>59</v>
      </c>
      <c r="AF228" s="236" t="s">
        <v>109</v>
      </c>
      <c r="AG228" s="26" t="s">
        <v>1407</v>
      </c>
      <c r="AN228" s="41" t="s">
        <v>489</v>
      </c>
      <c r="AO228" s="41"/>
      <c r="AP228" s="41"/>
      <c r="AQ228" s="41"/>
      <c r="AR228" s="41"/>
      <c r="AS228" s="41"/>
      <c r="AT228" s="41" t="s">
        <v>489</v>
      </c>
    </row>
    <row r="229" spans="1:46">
      <c r="A229" s="171" t="s">
        <v>423</v>
      </c>
      <c r="B229" s="22">
        <v>12511</v>
      </c>
      <c r="C229" s="43" t="s">
        <v>1332</v>
      </c>
      <c r="D229" s="43" t="s">
        <v>1333</v>
      </c>
      <c r="E229" s="44" t="s">
        <v>1334</v>
      </c>
      <c r="F229" s="22" t="s">
        <v>1335</v>
      </c>
      <c r="G229" s="22" t="s">
        <v>61</v>
      </c>
      <c r="H229" s="22">
        <v>0</v>
      </c>
      <c r="I229" s="22" t="s">
        <v>1336</v>
      </c>
      <c r="J229" s="43" t="s">
        <v>2265</v>
      </c>
      <c r="K229" s="48" t="s">
        <v>59</v>
      </c>
      <c r="L229" s="26" t="s">
        <v>59</v>
      </c>
      <c r="M229" s="34">
        <v>2011</v>
      </c>
      <c r="N229" s="22" t="s">
        <v>496</v>
      </c>
      <c r="O229" s="26">
        <v>75</v>
      </c>
      <c r="P229" s="26">
        <v>5</v>
      </c>
      <c r="Q229" s="26">
        <v>46</v>
      </c>
      <c r="R229" s="43" t="s">
        <v>1337</v>
      </c>
      <c r="S229" s="22">
        <v>3</v>
      </c>
      <c r="T229" s="22">
        <v>100</v>
      </c>
      <c r="U229" s="22">
        <v>2</v>
      </c>
      <c r="V229" s="26">
        <v>30</v>
      </c>
      <c r="W229" s="26">
        <v>70</v>
      </c>
      <c r="X229" s="48" t="s">
        <v>59</v>
      </c>
      <c r="Y229" s="48" t="s">
        <v>59</v>
      </c>
      <c r="Z229" s="22">
        <v>0</v>
      </c>
      <c r="AA229" s="22">
        <v>0</v>
      </c>
      <c r="AB229" s="49" t="s">
        <v>59</v>
      </c>
      <c r="AC229" s="22">
        <v>6</v>
      </c>
      <c r="AD229" s="22">
        <v>12</v>
      </c>
      <c r="AE229" s="43" t="s">
        <v>59</v>
      </c>
      <c r="AF229" s="236" t="s">
        <v>109</v>
      </c>
      <c r="AG229" s="26" t="s">
        <v>1407</v>
      </c>
      <c r="AN229" s="41" t="s">
        <v>489</v>
      </c>
    </row>
    <row r="230" spans="1:46">
      <c r="A230" s="172" t="s">
        <v>424</v>
      </c>
      <c r="B230" s="22">
        <v>12551</v>
      </c>
      <c r="C230" s="43" t="s">
        <v>1338</v>
      </c>
      <c r="D230" s="43" t="s">
        <v>1339</v>
      </c>
      <c r="E230" s="44" t="s">
        <v>1340</v>
      </c>
      <c r="F230" s="44" t="s">
        <v>1341</v>
      </c>
      <c r="G230" s="44" t="s">
        <v>61</v>
      </c>
      <c r="H230" s="22">
        <v>0</v>
      </c>
      <c r="I230" s="22" t="s">
        <v>61</v>
      </c>
      <c r="J230" s="43" t="s">
        <v>2265</v>
      </c>
      <c r="K230" s="48" t="s">
        <v>59</v>
      </c>
      <c r="L230" s="48" t="s">
        <v>59</v>
      </c>
      <c r="M230" s="34">
        <v>2012</v>
      </c>
      <c r="N230" s="22" t="s">
        <v>879</v>
      </c>
      <c r="O230" s="26">
        <v>23.35</v>
      </c>
      <c r="P230" s="26" t="s">
        <v>61</v>
      </c>
      <c r="Q230" s="26">
        <v>43</v>
      </c>
      <c r="R230" s="43" t="s">
        <v>1342</v>
      </c>
      <c r="S230" s="22">
        <v>3</v>
      </c>
      <c r="T230" s="22">
        <v>52</v>
      </c>
      <c r="U230" s="22">
        <v>2</v>
      </c>
      <c r="V230" s="26">
        <v>26</v>
      </c>
      <c r="W230" s="26">
        <v>26</v>
      </c>
      <c r="X230" s="48" t="s">
        <v>59</v>
      </c>
      <c r="Y230" s="48" t="s">
        <v>59</v>
      </c>
      <c r="Z230" s="22">
        <v>0</v>
      </c>
      <c r="AA230" s="22">
        <v>1</v>
      </c>
      <c r="AB230" s="49" t="s">
        <v>59</v>
      </c>
      <c r="AC230" s="22">
        <v>3</v>
      </c>
      <c r="AD230" s="22">
        <v>3</v>
      </c>
      <c r="AE230" s="43" t="s">
        <v>59</v>
      </c>
      <c r="AF230" s="236" t="s">
        <v>109</v>
      </c>
      <c r="AG230" s="26" t="s">
        <v>1407</v>
      </c>
      <c r="AN230" s="41" t="s">
        <v>489</v>
      </c>
      <c r="AQ230" s="41" t="s">
        <v>489</v>
      </c>
    </row>
    <row r="231" spans="1:46">
      <c r="A231" s="169" t="s">
        <v>318</v>
      </c>
      <c r="B231" s="22">
        <v>12576</v>
      </c>
      <c r="C231" s="43" t="s">
        <v>722</v>
      </c>
      <c r="D231" s="43" t="s">
        <v>723</v>
      </c>
      <c r="E231" s="44" t="s">
        <v>724</v>
      </c>
      <c r="F231" s="44" t="s">
        <v>725</v>
      </c>
      <c r="G231" s="44" t="s">
        <v>61</v>
      </c>
      <c r="H231" s="22">
        <v>0</v>
      </c>
      <c r="I231" s="22" t="s">
        <v>61</v>
      </c>
      <c r="J231" s="22" t="s">
        <v>485</v>
      </c>
      <c r="K231" s="26">
        <v>21</v>
      </c>
      <c r="L231" s="26">
        <v>21</v>
      </c>
      <c r="M231" s="49">
        <v>2012</v>
      </c>
      <c r="N231" s="22" t="s">
        <v>496</v>
      </c>
      <c r="O231" s="48" t="s">
        <v>61</v>
      </c>
      <c r="P231" s="26" t="s">
        <v>61</v>
      </c>
      <c r="Q231" s="26">
        <v>47.8</v>
      </c>
      <c r="R231" s="43" t="s">
        <v>726</v>
      </c>
      <c r="S231" s="22">
        <v>2</v>
      </c>
      <c r="T231" s="22">
        <v>914</v>
      </c>
      <c r="U231" s="22">
        <v>3</v>
      </c>
      <c r="V231" s="26">
        <v>350</v>
      </c>
      <c r="W231" s="26">
        <v>294</v>
      </c>
      <c r="X231" s="48">
        <v>270</v>
      </c>
      <c r="Y231" s="48" t="s">
        <v>59</v>
      </c>
      <c r="Z231" s="22">
        <v>0</v>
      </c>
      <c r="AA231" s="22">
        <v>0</v>
      </c>
      <c r="AB231" s="22">
        <v>0</v>
      </c>
      <c r="AC231" s="22">
        <v>2</v>
      </c>
      <c r="AD231" s="22">
        <v>5</v>
      </c>
      <c r="AE231" s="43" t="s">
        <v>727</v>
      </c>
      <c r="AF231" s="236" t="s">
        <v>109</v>
      </c>
      <c r="AG231" s="26" t="s">
        <v>1407</v>
      </c>
      <c r="AN231" s="41" t="s">
        <v>489</v>
      </c>
      <c r="AQ231" s="41" t="s">
        <v>489</v>
      </c>
    </row>
    <row r="232" spans="1:46">
      <c r="A232" s="171" t="s">
        <v>426</v>
      </c>
      <c r="B232" s="22">
        <v>12590</v>
      </c>
      <c r="C232" s="43" t="s">
        <v>1343</v>
      </c>
      <c r="D232" s="43" t="s">
        <v>1344</v>
      </c>
      <c r="E232" s="44" t="s">
        <v>1345</v>
      </c>
      <c r="F232" s="44" t="s">
        <v>1346</v>
      </c>
      <c r="G232" s="44" t="s">
        <v>61</v>
      </c>
      <c r="H232" s="22">
        <v>0</v>
      </c>
      <c r="I232" s="22" t="s">
        <v>61</v>
      </c>
      <c r="J232" s="43" t="s">
        <v>2265</v>
      </c>
      <c r="K232" s="48" t="s">
        <v>59</v>
      </c>
      <c r="L232" s="48" t="s">
        <v>59</v>
      </c>
      <c r="M232" s="49">
        <v>2007</v>
      </c>
      <c r="N232" s="22" t="s">
        <v>496</v>
      </c>
      <c r="O232" s="26" t="s">
        <v>61</v>
      </c>
      <c r="P232" s="26" t="s">
        <v>61</v>
      </c>
      <c r="Q232" s="26" t="s">
        <v>61</v>
      </c>
      <c r="R232" s="43" t="s">
        <v>1347</v>
      </c>
      <c r="S232" s="22">
        <v>4</v>
      </c>
      <c r="T232" s="22">
        <v>65</v>
      </c>
      <c r="U232" s="22">
        <v>2</v>
      </c>
      <c r="V232" s="26">
        <v>27</v>
      </c>
      <c r="W232" s="26">
        <v>38</v>
      </c>
      <c r="X232" s="48" t="s">
        <v>59</v>
      </c>
      <c r="Y232" s="48" t="s">
        <v>59</v>
      </c>
      <c r="Z232" s="22">
        <v>0</v>
      </c>
      <c r="AA232" s="22">
        <v>0</v>
      </c>
      <c r="AB232" s="49" t="s">
        <v>59</v>
      </c>
      <c r="AC232" s="22">
        <v>9</v>
      </c>
      <c r="AD232" s="22">
        <v>9</v>
      </c>
      <c r="AE232" s="43" t="s">
        <v>59</v>
      </c>
      <c r="AF232" s="236" t="s">
        <v>109</v>
      </c>
      <c r="AG232" s="26" t="s">
        <v>1407</v>
      </c>
      <c r="AN232" s="41" t="s">
        <v>489</v>
      </c>
      <c r="AO232" s="41" t="s">
        <v>489</v>
      </c>
      <c r="AP232" s="41" t="s">
        <v>489</v>
      </c>
      <c r="AQ232" s="41" t="s">
        <v>489</v>
      </c>
      <c r="AR232" s="41" t="s">
        <v>489</v>
      </c>
    </row>
    <row r="233" spans="1:46">
      <c r="A233" s="169" t="s">
        <v>319</v>
      </c>
      <c r="B233" s="22">
        <v>12624</v>
      </c>
      <c r="C233" s="43" t="s">
        <v>738</v>
      </c>
      <c r="D233" s="43" t="s">
        <v>739</v>
      </c>
      <c r="E233" s="44" t="s">
        <v>740</v>
      </c>
      <c r="F233" s="44" t="s">
        <v>741</v>
      </c>
      <c r="G233" s="44" t="s">
        <v>61</v>
      </c>
      <c r="H233" s="22">
        <v>0</v>
      </c>
      <c r="I233" s="22" t="s">
        <v>61</v>
      </c>
      <c r="J233" s="22" t="s">
        <v>485</v>
      </c>
      <c r="K233" s="26">
        <v>14</v>
      </c>
      <c r="L233" s="26">
        <v>66</v>
      </c>
      <c r="M233" s="34">
        <v>2012</v>
      </c>
      <c r="N233" s="22" t="s">
        <v>694</v>
      </c>
      <c r="O233" s="26" t="s">
        <v>61</v>
      </c>
      <c r="P233" s="26" t="s">
        <v>61</v>
      </c>
      <c r="Q233" s="26" t="s">
        <v>61</v>
      </c>
      <c r="R233" s="43" t="s">
        <v>742</v>
      </c>
      <c r="S233" s="22">
        <v>2</v>
      </c>
      <c r="T233" s="22">
        <v>697</v>
      </c>
      <c r="U233" s="22">
        <v>2</v>
      </c>
      <c r="V233" s="211">
        <v>332</v>
      </c>
      <c r="W233" s="26">
        <v>365</v>
      </c>
      <c r="X233" s="48" t="s">
        <v>59</v>
      </c>
      <c r="Y233" s="48" t="s">
        <v>59</v>
      </c>
      <c r="Z233" s="22">
        <v>0</v>
      </c>
      <c r="AA233" s="22">
        <v>0</v>
      </c>
      <c r="AB233" s="49">
        <v>0</v>
      </c>
      <c r="AC233" s="22">
        <v>18</v>
      </c>
      <c r="AD233" s="22">
        <v>18</v>
      </c>
      <c r="AE233" s="43" t="s">
        <v>743</v>
      </c>
      <c r="AF233" s="236" t="s">
        <v>109</v>
      </c>
      <c r="AG233" s="26" t="s">
        <v>1407</v>
      </c>
      <c r="AN233" s="41" t="s">
        <v>489</v>
      </c>
    </row>
    <row r="234" spans="1:46">
      <c r="A234" s="169" t="s">
        <v>320</v>
      </c>
      <c r="B234" s="22">
        <v>12802</v>
      </c>
      <c r="C234" s="43" t="s">
        <v>744</v>
      </c>
      <c r="D234" s="43" t="s">
        <v>745</v>
      </c>
      <c r="E234" s="44" t="s">
        <v>746</v>
      </c>
      <c r="F234" s="44" t="s">
        <v>747</v>
      </c>
      <c r="G234" s="44" t="s">
        <v>61</v>
      </c>
      <c r="H234" s="22">
        <v>0</v>
      </c>
      <c r="I234" s="22" t="s">
        <v>748</v>
      </c>
      <c r="J234" s="22" t="s">
        <v>485</v>
      </c>
      <c r="K234" s="26">
        <v>40</v>
      </c>
      <c r="L234" s="26">
        <v>50</v>
      </c>
      <c r="M234" s="34">
        <v>2011</v>
      </c>
      <c r="N234" s="22" t="s">
        <v>567</v>
      </c>
      <c r="O234" s="26">
        <v>60.4</v>
      </c>
      <c r="P234" s="26">
        <v>8.6</v>
      </c>
      <c r="Q234" s="26">
        <v>56.5</v>
      </c>
      <c r="R234" s="43" t="s">
        <v>749</v>
      </c>
      <c r="S234" s="22">
        <v>3</v>
      </c>
      <c r="T234" s="22">
        <v>4034</v>
      </c>
      <c r="U234" s="22">
        <v>2</v>
      </c>
      <c r="V234" s="26">
        <v>2029</v>
      </c>
      <c r="W234" s="26">
        <v>2005</v>
      </c>
      <c r="X234" s="48" t="s">
        <v>59</v>
      </c>
      <c r="Y234" s="48" t="s">
        <v>59</v>
      </c>
      <c r="Z234" s="22">
        <v>0</v>
      </c>
      <c r="AA234" s="22">
        <v>0</v>
      </c>
      <c r="AB234" s="22">
        <v>10</v>
      </c>
      <c r="AC234" s="22">
        <v>18</v>
      </c>
      <c r="AD234" s="22">
        <v>18</v>
      </c>
      <c r="AE234" s="43" t="s">
        <v>750</v>
      </c>
      <c r="AF234" s="236" t="s">
        <v>109</v>
      </c>
      <c r="AG234" s="26" t="s">
        <v>1407</v>
      </c>
      <c r="AN234" s="41" t="s">
        <v>489</v>
      </c>
    </row>
    <row r="235" spans="1:46">
      <c r="A235" s="171" t="s">
        <v>427</v>
      </c>
      <c r="B235" s="22">
        <v>12807</v>
      </c>
      <c r="C235" s="43" t="s">
        <v>1348</v>
      </c>
      <c r="D235" s="43" t="s">
        <v>1349</v>
      </c>
      <c r="E235" s="44" t="s">
        <v>1350</v>
      </c>
      <c r="F235" s="44" t="s">
        <v>1351</v>
      </c>
      <c r="G235" s="44" t="s">
        <v>1352</v>
      </c>
      <c r="H235" s="22">
        <v>0</v>
      </c>
      <c r="I235" s="22" t="s">
        <v>1353</v>
      </c>
      <c r="J235" s="43" t="s">
        <v>2265</v>
      </c>
      <c r="K235" s="48" t="s">
        <v>59</v>
      </c>
      <c r="L235" s="26" t="s">
        <v>59</v>
      </c>
      <c r="M235" s="34">
        <v>2012</v>
      </c>
      <c r="N235" s="22" t="s">
        <v>1203</v>
      </c>
      <c r="O235" s="26" t="s">
        <v>61</v>
      </c>
      <c r="P235" s="26" t="s">
        <v>61</v>
      </c>
      <c r="Q235" s="26" t="s">
        <v>61</v>
      </c>
      <c r="R235" s="43" t="s">
        <v>1354</v>
      </c>
      <c r="S235" s="22">
        <v>2</v>
      </c>
      <c r="T235" s="22">
        <v>1511</v>
      </c>
      <c r="U235" s="22">
        <v>2</v>
      </c>
      <c r="V235" s="48" t="s">
        <v>61</v>
      </c>
      <c r="W235" s="48" t="s">
        <v>61</v>
      </c>
      <c r="X235" s="48" t="s">
        <v>59</v>
      </c>
      <c r="Y235" s="48" t="s">
        <v>59</v>
      </c>
      <c r="Z235" s="22">
        <v>0</v>
      </c>
      <c r="AA235" s="22">
        <v>0</v>
      </c>
      <c r="AB235" s="49" t="s">
        <v>59</v>
      </c>
      <c r="AC235" s="22">
        <v>4</v>
      </c>
      <c r="AD235" s="22">
        <v>4</v>
      </c>
      <c r="AE235" s="43" t="s">
        <v>59</v>
      </c>
      <c r="AF235" s="236" t="s">
        <v>109</v>
      </c>
      <c r="AG235" s="26" t="s">
        <v>1407</v>
      </c>
      <c r="AN235" s="41" t="s">
        <v>489</v>
      </c>
      <c r="AT235" s="41" t="s">
        <v>489</v>
      </c>
    </row>
    <row r="236" spans="1:46">
      <c r="A236" s="28" t="s">
        <v>324</v>
      </c>
      <c r="B236" s="22">
        <v>12810</v>
      </c>
      <c r="C236" s="22" t="s">
        <v>751</v>
      </c>
      <c r="D236" s="22" t="s">
        <v>752</v>
      </c>
      <c r="E236" s="44" t="s">
        <v>753</v>
      </c>
      <c r="F236" s="22" t="s">
        <v>754</v>
      </c>
      <c r="G236" s="22" t="s">
        <v>61</v>
      </c>
      <c r="H236" s="22">
        <v>0</v>
      </c>
      <c r="I236" s="22" t="s">
        <v>755</v>
      </c>
      <c r="J236" s="22" t="s">
        <v>485</v>
      </c>
      <c r="K236" s="26">
        <v>30</v>
      </c>
      <c r="L236" s="48" t="s">
        <v>61</v>
      </c>
      <c r="M236" s="34">
        <v>2011</v>
      </c>
      <c r="N236" s="22" t="s">
        <v>756</v>
      </c>
      <c r="O236" s="26" t="s">
        <v>61</v>
      </c>
      <c r="P236" s="26" t="s">
        <v>61</v>
      </c>
      <c r="Q236" s="26" t="s">
        <v>61</v>
      </c>
      <c r="R236" s="22" t="s">
        <v>757</v>
      </c>
      <c r="S236" s="22">
        <v>2</v>
      </c>
      <c r="T236" s="22">
        <v>326</v>
      </c>
      <c r="U236" s="22">
        <v>2</v>
      </c>
      <c r="V236" s="26">
        <v>164</v>
      </c>
      <c r="W236" s="26">
        <v>162</v>
      </c>
      <c r="X236" s="48" t="s">
        <v>59</v>
      </c>
      <c r="Y236" s="48" t="s">
        <v>59</v>
      </c>
      <c r="Z236" s="22">
        <v>0</v>
      </c>
      <c r="AA236" s="22">
        <v>0</v>
      </c>
      <c r="AB236" s="22">
        <v>0</v>
      </c>
      <c r="AC236" s="22">
        <v>12</v>
      </c>
      <c r="AD236" s="22">
        <v>12</v>
      </c>
      <c r="AE236" s="22" t="s">
        <v>758</v>
      </c>
      <c r="AF236" s="236" t="s">
        <v>109</v>
      </c>
      <c r="AG236" s="26" t="s">
        <v>1407</v>
      </c>
      <c r="AN236" s="41" t="s">
        <v>489</v>
      </c>
      <c r="AO236" s="41" t="s">
        <v>489</v>
      </c>
      <c r="AP236" s="41" t="s">
        <v>489</v>
      </c>
      <c r="AQ236" s="41" t="s">
        <v>489</v>
      </c>
    </row>
    <row r="237" spans="1:46">
      <c r="A237" s="172" t="s">
        <v>428</v>
      </c>
      <c r="B237" s="22">
        <v>12816</v>
      </c>
      <c r="C237" s="43" t="s">
        <v>1355</v>
      </c>
      <c r="D237" s="43" t="s">
        <v>1356</v>
      </c>
      <c r="E237" s="44" t="s">
        <v>517</v>
      </c>
      <c r="F237" s="22" t="s">
        <v>518</v>
      </c>
      <c r="G237" s="22" t="s">
        <v>61</v>
      </c>
      <c r="H237" s="22">
        <v>0</v>
      </c>
      <c r="I237" s="22" t="s">
        <v>1357</v>
      </c>
      <c r="J237" s="43" t="s">
        <v>2265</v>
      </c>
      <c r="K237" s="48" t="s">
        <v>59</v>
      </c>
      <c r="L237" s="26" t="s">
        <v>59</v>
      </c>
      <c r="M237" s="34">
        <v>2013</v>
      </c>
      <c r="N237" s="22" t="s">
        <v>496</v>
      </c>
      <c r="O237" s="26" t="s">
        <v>61</v>
      </c>
      <c r="P237" s="26" t="s">
        <v>61</v>
      </c>
      <c r="Q237" s="26" t="s">
        <v>61</v>
      </c>
      <c r="R237" s="22" t="s">
        <v>1358</v>
      </c>
      <c r="S237" s="22">
        <v>2</v>
      </c>
      <c r="T237" s="22">
        <v>188</v>
      </c>
      <c r="U237" s="22">
        <v>2</v>
      </c>
      <c r="V237" s="26">
        <v>95</v>
      </c>
      <c r="W237" s="26">
        <v>93</v>
      </c>
      <c r="X237" s="48" t="s">
        <v>59</v>
      </c>
      <c r="Y237" s="48" t="s">
        <v>59</v>
      </c>
      <c r="Z237" s="22">
        <v>0</v>
      </c>
      <c r="AA237" s="22">
        <v>1</v>
      </c>
      <c r="AB237" s="49" t="s">
        <v>59</v>
      </c>
      <c r="AC237" s="22">
        <v>3</v>
      </c>
      <c r="AD237" s="22">
        <v>3</v>
      </c>
      <c r="AE237" s="22" t="s">
        <v>59</v>
      </c>
      <c r="AF237" s="236" t="s">
        <v>109</v>
      </c>
      <c r="AG237" s="26" t="s">
        <v>1407</v>
      </c>
      <c r="AN237" s="41" t="s">
        <v>489</v>
      </c>
    </row>
    <row r="238" spans="1:46">
      <c r="A238" s="28" t="s">
        <v>326</v>
      </c>
      <c r="B238" s="22">
        <v>12822</v>
      </c>
      <c r="C238" s="43" t="s">
        <v>759</v>
      </c>
      <c r="D238" s="43" t="s">
        <v>760</v>
      </c>
      <c r="E238" s="44" t="s">
        <v>761</v>
      </c>
      <c r="F238" s="43" t="s">
        <v>762</v>
      </c>
      <c r="G238" s="43" t="s">
        <v>763</v>
      </c>
      <c r="H238" s="22">
        <v>0</v>
      </c>
      <c r="I238" s="22" t="s">
        <v>764</v>
      </c>
      <c r="J238" s="22" t="s">
        <v>485</v>
      </c>
      <c r="K238" s="26">
        <v>112</v>
      </c>
      <c r="L238" s="26" t="s">
        <v>61</v>
      </c>
      <c r="M238" s="34">
        <v>2014</v>
      </c>
      <c r="N238" s="22" t="s">
        <v>765</v>
      </c>
      <c r="O238" s="26" t="s">
        <v>61</v>
      </c>
      <c r="P238" s="26" t="s">
        <v>61</v>
      </c>
      <c r="Q238" s="26" t="s">
        <v>61</v>
      </c>
      <c r="R238" s="22" t="s">
        <v>766</v>
      </c>
      <c r="S238" s="22">
        <v>2</v>
      </c>
      <c r="T238" s="22">
        <v>513</v>
      </c>
      <c r="U238" s="22">
        <v>2</v>
      </c>
      <c r="V238" s="26">
        <v>213</v>
      </c>
      <c r="W238" s="26">
        <v>300</v>
      </c>
      <c r="X238" s="48" t="s">
        <v>59</v>
      </c>
      <c r="Y238" s="48" t="s">
        <v>59</v>
      </c>
      <c r="Z238" s="22">
        <v>0</v>
      </c>
      <c r="AA238" s="22">
        <v>0</v>
      </c>
      <c r="AB238" s="22">
        <v>0</v>
      </c>
      <c r="AC238" s="22">
        <v>12</v>
      </c>
      <c r="AD238" s="22">
        <v>12</v>
      </c>
      <c r="AE238" s="43" t="s">
        <v>767</v>
      </c>
      <c r="AF238" s="236" t="s">
        <v>109</v>
      </c>
      <c r="AG238" s="26" t="s">
        <v>1407</v>
      </c>
      <c r="AN238" s="41" t="s">
        <v>489</v>
      </c>
    </row>
    <row r="239" spans="1:46">
      <c r="A239" s="171" t="s">
        <v>429</v>
      </c>
      <c r="B239" s="22">
        <v>12840</v>
      </c>
      <c r="C239" s="43" t="s">
        <v>1359</v>
      </c>
      <c r="D239" s="43" t="s">
        <v>1360</v>
      </c>
      <c r="E239" s="44" t="s">
        <v>1361</v>
      </c>
      <c r="F239" s="43" t="s">
        <v>1362</v>
      </c>
      <c r="G239" s="43" t="s">
        <v>61</v>
      </c>
      <c r="H239" s="22">
        <v>0</v>
      </c>
      <c r="I239" s="22" t="s">
        <v>1363</v>
      </c>
      <c r="J239" s="43" t="s">
        <v>2265</v>
      </c>
      <c r="K239" s="48" t="s">
        <v>59</v>
      </c>
      <c r="L239" s="26" t="s">
        <v>59</v>
      </c>
      <c r="M239" s="34">
        <v>2012</v>
      </c>
      <c r="N239" s="22" t="s">
        <v>496</v>
      </c>
      <c r="O239" s="26">
        <v>54.3</v>
      </c>
      <c r="P239" s="26">
        <v>9.5</v>
      </c>
      <c r="Q239" s="26">
        <v>36</v>
      </c>
      <c r="R239" s="22" t="s">
        <v>1364</v>
      </c>
      <c r="S239" s="22">
        <v>4</v>
      </c>
      <c r="T239" s="22">
        <v>75</v>
      </c>
      <c r="U239" s="22">
        <v>3</v>
      </c>
      <c r="V239" s="26">
        <v>28</v>
      </c>
      <c r="W239" s="26">
        <v>21</v>
      </c>
      <c r="X239" s="48">
        <v>26</v>
      </c>
      <c r="Y239" s="48" t="s">
        <v>59</v>
      </c>
      <c r="Z239" s="22">
        <v>0</v>
      </c>
      <c r="AA239" s="22">
        <v>1</v>
      </c>
      <c r="AB239" s="49" t="s">
        <v>59</v>
      </c>
      <c r="AC239" s="22">
        <v>3</v>
      </c>
      <c r="AD239" s="22">
        <v>6</v>
      </c>
      <c r="AE239" s="43" t="s">
        <v>59</v>
      </c>
      <c r="AF239" s="236" t="s">
        <v>109</v>
      </c>
      <c r="AG239" s="26" t="s">
        <v>1407</v>
      </c>
      <c r="AN239" s="41" t="s">
        <v>489</v>
      </c>
      <c r="AO239" s="41" t="s">
        <v>489</v>
      </c>
    </row>
    <row r="240" spans="1:46">
      <c r="A240" s="171" t="s">
        <v>430</v>
      </c>
      <c r="B240" s="22">
        <v>12889</v>
      </c>
      <c r="C240" s="43" t="s">
        <v>1365</v>
      </c>
      <c r="D240" s="43" t="s">
        <v>1366</v>
      </c>
      <c r="E240" s="44" t="s">
        <v>1367</v>
      </c>
      <c r="F240" s="43" t="s">
        <v>1368</v>
      </c>
      <c r="G240" s="43" t="s">
        <v>61</v>
      </c>
      <c r="H240" s="22">
        <v>1</v>
      </c>
      <c r="I240" s="22" t="s">
        <v>61</v>
      </c>
      <c r="J240" s="43" t="s">
        <v>2265</v>
      </c>
      <c r="K240" s="48" t="s">
        <v>59</v>
      </c>
      <c r="L240" s="26" t="s">
        <v>59</v>
      </c>
      <c r="M240" s="34">
        <v>2010</v>
      </c>
      <c r="N240" s="22" t="s">
        <v>496</v>
      </c>
      <c r="O240" s="26" t="s">
        <v>61</v>
      </c>
      <c r="P240" s="26" t="s">
        <v>61</v>
      </c>
      <c r="Q240" s="26" t="s">
        <v>61</v>
      </c>
      <c r="R240" s="22" t="s">
        <v>1369</v>
      </c>
      <c r="S240" s="22">
        <v>2</v>
      </c>
      <c r="T240" s="49" t="s">
        <v>61</v>
      </c>
      <c r="U240" s="22">
        <v>2</v>
      </c>
      <c r="V240" s="48" t="s">
        <v>61</v>
      </c>
      <c r="W240" s="48" t="s">
        <v>61</v>
      </c>
      <c r="X240" s="48" t="s">
        <v>59</v>
      </c>
      <c r="Y240" s="48" t="s">
        <v>59</v>
      </c>
      <c r="Z240" s="22">
        <v>0</v>
      </c>
      <c r="AA240" s="22">
        <v>0</v>
      </c>
      <c r="AB240" s="49" t="s">
        <v>59</v>
      </c>
      <c r="AC240" s="22">
        <v>3</v>
      </c>
      <c r="AD240" s="22">
        <v>3</v>
      </c>
      <c r="AE240" s="43" t="s">
        <v>59</v>
      </c>
      <c r="AF240" s="236" t="s">
        <v>109</v>
      </c>
      <c r="AG240" s="26" t="s">
        <v>1407</v>
      </c>
      <c r="AN240" s="41" t="s">
        <v>489</v>
      </c>
      <c r="AO240" s="41" t="s">
        <v>489</v>
      </c>
      <c r="AP240" s="41" t="s">
        <v>489</v>
      </c>
      <c r="AQ240" s="41" t="s">
        <v>489</v>
      </c>
    </row>
    <row r="241" spans="1:50">
      <c r="A241" s="172" t="s">
        <v>1370</v>
      </c>
      <c r="B241" s="22">
        <v>120041</v>
      </c>
      <c r="C241" s="43" t="s">
        <v>1371</v>
      </c>
      <c r="D241" s="43" t="s">
        <v>1372</v>
      </c>
      <c r="E241" s="44" t="s">
        <v>1373</v>
      </c>
      <c r="F241" s="43" t="s">
        <v>1374</v>
      </c>
      <c r="G241" s="22" t="s">
        <v>1375</v>
      </c>
      <c r="H241" s="22">
        <v>0</v>
      </c>
      <c r="I241" s="22" t="s">
        <v>1376</v>
      </c>
      <c r="J241" s="43" t="s">
        <v>2265</v>
      </c>
      <c r="K241" s="26" t="s">
        <v>59</v>
      </c>
      <c r="L241" s="26" t="s">
        <v>59</v>
      </c>
      <c r="M241" s="34">
        <v>2007</v>
      </c>
      <c r="N241" s="22" t="s">
        <v>496</v>
      </c>
      <c r="O241" s="26" t="s">
        <v>61</v>
      </c>
      <c r="P241" s="26" t="s">
        <v>61</v>
      </c>
      <c r="Q241" s="26" t="s">
        <v>61</v>
      </c>
      <c r="R241" s="22" t="s">
        <v>1377</v>
      </c>
      <c r="S241" s="22">
        <v>4</v>
      </c>
      <c r="T241" s="22">
        <v>57</v>
      </c>
      <c r="U241" s="22">
        <v>2</v>
      </c>
      <c r="V241" s="26">
        <v>29</v>
      </c>
      <c r="W241" s="26">
        <v>28</v>
      </c>
      <c r="X241" s="26" t="s">
        <v>59</v>
      </c>
      <c r="Y241" s="26" t="s">
        <v>59</v>
      </c>
      <c r="Z241" s="22">
        <v>0</v>
      </c>
      <c r="AA241" s="22">
        <v>1</v>
      </c>
      <c r="AB241" s="34" t="s">
        <v>59</v>
      </c>
      <c r="AC241" s="22">
        <v>6</v>
      </c>
      <c r="AD241" s="22">
        <v>6</v>
      </c>
      <c r="AE241" s="22" t="s">
        <v>59</v>
      </c>
      <c r="AF241" s="236" t="s">
        <v>489</v>
      </c>
      <c r="AG241" s="26" t="s">
        <v>1407</v>
      </c>
      <c r="AN241" s="41" t="s">
        <v>489</v>
      </c>
    </row>
    <row r="242" spans="1:50">
      <c r="A242" s="172" t="s">
        <v>1378</v>
      </c>
      <c r="B242" s="22">
        <v>120042</v>
      </c>
      <c r="C242" s="43" t="s">
        <v>1371</v>
      </c>
      <c r="D242" s="43" t="s">
        <v>1372</v>
      </c>
      <c r="E242" s="44" t="s">
        <v>1373</v>
      </c>
      <c r="F242" s="43" t="s">
        <v>1374</v>
      </c>
      <c r="G242" s="22" t="s">
        <v>1375</v>
      </c>
      <c r="H242" s="22">
        <v>0</v>
      </c>
      <c r="I242" s="22" t="s">
        <v>1376</v>
      </c>
      <c r="J242" s="43" t="s">
        <v>2265</v>
      </c>
      <c r="K242" s="26" t="s">
        <v>59</v>
      </c>
      <c r="L242" s="26" t="s">
        <v>59</v>
      </c>
      <c r="M242" s="34">
        <v>2007</v>
      </c>
      <c r="N242" s="22" t="s">
        <v>496</v>
      </c>
      <c r="O242" s="26" t="s">
        <v>61</v>
      </c>
      <c r="P242" s="26" t="s">
        <v>61</v>
      </c>
      <c r="Q242" s="26" t="s">
        <v>61</v>
      </c>
      <c r="R242" s="22" t="s">
        <v>1377</v>
      </c>
      <c r="S242" s="22">
        <v>4</v>
      </c>
      <c r="T242" s="22">
        <v>44</v>
      </c>
      <c r="U242" s="22">
        <v>2</v>
      </c>
      <c r="V242" s="26">
        <v>21</v>
      </c>
      <c r="W242" s="26">
        <v>23</v>
      </c>
      <c r="X242" s="26" t="s">
        <v>59</v>
      </c>
      <c r="Y242" s="26" t="s">
        <v>59</v>
      </c>
      <c r="Z242" s="22">
        <v>0</v>
      </c>
      <c r="AA242" s="22">
        <v>1</v>
      </c>
      <c r="AB242" s="34" t="s">
        <v>59</v>
      </c>
      <c r="AC242" s="22">
        <v>6</v>
      </c>
      <c r="AD242" s="22">
        <v>6</v>
      </c>
      <c r="AE242" s="22" t="s">
        <v>59</v>
      </c>
      <c r="AF242" s="236" t="s">
        <v>489</v>
      </c>
      <c r="AG242" s="26" t="s">
        <v>1407</v>
      </c>
      <c r="AN242" s="41" t="s">
        <v>489</v>
      </c>
    </row>
    <row r="243" spans="1:50">
      <c r="A243" s="28" t="s">
        <v>1461</v>
      </c>
      <c r="B243" s="22">
        <v>1144</v>
      </c>
      <c r="C243" s="22" t="s">
        <v>1462</v>
      </c>
      <c r="D243" s="43" t="s">
        <v>1463</v>
      </c>
      <c r="E243" s="22" t="s">
        <v>1464</v>
      </c>
      <c r="F243" s="22" t="s">
        <v>1465</v>
      </c>
      <c r="G243" s="192" t="s">
        <v>2266</v>
      </c>
      <c r="H243" s="192" t="s">
        <v>2266</v>
      </c>
      <c r="I243" s="192" t="s">
        <v>2266</v>
      </c>
      <c r="J243" s="22" t="s">
        <v>485</v>
      </c>
      <c r="K243" s="26">
        <v>124</v>
      </c>
      <c r="L243" s="26">
        <v>185</v>
      </c>
      <c r="M243" s="34">
        <v>1999</v>
      </c>
      <c r="N243" s="22" t="s">
        <v>719</v>
      </c>
      <c r="O243" s="26">
        <v>65</v>
      </c>
      <c r="P243" s="26">
        <v>11.5</v>
      </c>
      <c r="Q243" s="26">
        <v>44.6</v>
      </c>
      <c r="S243" s="22">
        <v>2</v>
      </c>
      <c r="T243" s="22">
        <v>1410</v>
      </c>
      <c r="U243" s="22">
        <v>2</v>
      </c>
      <c r="V243" s="48">
        <v>707</v>
      </c>
      <c r="W243" s="48">
        <v>703</v>
      </c>
      <c r="X243" s="48" t="s">
        <v>59</v>
      </c>
      <c r="Y243" s="48" t="s">
        <v>59</v>
      </c>
      <c r="Z243" s="22">
        <v>0</v>
      </c>
      <c r="AA243" s="22">
        <v>1</v>
      </c>
      <c r="AB243" s="22">
        <v>0</v>
      </c>
      <c r="AC243" s="22">
        <v>21</v>
      </c>
      <c r="AD243" s="22">
        <v>21</v>
      </c>
      <c r="AE243" s="22" t="s">
        <v>1466</v>
      </c>
      <c r="AF243" s="26" t="s">
        <v>1407</v>
      </c>
      <c r="AG243" s="26" t="s">
        <v>1407</v>
      </c>
      <c r="AH243" s="41"/>
      <c r="AK243" s="41" t="s">
        <v>489</v>
      </c>
      <c r="AL243" s="41" t="s">
        <v>489</v>
      </c>
    </row>
    <row r="244" spans="1:50">
      <c r="A244" s="172" t="s">
        <v>1480</v>
      </c>
      <c r="B244" s="22">
        <v>1401</v>
      </c>
      <c r="C244" s="22" t="s">
        <v>1481</v>
      </c>
      <c r="D244" s="43" t="s">
        <v>1482</v>
      </c>
      <c r="E244" s="22" t="s">
        <v>1483</v>
      </c>
      <c r="F244" s="22" t="s">
        <v>1484</v>
      </c>
      <c r="G244" s="192" t="s">
        <v>2266</v>
      </c>
      <c r="H244" s="192" t="s">
        <v>2266</v>
      </c>
      <c r="I244" s="192" t="s">
        <v>2266</v>
      </c>
      <c r="J244" s="43" t="s">
        <v>2265</v>
      </c>
      <c r="K244" s="26">
        <v>0</v>
      </c>
      <c r="L244" s="26" t="s">
        <v>1434</v>
      </c>
      <c r="M244" s="34">
        <v>1997</v>
      </c>
      <c r="N244" s="22" t="s">
        <v>496</v>
      </c>
      <c r="O244" s="26" t="s">
        <v>1413</v>
      </c>
      <c r="P244" s="26" t="s">
        <v>1413</v>
      </c>
      <c r="Q244" s="26">
        <v>38.299999999999997</v>
      </c>
      <c r="R244" s="22" t="s">
        <v>1485</v>
      </c>
      <c r="S244" s="22">
        <v>3</v>
      </c>
      <c r="T244" s="22">
        <v>23740</v>
      </c>
      <c r="U244" s="22">
        <v>2</v>
      </c>
      <c r="V244" s="48">
        <v>11748</v>
      </c>
      <c r="W244" s="48">
        <v>11992</v>
      </c>
      <c r="X244" s="48" t="s">
        <v>59</v>
      </c>
      <c r="Y244" s="48" t="s">
        <v>59</v>
      </c>
      <c r="Z244" s="22">
        <v>0</v>
      </c>
      <c r="AA244" s="22">
        <v>0</v>
      </c>
      <c r="AB244" s="22" t="s">
        <v>59</v>
      </c>
      <c r="AC244" s="22">
        <v>12</v>
      </c>
      <c r="AD244" s="22">
        <v>12</v>
      </c>
      <c r="AE244" s="22" t="s">
        <v>59</v>
      </c>
      <c r="AF244" s="26" t="s">
        <v>1407</v>
      </c>
      <c r="AG244" s="26" t="s">
        <v>1407</v>
      </c>
      <c r="AH244" s="41"/>
      <c r="AK244" s="41" t="s">
        <v>1407</v>
      </c>
    </row>
    <row r="245" spans="1:50">
      <c r="A245" s="28" t="s">
        <v>1519</v>
      </c>
      <c r="B245" s="22">
        <v>1823</v>
      </c>
      <c r="C245" s="22" t="s">
        <v>1520</v>
      </c>
      <c r="D245" s="43" t="s">
        <v>1521</v>
      </c>
      <c r="E245" s="22" t="s">
        <v>1522</v>
      </c>
      <c r="F245" s="22" t="s">
        <v>1523</v>
      </c>
      <c r="G245" s="192" t="s">
        <v>2266</v>
      </c>
      <c r="H245" s="192" t="s">
        <v>2266</v>
      </c>
      <c r="I245" s="192" t="s">
        <v>2266</v>
      </c>
      <c r="J245" s="22" t="s">
        <v>485</v>
      </c>
      <c r="K245" s="26">
        <v>70</v>
      </c>
      <c r="L245" s="26">
        <v>70</v>
      </c>
      <c r="M245" s="34">
        <v>1998</v>
      </c>
      <c r="N245" s="22" t="s">
        <v>496</v>
      </c>
      <c r="O245" s="26">
        <f>ROUND((965*75.9+966*76.1)/(965+966), 1)</f>
        <v>76</v>
      </c>
      <c r="P245" s="26" t="s">
        <v>1413</v>
      </c>
      <c r="Q245" s="26" t="s">
        <v>1413</v>
      </c>
      <c r="R245" s="22" t="s">
        <v>1524</v>
      </c>
      <c r="S245" s="22">
        <v>4</v>
      </c>
      <c r="T245" s="43">
        <v>2978</v>
      </c>
      <c r="U245" s="43">
        <v>2</v>
      </c>
      <c r="V245" s="48">
        <v>1648</v>
      </c>
      <c r="W245" s="48">
        <v>1643</v>
      </c>
      <c r="X245" s="48" t="s">
        <v>59</v>
      </c>
      <c r="Y245" s="48" t="s">
        <v>59</v>
      </c>
      <c r="Z245" s="22">
        <v>0</v>
      </c>
      <c r="AA245" s="22">
        <v>1</v>
      </c>
      <c r="AB245" s="22">
        <v>0</v>
      </c>
      <c r="AC245" s="22">
        <v>12</v>
      </c>
      <c r="AD245" s="22">
        <v>24</v>
      </c>
      <c r="AE245" s="22" t="s">
        <v>1525</v>
      </c>
      <c r="AF245" s="26" t="s">
        <v>1407</v>
      </c>
      <c r="AG245" s="26" t="s">
        <v>1407</v>
      </c>
      <c r="AL245" s="41" t="s">
        <v>489</v>
      </c>
    </row>
    <row r="246" spans="1:50">
      <c r="A246" s="28" t="s">
        <v>1560</v>
      </c>
      <c r="B246" s="22">
        <v>2275</v>
      </c>
      <c r="C246" s="22" t="s">
        <v>1561</v>
      </c>
      <c r="D246" s="43" t="s">
        <v>1562</v>
      </c>
      <c r="E246" s="22" t="s">
        <v>1563</v>
      </c>
      <c r="F246" s="22" t="s">
        <v>1564</v>
      </c>
      <c r="G246" s="192" t="s">
        <v>2266</v>
      </c>
      <c r="H246" s="192" t="s">
        <v>2266</v>
      </c>
      <c r="I246" s="192" t="s">
        <v>2266</v>
      </c>
      <c r="J246" s="22" t="s">
        <v>485</v>
      </c>
      <c r="K246" s="26">
        <v>21</v>
      </c>
      <c r="L246" s="26">
        <v>3</v>
      </c>
      <c r="M246" s="34">
        <v>2000</v>
      </c>
      <c r="N246" s="22" t="s">
        <v>652</v>
      </c>
      <c r="O246" s="26">
        <f>ROUND((250*52.1+305*52.4)/(250+305), 1)</f>
        <v>52.3</v>
      </c>
      <c r="P246" s="26">
        <v>13.5</v>
      </c>
      <c r="Q246" s="26">
        <v>38</v>
      </c>
      <c r="R246" s="22" t="s">
        <v>1565</v>
      </c>
      <c r="S246" s="22">
        <v>4</v>
      </c>
      <c r="T246" s="22">
        <v>555</v>
      </c>
      <c r="U246" s="22">
        <v>2</v>
      </c>
      <c r="V246" s="48">
        <v>305</v>
      </c>
      <c r="W246" s="48">
        <v>250</v>
      </c>
      <c r="X246" s="48" t="s">
        <v>59</v>
      </c>
      <c r="Y246" s="48" t="s">
        <v>59</v>
      </c>
      <c r="Z246" s="22">
        <v>0</v>
      </c>
      <c r="AA246" s="22">
        <v>1</v>
      </c>
      <c r="AB246" s="22">
        <v>0</v>
      </c>
      <c r="AC246" s="22">
        <v>12</v>
      </c>
      <c r="AD246" s="22">
        <v>14</v>
      </c>
      <c r="AE246" s="22" t="s">
        <v>1566</v>
      </c>
      <c r="AF246" s="26" t="s">
        <v>1407</v>
      </c>
      <c r="AG246" s="26" t="s">
        <v>1407</v>
      </c>
      <c r="AJ246" s="41" t="s">
        <v>489</v>
      </c>
      <c r="AK246" s="41" t="s">
        <v>489</v>
      </c>
      <c r="AL246" s="41" t="s">
        <v>489</v>
      </c>
      <c r="AM246" s="41" t="s">
        <v>489</v>
      </c>
      <c r="AR246" s="41" t="s">
        <v>489</v>
      </c>
    </row>
    <row r="247" spans="1:50">
      <c r="A247" s="28" t="s">
        <v>1612</v>
      </c>
      <c r="B247" s="193">
        <v>3549</v>
      </c>
      <c r="C247" s="43" t="s">
        <v>1613</v>
      </c>
      <c r="D247" s="43" t="s">
        <v>1614</v>
      </c>
      <c r="E247" s="22" t="s">
        <v>1615</v>
      </c>
      <c r="F247" s="22" t="s">
        <v>1616</v>
      </c>
      <c r="G247" s="192" t="s">
        <v>2266</v>
      </c>
      <c r="H247" s="192" t="s">
        <v>2266</v>
      </c>
      <c r="I247" s="192" t="s">
        <v>2266</v>
      </c>
      <c r="J247" s="22" t="s">
        <v>485</v>
      </c>
      <c r="K247" s="26">
        <v>139</v>
      </c>
      <c r="L247" s="26">
        <v>139</v>
      </c>
      <c r="M247" s="34">
        <v>1996</v>
      </c>
      <c r="N247" s="22" t="s">
        <v>652</v>
      </c>
      <c r="O247" s="26">
        <v>61.5</v>
      </c>
      <c r="P247" s="26">
        <v>9.6999999999999993</v>
      </c>
      <c r="Q247" s="26">
        <v>55.2</v>
      </c>
      <c r="R247" s="22" t="s">
        <v>1617</v>
      </c>
      <c r="S247" s="22">
        <v>2</v>
      </c>
      <c r="T247" s="22">
        <v>386</v>
      </c>
      <c r="U247" s="193">
        <v>3</v>
      </c>
      <c r="V247" s="48">
        <v>135</v>
      </c>
      <c r="W247" s="48">
        <v>130</v>
      </c>
      <c r="X247" s="48">
        <v>121</v>
      </c>
      <c r="Y247" s="48" t="s">
        <v>59</v>
      </c>
      <c r="Z247" s="22">
        <v>0</v>
      </c>
      <c r="AA247" s="22">
        <v>0</v>
      </c>
      <c r="AB247" s="22">
        <v>0</v>
      </c>
      <c r="AC247" s="22">
        <v>12</v>
      </c>
      <c r="AD247" s="22">
        <v>12</v>
      </c>
      <c r="AE247" s="22" t="s">
        <v>1618</v>
      </c>
      <c r="AF247" s="26" t="s">
        <v>1407</v>
      </c>
      <c r="AG247" s="26" t="s">
        <v>1407</v>
      </c>
      <c r="AK247" s="41" t="s">
        <v>489</v>
      </c>
      <c r="AL247" s="41" t="s">
        <v>489</v>
      </c>
      <c r="AM247" s="41" t="s">
        <v>489</v>
      </c>
    </row>
    <row r="248" spans="1:50">
      <c r="A248" s="172" t="s">
        <v>1668</v>
      </c>
      <c r="B248" s="22">
        <v>5076</v>
      </c>
      <c r="C248" s="22" t="s">
        <v>1669</v>
      </c>
      <c r="D248" s="22" t="s">
        <v>1670</v>
      </c>
      <c r="E248" s="63" t="s">
        <v>1671</v>
      </c>
      <c r="F248" s="22" t="s">
        <v>1672</v>
      </c>
      <c r="G248" s="192" t="s">
        <v>2266</v>
      </c>
      <c r="H248" s="192" t="s">
        <v>2266</v>
      </c>
      <c r="I248" s="192" t="s">
        <v>2266</v>
      </c>
      <c r="J248" s="43" t="s">
        <v>2265</v>
      </c>
      <c r="K248" s="26">
        <v>0</v>
      </c>
      <c r="L248" s="26" t="s">
        <v>59</v>
      </c>
      <c r="M248" s="34">
        <v>2007</v>
      </c>
      <c r="N248" s="22" t="s">
        <v>496</v>
      </c>
      <c r="O248" s="26">
        <f>ROUND((20*65.2+32*64.2)/(20+32), 1)</f>
        <v>64.599999999999994</v>
      </c>
      <c r="P248" s="26">
        <f>ROUND((20*14.1+32*10.5)/(20+32), 1)</f>
        <v>11.9</v>
      </c>
      <c r="Q248" s="26">
        <f>ROUND((8+11)/(20+32)*100,1)</f>
        <v>36.5</v>
      </c>
      <c r="R248" s="22" t="s">
        <v>1673</v>
      </c>
      <c r="S248" s="22">
        <v>4</v>
      </c>
      <c r="T248" s="22">
        <v>52</v>
      </c>
      <c r="U248" s="22">
        <v>2</v>
      </c>
      <c r="V248" s="48">
        <v>20</v>
      </c>
      <c r="W248" s="48">
        <v>32</v>
      </c>
      <c r="X248" s="48" t="s">
        <v>59</v>
      </c>
      <c r="Y248" s="48" t="s">
        <v>59</v>
      </c>
      <c r="Z248" s="22">
        <v>0</v>
      </c>
      <c r="AA248" s="22">
        <v>0</v>
      </c>
      <c r="AB248" s="22" t="s">
        <v>59</v>
      </c>
      <c r="AC248" s="22">
        <v>9</v>
      </c>
      <c r="AD248" s="22">
        <v>9</v>
      </c>
      <c r="AE248" s="22" t="s">
        <v>59</v>
      </c>
      <c r="AF248" s="26" t="s">
        <v>1407</v>
      </c>
      <c r="AG248" s="26" t="s">
        <v>1407</v>
      </c>
      <c r="AO248" s="41" t="s">
        <v>489</v>
      </c>
    </row>
    <row r="249" spans="1:50">
      <c r="A249" s="28" t="s">
        <v>1741</v>
      </c>
      <c r="B249" s="22">
        <v>5326</v>
      </c>
      <c r="C249" s="22" t="s">
        <v>1742</v>
      </c>
      <c r="D249" s="22" t="s">
        <v>1743</v>
      </c>
      <c r="E249" s="22" t="s">
        <v>1744</v>
      </c>
      <c r="F249" s="22" t="s">
        <v>1745</v>
      </c>
      <c r="G249" s="192" t="s">
        <v>2266</v>
      </c>
      <c r="H249" s="192" t="s">
        <v>2266</v>
      </c>
      <c r="I249" s="192" t="s">
        <v>2266</v>
      </c>
      <c r="J249" s="22" t="s">
        <v>485</v>
      </c>
      <c r="K249" s="48">
        <v>19</v>
      </c>
      <c r="L249" s="48">
        <v>19</v>
      </c>
      <c r="M249" s="49">
        <v>2005</v>
      </c>
      <c r="N249" s="43" t="s">
        <v>496</v>
      </c>
      <c r="O249" s="26">
        <f>ROUND((130*58.8+112*56.8)/(130+112), 1)</f>
        <v>57.9</v>
      </c>
      <c r="P249" s="26">
        <f>ROUND((130*11.2+112*10.4)/(130+112), 1)</f>
        <v>10.8</v>
      </c>
      <c r="Q249" s="26">
        <f>((100-71)+(100-54))/2</f>
        <v>37.5</v>
      </c>
      <c r="R249" s="43" t="s">
        <v>1746</v>
      </c>
      <c r="S249" s="43">
        <v>4</v>
      </c>
      <c r="T249" s="43">
        <v>334</v>
      </c>
      <c r="U249" s="43">
        <v>2</v>
      </c>
      <c r="V249" s="48">
        <v>157</v>
      </c>
      <c r="W249" s="48">
        <v>177</v>
      </c>
      <c r="X249" s="48" t="s">
        <v>59</v>
      </c>
      <c r="Y249" s="48" t="s">
        <v>59</v>
      </c>
      <c r="Z249" s="22">
        <v>0</v>
      </c>
      <c r="AA249" s="43">
        <v>0</v>
      </c>
      <c r="AB249" s="43">
        <v>0</v>
      </c>
      <c r="AC249" s="43">
        <v>6</v>
      </c>
      <c r="AD249" s="43">
        <v>6</v>
      </c>
      <c r="AE249" s="43" t="s">
        <v>1747</v>
      </c>
      <c r="AF249" s="26" t="s">
        <v>1407</v>
      </c>
      <c r="AG249" s="26" t="s">
        <v>1407</v>
      </c>
      <c r="AH249" s="41" t="s">
        <v>1407</v>
      </c>
    </row>
    <row r="250" spans="1:50">
      <c r="A250" s="28" t="s">
        <v>1762</v>
      </c>
      <c r="B250" s="22">
        <v>5368</v>
      </c>
      <c r="C250" s="22" t="s">
        <v>1763</v>
      </c>
      <c r="D250" s="22" t="s">
        <v>1764</v>
      </c>
      <c r="E250" s="22" t="s">
        <v>1765</v>
      </c>
      <c r="F250" s="22" t="s">
        <v>1766</v>
      </c>
      <c r="G250" s="192" t="s">
        <v>2266</v>
      </c>
      <c r="H250" s="192" t="s">
        <v>2266</v>
      </c>
      <c r="I250" s="192" t="s">
        <v>2266</v>
      </c>
      <c r="J250" s="22" t="s">
        <v>485</v>
      </c>
      <c r="K250" s="48">
        <v>40</v>
      </c>
      <c r="L250" s="48">
        <f>33+28</f>
        <v>61</v>
      </c>
      <c r="M250" s="34">
        <v>2008</v>
      </c>
      <c r="N250" s="43" t="s">
        <v>719</v>
      </c>
      <c r="O250" s="26">
        <f>ROUND((504*63.2+489*63.6)/(504+489), 1)</f>
        <v>63.4</v>
      </c>
      <c r="P250" s="26">
        <f>ROUND((504*9.9+489*9.2)/(504+489), 1)</f>
        <v>9.6</v>
      </c>
      <c r="Q250" s="26">
        <f>ROUND((46.5+53)/2,1)</f>
        <v>49.8</v>
      </c>
      <c r="R250" s="43" t="s">
        <v>1767</v>
      </c>
      <c r="S250" s="43">
        <v>2</v>
      </c>
      <c r="T250" s="43">
        <v>2059</v>
      </c>
      <c r="U250" s="43">
        <v>2</v>
      </c>
      <c r="V250" s="48">
        <v>1055</v>
      </c>
      <c r="W250" s="48">
        <v>1004</v>
      </c>
      <c r="X250" s="48" t="s">
        <v>59</v>
      </c>
      <c r="Y250" s="48" t="s">
        <v>59</v>
      </c>
      <c r="Z250" s="22">
        <v>0</v>
      </c>
      <c r="AA250" s="22">
        <v>0</v>
      </c>
      <c r="AB250" s="22">
        <v>0</v>
      </c>
      <c r="AC250" s="43">
        <v>15</v>
      </c>
      <c r="AD250" s="43">
        <v>18</v>
      </c>
      <c r="AE250" s="43" t="s">
        <v>1768</v>
      </c>
      <c r="AF250" s="26" t="s">
        <v>1407</v>
      </c>
      <c r="AG250" s="26" t="s">
        <v>1407</v>
      </c>
      <c r="AK250" s="41" t="s">
        <v>489</v>
      </c>
      <c r="AL250" s="41" t="s">
        <v>489</v>
      </c>
      <c r="AM250" s="41" t="s">
        <v>489</v>
      </c>
      <c r="AR250" s="41" t="s">
        <v>489</v>
      </c>
    </row>
    <row r="251" spans="1:50">
      <c r="A251" s="28" t="s">
        <v>1912</v>
      </c>
      <c r="B251" s="22">
        <v>6097</v>
      </c>
      <c r="C251" s="22" t="s">
        <v>1913</v>
      </c>
      <c r="D251" s="22" t="s">
        <v>1914</v>
      </c>
      <c r="E251" s="22" t="s">
        <v>1915</v>
      </c>
      <c r="F251" s="22" t="s">
        <v>1916</v>
      </c>
      <c r="G251" s="192" t="s">
        <v>2266</v>
      </c>
      <c r="H251" s="192" t="s">
        <v>2266</v>
      </c>
      <c r="I251" s="192" t="s">
        <v>2266</v>
      </c>
      <c r="J251" s="43" t="s">
        <v>485</v>
      </c>
      <c r="K251" s="48">
        <v>44</v>
      </c>
      <c r="L251" s="48">
        <v>44</v>
      </c>
      <c r="M251" s="34">
        <v>2001</v>
      </c>
      <c r="N251" s="43" t="s">
        <v>1678</v>
      </c>
      <c r="O251" s="26" t="s">
        <v>1917</v>
      </c>
      <c r="P251" s="26" t="s">
        <v>1917</v>
      </c>
      <c r="Q251" s="26" t="s">
        <v>1917</v>
      </c>
      <c r="R251" s="43" t="s">
        <v>1918</v>
      </c>
      <c r="S251" s="43">
        <v>4</v>
      </c>
      <c r="T251" s="43">
        <v>5005</v>
      </c>
      <c r="U251" s="43">
        <v>2</v>
      </c>
      <c r="V251" s="48">
        <v>2531</v>
      </c>
      <c r="W251" s="48">
        <v>2474</v>
      </c>
      <c r="X251" s="48" t="s">
        <v>59</v>
      </c>
      <c r="Y251" s="48" t="s">
        <v>59</v>
      </c>
      <c r="Z251" s="22">
        <v>1</v>
      </c>
      <c r="AA251" s="43">
        <v>1</v>
      </c>
      <c r="AB251" s="22">
        <v>1</v>
      </c>
      <c r="AC251" s="43">
        <v>12</v>
      </c>
      <c r="AD251" s="43">
        <v>12</v>
      </c>
      <c r="AE251" s="43" t="s">
        <v>1919</v>
      </c>
      <c r="AF251" s="26" t="s">
        <v>1407</v>
      </c>
      <c r="AG251" s="26" t="s">
        <v>1407</v>
      </c>
      <c r="AR251" s="41" t="s">
        <v>489</v>
      </c>
    </row>
    <row r="252" spans="1:50" ht="12.75" customHeight="1">
      <c r="A252" s="28" t="s">
        <v>1944</v>
      </c>
      <c r="B252" s="22">
        <v>6169</v>
      </c>
      <c r="C252" s="22" t="s">
        <v>1945</v>
      </c>
      <c r="D252" s="22" t="s">
        <v>1946</v>
      </c>
      <c r="E252" s="43" t="s">
        <v>1947</v>
      </c>
      <c r="F252" s="22" t="s">
        <v>1948</v>
      </c>
      <c r="G252" s="192" t="s">
        <v>2266</v>
      </c>
      <c r="H252" s="192" t="s">
        <v>2266</v>
      </c>
      <c r="I252" s="192" t="s">
        <v>2266</v>
      </c>
      <c r="J252" s="22" t="s">
        <v>485</v>
      </c>
      <c r="K252" s="48">
        <v>123</v>
      </c>
      <c r="L252" s="48">
        <v>477</v>
      </c>
      <c r="M252" s="49">
        <v>1998</v>
      </c>
      <c r="N252" s="43" t="s">
        <v>496</v>
      </c>
      <c r="O252" s="26">
        <f>ROUND((11904*74.1+11067*73.9)/(11904+11067), 1)</f>
        <v>74</v>
      </c>
      <c r="P252" s="48" t="s">
        <v>1413</v>
      </c>
      <c r="Q252" s="26">
        <f>((100-57)+(100-57.1))/2</f>
        <v>42.95</v>
      </c>
      <c r="R252" s="43" t="s">
        <v>1949</v>
      </c>
      <c r="S252" s="43">
        <v>3</v>
      </c>
      <c r="T252" s="43">
        <f>11904+11067</f>
        <v>22971</v>
      </c>
      <c r="U252" s="43">
        <v>2</v>
      </c>
      <c r="V252" s="48">
        <v>11067</v>
      </c>
      <c r="W252" s="48">
        <v>11904</v>
      </c>
      <c r="X252" s="48" t="s">
        <v>59</v>
      </c>
      <c r="Y252" s="48" t="s">
        <v>59</v>
      </c>
      <c r="Z252" s="22">
        <v>0</v>
      </c>
      <c r="AA252" s="43">
        <v>0</v>
      </c>
      <c r="AB252" s="43">
        <v>0</v>
      </c>
      <c r="AC252" s="43">
        <v>6</v>
      </c>
      <c r="AD252" s="43">
        <v>6</v>
      </c>
      <c r="AE252" s="43" t="s">
        <v>1950</v>
      </c>
      <c r="AF252" s="26" t="s">
        <v>1407</v>
      </c>
      <c r="AG252" s="26" t="s">
        <v>1407</v>
      </c>
      <c r="AK252" s="41" t="s">
        <v>489</v>
      </c>
    </row>
    <row r="253" spans="1:50">
      <c r="A253" s="28" t="s">
        <v>1956</v>
      </c>
      <c r="B253" s="22">
        <v>6205</v>
      </c>
      <c r="C253" s="22" t="s">
        <v>1957</v>
      </c>
      <c r="D253" s="22" t="s">
        <v>1958</v>
      </c>
      <c r="E253" s="22" t="s">
        <v>1959</v>
      </c>
      <c r="F253" s="22" t="s">
        <v>1960</v>
      </c>
      <c r="G253" s="192" t="s">
        <v>2266</v>
      </c>
      <c r="H253" s="192" t="s">
        <v>2266</v>
      </c>
      <c r="I253" s="192" t="s">
        <v>2266</v>
      </c>
      <c r="J253" s="22" t="s">
        <v>485</v>
      </c>
      <c r="K253" s="48">
        <v>9</v>
      </c>
      <c r="L253" s="48">
        <v>43</v>
      </c>
      <c r="M253" s="49">
        <v>2001</v>
      </c>
      <c r="N253" s="43" t="s">
        <v>496</v>
      </c>
      <c r="O253" s="26">
        <f>ROUND((83*59+71*59)/(83+71), 1)</f>
        <v>59</v>
      </c>
      <c r="P253" s="26">
        <f>ROUND((83*14+71*12)/(83+71), 1)</f>
        <v>13.1</v>
      </c>
      <c r="Q253" s="26">
        <f>ROUND((43+51)/2,1)</f>
        <v>47</v>
      </c>
      <c r="R253" s="43" t="s">
        <v>1961</v>
      </c>
      <c r="S253" s="43">
        <v>3</v>
      </c>
      <c r="T253" s="43">
        <v>284</v>
      </c>
      <c r="U253" s="43">
        <v>2</v>
      </c>
      <c r="V253" s="48">
        <v>111</v>
      </c>
      <c r="W253" s="48">
        <v>173</v>
      </c>
      <c r="X253" s="48" t="s">
        <v>59</v>
      </c>
      <c r="Y253" s="48" t="s">
        <v>59</v>
      </c>
      <c r="Z253" s="22">
        <v>0</v>
      </c>
      <c r="AA253" s="43">
        <v>0</v>
      </c>
      <c r="AB253" s="43">
        <v>0</v>
      </c>
      <c r="AC253" s="43">
        <v>24</v>
      </c>
      <c r="AD253" s="43">
        <v>24</v>
      </c>
      <c r="AE253" s="43" t="s">
        <v>1962</v>
      </c>
      <c r="AF253" s="26" t="s">
        <v>1407</v>
      </c>
      <c r="AG253" s="26" t="s">
        <v>1407</v>
      </c>
      <c r="AH253" s="41" t="s">
        <v>1407</v>
      </c>
      <c r="AK253" s="41" t="s">
        <v>1407</v>
      </c>
      <c r="AL253" s="41" t="s">
        <v>1407</v>
      </c>
      <c r="AM253" s="41" t="s">
        <v>1407</v>
      </c>
      <c r="AR253" s="194" t="s">
        <v>489</v>
      </c>
      <c r="AS253" s="41" t="s">
        <v>1407</v>
      </c>
    </row>
    <row r="254" spans="1:50">
      <c r="A254" s="172" t="s">
        <v>1963</v>
      </c>
      <c r="B254" s="22">
        <v>6230</v>
      </c>
      <c r="C254" s="22" t="s">
        <v>1964</v>
      </c>
      <c r="D254" s="22" t="s">
        <v>1965</v>
      </c>
      <c r="E254" s="22" t="s">
        <v>1966</v>
      </c>
      <c r="F254" s="22" t="s">
        <v>990</v>
      </c>
      <c r="G254" s="192" t="s">
        <v>2266</v>
      </c>
      <c r="H254" s="192" t="s">
        <v>2266</v>
      </c>
      <c r="I254" s="192" t="s">
        <v>2266</v>
      </c>
      <c r="J254" s="43" t="s">
        <v>2265</v>
      </c>
      <c r="K254" s="48">
        <v>0</v>
      </c>
      <c r="L254" s="48" t="s">
        <v>59</v>
      </c>
      <c r="M254" s="34">
        <v>2003</v>
      </c>
      <c r="N254" s="43" t="s">
        <v>496</v>
      </c>
      <c r="O254" s="48" t="s">
        <v>1413</v>
      </c>
      <c r="P254" s="48" t="s">
        <v>1413</v>
      </c>
      <c r="Q254" s="48" t="s">
        <v>1413</v>
      </c>
      <c r="R254" s="43" t="s">
        <v>1967</v>
      </c>
      <c r="S254" s="43">
        <v>4</v>
      </c>
      <c r="T254" s="43">
        <v>59</v>
      </c>
      <c r="U254" s="43">
        <v>2</v>
      </c>
      <c r="V254" s="48">
        <v>29</v>
      </c>
      <c r="W254" s="48">
        <v>30</v>
      </c>
      <c r="X254" s="48" t="s">
        <v>59</v>
      </c>
      <c r="Y254" s="48" t="s">
        <v>59</v>
      </c>
      <c r="Z254" s="22">
        <v>0</v>
      </c>
      <c r="AA254" s="43">
        <v>0</v>
      </c>
      <c r="AB254" s="43" t="s">
        <v>59</v>
      </c>
      <c r="AC254" s="43" t="s">
        <v>1413</v>
      </c>
      <c r="AD254" s="43" t="s">
        <v>1413</v>
      </c>
      <c r="AE254" s="43" t="s">
        <v>59</v>
      </c>
      <c r="AF254" s="26" t="s">
        <v>1407</v>
      </c>
      <c r="AG254" s="26" t="s">
        <v>1407</v>
      </c>
      <c r="AK254" s="41" t="s">
        <v>489</v>
      </c>
    </row>
    <row r="255" spans="1:50">
      <c r="A255" s="28" t="s">
        <v>1985</v>
      </c>
      <c r="B255" s="22">
        <v>6324</v>
      </c>
      <c r="C255" s="22" t="s">
        <v>1986</v>
      </c>
      <c r="D255" s="22" t="s">
        <v>1987</v>
      </c>
      <c r="E255" s="22" t="s">
        <v>1988</v>
      </c>
      <c r="F255" s="22" t="s">
        <v>1989</v>
      </c>
      <c r="G255" s="192" t="s">
        <v>2266</v>
      </c>
      <c r="H255" s="192" t="s">
        <v>2266</v>
      </c>
      <c r="I255" s="192" t="s">
        <v>2266</v>
      </c>
      <c r="J255" s="22" t="s">
        <v>485</v>
      </c>
      <c r="K255" s="26">
        <v>42</v>
      </c>
      <c r="L255" s="26" t="s">
        <v>1413</v>
      </c>
      <c r="M255" s="34">
        <v>2003</v>
      </c>
      <c r="N255" s="43" t="s">
        <v>1491</v>
      </c>
      <c r="O255" s="26">
        <f>ROUND((797*64.3+737*64.3)/(797+737), 1)</f>
        <v>64.3</v>
      </c>
      <c r="P255" s="26">
        <f>ROUND((797*9.9+737*10)/(797+737), 1)</f>
        <v>9.9</v>
      </c>
      <c r="Q255" s="26">
        <f>ROUND((58.2+60.1)/2,1)</f>
        <v>59.2</v>
      </c>
      <c r="R255" s="22" t="s">
        <v>1990</v>
      </c>
      <c r="S255" s="22">
        <v>2</v>
      </c>
      <c r="T255" s="43">
        <v>1534</v>
      </c>
      <c r="U255" s="43">
        <v>2</v>
      </c>
      <c r="V255" s="48">
        <v>737</v>
      </c>
      <c r="W255" s="48">
        <v>797</v>
      </c>
      <c r="X255" s="48" t="s">
        <v>59</v>
      </c>
      <c r="Y255" s="48" t="s">
        <v>59</v>
      </c>
      <c r="Z255" s="43">
        <v>0</v>
      </c>
      <c r="AA255" s="22">
        <v>0</v>
      </c>
      <c r="AB255" s="43">
        <v>0</v>
      </c>
      <c r="AC255" s="22">
        <v>12</v>
      </c>
      <c r="AD255" s="22">
        <v>13</v>
      </c>
      <c r="AE255" s="22" t="s">
        <v>1991</v>
      </c>
      <c r="AF255" s="26" t="s">
        <v>1407</v>
      </c>
      <c r="AG255" s="26" t="s">
        <v>1407</v>
      </c>
      <c r="AJ255" s="41" t="s">
        <v>489</v>
      </c>
      <c r="AO255" s="41" t="s">
        <v>489</v>
      </c>
      <c r="AP255" s="41" t="s">
        <v>489</v>
      </c>
      <c r="AX255" s="22" t="s">
        <v>109</v>
      </c>
    </row>
    <row r="256" spans="1:50">
      <c r="A256" s="28" t="s">
        <v>1992</v>
      </c>
      <c r="B256" s="22">
        <v>6326</v>
      </c>
      <c r="C256" s="22" t="s">
        <v>1993</v>
      </c>
      <c r="D256" s="22" t="s">
        <v>1994</v>
      </c>
      <c r="E256" s="22" t="s">
        <v>1995</v>
      </c>
      <c r="F256" s="22" t="s">
        <v>1996</v>
      </c>
      <c r="G256" s="192" t="s">
        <v>2266</v>
      </c>
      <c r="H256" s="192" t="s">
        <v>2266</v>
      </c>
      <c r="I256" s="192" t="s">
        <v>2266</v>
      </c>
      <c r="J256" s="22" t="s">
        <v>485</v>
      </c>
      <c r="K256" s="48">
        <v>21</v>
      </c>
      <c r="L256" s="26" t="s">
        <v>1413</v>
      </c>
      <c r="M256" s="34">
        <v>2007</v>
      </c>
      <c r="N256" s="43" t="s">
        <v>1491</v>
      </c>
      <c r="O256" s="26">
        <v>57</v>
      </c>
      <c r="P256" s="26">
        <v>11.9</v>
      </c>
      <c r="Q256" s="48">
        <v>52</v>
      </c>
      <c r="R256" s="22" t="s">
        <v>1997</v>
      </c>
      <c r="S256" s="22">
        <v>2</v>
      </c>
      <c r="T256" s="43">
        <f>868+618</f>
        <v>1486</v>
      </c>
      <c r="U256" s="43">
        <v>2</v>
      </c>
      <c r="V256" s="48">
        <v>618</v>
      </c>
      <c r="W256" s="48">
        <v>868</v>
      </c>
      <c r="X256" s="48" t="s">
        <v>59</v>
      </c>
      <c r="Y256" s="48" t="s">
        <v>59</v>
      </c>
      <c r="Z256" s="43">
        <v>0</v>
      </c>
      <c r="AA256" s="43">
        <v>0</v>
      </c>
      <c r="AB256" s="43">
        <v>0</v>
      </c>
      <c r="AC256" s="22">
        <v>12</v>
      </c>
      <c r="AD256" s="22">
        <v>24</v>
      </c>
      <c r="AE256" s="43" t="s">
        <v>1998</v>
      </c>
      <c r="AF256" s="26" t="s">
        <v>1407</v>
      </c>
      <c r="AG256" s="26" t="s">
        <v>1407</v>
      </c>
      <c r="AI256" s="41" t="s">
        <v>1407</v>
      </c>
      <c r="AJ256" s="41" t="s">
        <v>1407</v>
      </c>
      <c r="AO256" s="41" t="s">
        <v>489</v>
      </c>
      <c r="AP256" s="41" t="s">
        <v>489</v>
      </c>
    </row>
    <row r="257" spans="1:46">
      <c r="A257" s="172" t="s">
        <v>2018</v>
      </c>
      <c r="B257" s="22">
        <v>6516</v>
      </c>
      <c r="C257" s="22" t="s">
        <v>2019</v>
      </c>
      <c r="D257" s="22" t="s">
        <v>2020</v>
      </c>
      <c r="E257" s="22" t="s">
        <v>2021</v>
      </c>
      <c r="F257" s="22" t="s">
        <v>2022</v>
      </c>
      <c r="G257" s="192" t="s">
        <v>2266</v>
      </c>
      <c r="H257" s="192" t="s">
        <v>2266</v>
      </c>
      <c r="I257" s="192" t="s">
        <v>2266</v>
      </c>
      <c r="J257" s="43" t="s">
        <v>2265</v>
      </c>
      <c r="K257" s="48">
        <v>0</v>
      </c>
      <c r="L257" s="48" t="s">
        <v>59</v>
      </c>
      <c r="M257" s="49">
        <v>2006</v>
      </c>
      <c r="N257" s="43" t="s">
        <v>628</v>
      </c>
      <c r="O257" s="48">
        <v>64.900000000000006</v>
      </c>
      <c r="P257" s="48">
        <v>12.31</v>
      </c>
      <c r="Q257" s="48">
        <v>59.9</v>
      </c>
      <c r="R257" s="43" t="s">
        <v>2023</v>
      </c>
      <c r="S257" s="43">
        <v>3</v>
      </c>
      <c r="T257" s="43">
        <v>227</v>
      </c>
      <c r="U257" s="43">
        <v>2</v>
      </c>
      <c r="V257" s="48">
        <v>112</v>
      </c>
      <c r="W257" s="48">
        <v>115</v>
      </c>
      <c r="X257" s="48" t="s">
        <v>59</v>
      </c>
      <c r="Y257" s="48" t="s">
        <v>59</v>
      </c>
      <c r="Z257" s="43">
        <v>0</v>
      </c>
      <c r="AA257" s="43">
        <v>0</v>
      </c>
      <c r="AB257" s="43" t="s">
        <v>59</v>
      </c>
      <c r="AC257" s="43">
        <v>6</v>
      </c>
      <c r="AD257" s="43">
        <v>6</v>
      </c>
      <c r="AE257" s="43" t="s">
        <v>59</v>
      </c>
      <c r="AF257" s="26" t="s">
        <v>1407</v>
      </c>
      <c r="AG257" s="26" t="s">
        <v>1407</v>
      </c>
      <c r="AJ257" s="41" t="s">
        <v>489</v>
      </c>
      <c r="AO257" s="41" t="s">
        <v>489</v>
      </c>
    </row>
    <row r="258" spans="1:46">
      <c r="A258" s="172" t="s">
        <v>2024</v>
      </c>
      <c r="B258" s="22">
        <v>6525</v>
      </c>
      <c r="C258" s="22" t="s">
        <v>2025</v>
      </c>
      <c r="D258" s="22" t="s">
        <v>2026</v>
      </c>
      <c r="E258" s="22" t="s">
        <v>1915</v>
      </c>
      <c r="F258" s="22" t="s">
        <v>1916</v>
      </c>
      <c r="G258" s="192" t="s">
        <v>2266</v>
      </c>
      <c r="H258" s="192" t="s">
        <v>2266</v>
      </c>
      <c r="I258" s="192" t="s">
        <v>2266</v>
      </c>
      <c r="J258" s="43" t="s">
        <v>2265</v>
      </c>
      <c r="K258" s="48">
        <v>0</v>
      </c>
      <c r="L258" s="48" t="s">
        <v>59</v>
      </c>
      <c r="M258" s="34">
        <v>2003</v>
      </c>
      <c r="N258" s="43" t="s">
        <v>1491</v>
      </c>
      <c r="O258" s="26">
        <f>ROUND((506*63.5+508*63.7)/(506+508), 1)</f>
        <v>63.6</v>
      </c>
      <c r="P258" s="48" t="s">
        <v>2027</v>
      </c>
      <c r="Q258" s="26">
        <f>ROUND((51+49)/2,1)</f>
        <v>50</v>
      </c>
      <c r="R258" s="43" t="s">
        <v>2028</v>
      </c>
      <c r="S258" s="43">
        <v>3</v>
      </c>
      <c r="T258" s="43">
        <v>1014</v>
      </c>
      <c r="U258" s="43">
        <v>2</v>
      </c>
      <c r="V258" s="48">
        <v>508</v>
      </c>
      <c r="W258" s="48">
        <v>506</v>
      </c>
      <c r="X258" s="48" t="s">
        <v>59</v>
      </c>
      <c r="Y258" s="48" t="s">
        <v>59</v>
      </c>
      <c r="Z258" s="43">
        <v>0</v>
      </c>
      <c r="AA258" s="43">
        <v>1</v>
      </c>
      <c r="AB258" s="43" t="s">
        <v>59</v>
      </c>
      <c r="AC258" s="43">
        <v>12</v>
      </c>
      <c r="AD258" s="43">
        <v>12</v>
      </c>
      <c r="AE258" s="43" t="s">
        <v>59</v>
      </c>
      <c r="AF258" s="26" t="s">
        <v>1407</v>
      </c>
      <c r="AG258" s="26" t="s">
        <v>1407</v>
      </c>
      <c r="AO258" s="41" t="s">
        <v>1407</v>
      </c>
      <c r="AP258" s="41" t="s">
        <v>1407</v>
      </c>
      <c r="AR258" s="41" t="s">
        <v>489</v>
      </c>
    </row>
    <row r="259" spans="1:46">
      <c r="A259" s="28" t="s">
        <v>2035</v>
      </c>
      <c r="B259" s="193">
        <v>6546</v>
      </c>
      <c r="C259" s="22" t="s">
        <v>2036</v>
      </c>
      <c r="D259" s="22" t="s">
        <v>2037</v>
      </c>
      <c r="E259" s="22" t="s">
        <v>2038</v>
      </c>
      <c r="F259" s="22" t="s">
        <v>2039</v>
      </c>
      <c r="G259" s="192" t="s">
        <v>2266</v>
      </c>
      <c r="H259" s="192" t="s">
        <v>2266</v>
      </c>
      <c r="I259" s="192" t="s">
        <v>2266</v>
      </c>
      <c r="J259" s="22" t="s">
        <v>485</v>
      </c>
      <c r="K259" s="48">
        <v>252</v>
      </c>
      <c r="L259" s="48">
        <v>252</v>
      </c>
      <c r="M259" s="49">
        <v>2004</v>
      </c>
      <c r="N259" s="43" t="s">
        <v>677</v>
      </c>
      <c r="O259" s="48">
        <v>65</v>
      </c>
      <c r="P259" s="48">
        <v>10</v>
      </c>
      <c r="Q259" s="26">
        <f>ROUND((981+1115+1172)/((971+981)+(991+1115)+(1060+1172))*100,1)</f>
        <v>52</v>
      </c>
      <c r="R259" s="43" t="s">
        <v>2040</v>
      </c>
      <c r="S259" s="43">
        <v>2</v>
      </c>
      <c r="T259" s="43">
        <v>6290</v>
      </c>
      <c r="U259" s="64">
        <v>3</v>
      </c>
      <c r="V259" s="48">
        <v>2232</v>
      </c>
      <c r="W259" s="48">
        <v>2106</v>
      </c>
      <c r="X259" s="48">
        <v>1952</v>
      </c>
      <c r="Y259" s="48" t="s">
        <v>59</v>
      </c>
      <c r="Z259" s="43">
        <v>0</v>
      </c>
      <c r="AA259" s="43">
        <v>1</v>
      </c>
      <c r="AB259" s="43">
        <v>0</v>
      </c>
      <c r="AC259" s="43">
        <v>1</v>
      </c>
      <c r="AD259" s="43">
        <v>12</v>
      </c>
      <c r="AE259" s="43" t="s">
        <v>2041</v>
      </c>
      <c r="AF259" s="26" t="s">
        <v>1407</v>
      </c>
      <c r="AG259" s="26" t="s">
        <v>1407</v>
      </c>
      <c r="AK259" s="41" t="s">
        <v>489</v>
      </c>
      <c r="AM259" s="41" t="s">
        <v>1407</v>
      </c>
    </row>
    <row r="260" spans="1:46">
      <c r="A260" s="28" t="s">
        <v>2045</v>
      </c>
      <c r="B260" s="22">
        <v>6563</v>
      </c>
      <c r="C260" s="22" t="s">
        <v>2046</v>
      </c>
      <c r="D260" s="22" t="s">
        <v>2047</v>
      </c>
      <c r="E260" s="22" t="s">
        <v>2048</v>
      </c>
      <c r="F260" s="22" t="s">
        <v>2049</v>
      </c>
      <c r="G260" s="192" t="s">
        <v>2266</v>
      </c>
      <c r="H260" s="192" t="s">
        <v>2266</v>
      </c>
      <c r="I260" s="192" t="s">
        <v>2266</v>
      </c>
      <c r="J260" s="22" t="s">
        <v>485</v>
      </c>
      <c r="K260" s="48">
        <v>14</v>
      </c>
      <c r="L260" s="48" t="s">
        <v>59</v>
      </c>
      <c r="M260" s="49">
        <v>1999</v>
      </c>
      <c r="N260" s="43" t="s">
        <v>496</v>
      </c>
      <c r="O260" s="48">
        <v>65.7</v>
      </c>
      <c r="P260" s="48" t="s">
        <v>1413</v>
      </c>
      <c r="Q260" s="48" t="s">
        <v>1413</v>
      </c>
      <c r="R260" s="43" t="s">
        <v>2050</v>
      </c>
      <c r="S260" s="43">
        <v>3</v>
      </c>
      <c r="T260" s="43">
        <v>1593</v>
      </c>
      <c r="U260" s="43">
        <v>2</v>
      </c>
      <c r="V260" s="48">
        <v>607</v>
      </c>
      <c r="W260" s="48">
        <v>986</v>
      </c>
      <c r="X260" s="48" t="s">
        <v>59</v>
      </c>
      <c r="Y260" s="48" t="s">
        <v>59</v>
      </c>
      <c r="Z260" s="43">
        <v>0</v>
      </c>
      <c r="AA260" s="43">
        <v>0</v>
      </c>
      <c r="AB260" s="43">
        <v>0</v>
      </c>
      <c r="AC260" s="43">
        <v>24</v>
      </c>
      <c r="AD260" s="43">
        <v>24</v>
      </c>
      <c r="AE260" s="43" t="s">
        <v>1413</v>
      </c>
      <c r="AF260" s="26" t="s">
        <v>1407</v>
      </c>
      <c r="AG260" s="26" t="s">
        <v>1407</v>
      </c>
      <c r="AR260" s="41" t="s">
        <v>1407</v>
      </c>
    </row>
    <row r="261" spans="1:46">
      <c r="A261" s="171" t="s">
        <v>862</v>
      </c>
      <c r="B261" s="22">
        <v>9197</v>
      </c>
      <c r="C261" s="43" t="s">
        <v>863</v>
      </c>
      <c r="D261" s="43" t="s">
        <v>864</v>
      </c>
      <c r="E261" s="50" t="s">
        <v>865</v>
      </c>
      <c r="F261" s="43" t="s">
        <v>866</v>
      </c>
      <c r="G261" s="22" t="s">
        <v>61</v>
      </c>
      <c r="H261" s="22">
        <v>0</v>
      </c>
      <c r="I261" s="22" t="s">
        <v>867</v>
      </c>
      <c r="J261" s="43" t="s">
        <v>2265</v>
      </c>
      <c r="K261" s="26" t="s">
        <v>59</v>
      </c>
      <c r="L261" s="26" t="s">
        <v>59</v>
      </c>
      <c r="M261" s="34">
        <v>2006</v>
      </c>
      <c r="N261" s="22" t="s">
        <v>496</v>
      </c>
      <c r="O261" s="26">
        <v>55.1</v>
      </c>
      <c r="P261" s="26">
        <v>10.7</v>
      </c>
      <c r="Q261" s="26">
        <v>56</v>
      </c>
      <c r="R261" s="22" t="s">
        <v>868</v>
      </c>
      <c r="S261" s="22">
        <v>2</v>
      </c>
      <c r="T261" s="22">
        <v>164</v>
      </c>
      <c r="U261" s="22">
        <v>3</v>
      </c>
      <c r="V261" s="26">
        <v>54</v>
      </c>
      <c r="W261" s="26">
        <v>55</v>
      </c>
      <c r="X261" s="26">
        <v>55</v>
      </c>
      <c r="Y261" s="26" t="s">
        <v>59</v>
      </c>
      <c r="Z261" s="22">
        <v>0</v>
      </c>
      <c r="AA261" s="22">
        <v>0</v>
      </c>
      <c r="AB261" s="34" t="s">
        <v>59</v>
      </c>
      <c r="AC261" s="22">
        <v>24</v>
      </c>
      <c r="AD261" s="22">
        <v>24</v>
      </c>
      <c r="AE261" s="43" t="s">
        <v>59</v>
      </c>
      <c r="AF261" s="26" t="s">
        <v>489</v>
      </c>
      <c r="AG261" s="26" t="s">
        <v>1407</v>
      </c>
      <c r="AT261" s="41" t="s">
        <v>489</v>
      </c>
    </row>
    <row r="262" spans="1:46">
      <c r="A262" s="28" t="s">
        <v>499</v>
      </c>
      <c r="B262" s="22">
        <v>9202</v>
      </c>
      <c r="C262" s="43" t="s">
        <v>500</v>
      </c>
      <c r="D262" s="43" t="s">
        <v>501</v>
      </c>
      <c r="E262" s="44" t="s">
        <v>502</v>
      </c>
      <c r="F262" s="43" t="s">
        <v>503</v>
      </c>
      <c r="G262" s="43" t="s">
        <v>61</v>
      </c>
      <c r="H262" s="22">
        <v>0</v>
      </c>
      <c r="I262" s="43" t="s">
        <v>504</v>
      </c>
      <c r="J262" s="22" t="s">
        <v>485</v>
      </c>
      <c r="K262" s="26">
        <v>8</v>
      </c>
      <c r="L262" s="26">
        <v>72</v>
      </c>
      <c r="M262" s="34">
        <v>2004</v>
      </c>
      <c r="N262" s="43" t="s">
        <v>496</v>
      </c>
      <c r="O262" s="48">
        <v>63</v>
      </c>
      <c r="P262" s="26" t="s">
        <v>61</v>
      </c>
      <c r="Q262" s="48">
        <v>34.200000000000003</v>
      </c>
      <c r="R262" s="43" t="s">
        <v>505</v>
      </c>
      <c r="S262" s="22">
        <v>3</v>
      </c>
      <c r="T262" s="22">
        <v>346</v>
      </c>
      <c r="U262" s="22">
        <v>2</v>
      </c>
      <c r="V262" s="26">
        <v>175</v>
      </c>
      <c r="W262" s="26">
        <v>171</v>
      </c>
      <c r="X262" s="48" t="s">
        <v>59</v>
      </c>
      <c r="Y262" s="48" t="s">
        <v>59</v>
      </c>
      <c r="Z262" s="22">
        <v>0</v>
      </c>
      <c r="AA262" s="22">
        <v>0</v>
      </c>
      <c r="AB262" s="22">
        <v>0</v>
      </c>
      <c r="AC262" s="22">
        <v>1</v>
      </c>
      <c r="AD262" s="22">
        <v>12</v>
      </c>
      <c r="AE262" s="43" t="s">
        <v>506</v>
      </c>
      <c r="AF262" s="26" t="s">
        <v>489</v>
      </c>
      <c r="AG262" s="26" t="s">
        <v>1407</v>
      </c>
      <c r="AK262" s="41" t="s">
        <v>489</v>
      </c>
      <c r="AL262" s="41"/>
      <c r="AM262" s="41" t="s">
        <v>489</v>
      </c>
      <c r="AN262" s="41"/>
      <c r="AO262" s="41"/>
      <c r="AP262" s="41"/>
      <c r="AQ262" s="41"/>
      <c r="AR262" s="41" t="s">
        <v>489</v>
      </c>
    </row>
    <row r="263" spans="1:46">
      <c r="A263" s="28" t="s">
        <v>507</v>
      </c>
      <c r="B263" s="22">
        <v>9210</v>
      </c>
      <c r="C263" s="43" t="s">
        <v>508</v>
      </c>
      <c r="D263" s="43" t="s">
        <v>509</v>
      </c>
      <c r="E263" s="44" t="s">
        <v>510</v>
      </c>
      <c r="F263" s="22" t="s">
        <v>511</v>
      </c>
      <c r="G263" s="43" t="s">
        <v>61</v>
      </c>
      <c r="H263" s="22">
        <v>0</v>
      </c>
      <c r="I263" s="43" t="s">
        <v>512</v>
      </c>
      <c r="J263" s="22" t="s">
        <v>485</v>
      </c>
      <c r="K263" s="26">
        <v>31</v>
      </c>
      <c r="L263" s="26">
        <v>124</v>
      </c>
      <c r="M263" s="34">
        <v>2008</v>
      </c>
      <c r="N263" s="22" t="s">
        <v>496</v>
      </c>
      <c r="O263" s="48" t="s">
        <v>61</v>
      </c>
      <c r="P263" s="48" t="s">
        <v>61</v>
      </c>
      <c r="Q263" s="48" t="s">
        <v>61</v>
      </c>
      <c r="R263" s="22" t="s">
        <v>513</v>
      </c>
      <c r="S263" s="22">
        <v>4</v>
      </c>
      <c r="T263" s="22">
        <v>7557</v>
      </c>
      <c r="U263" s="22">
        <v>2</v>
      </c>
      <c r="V263" s="26">
        <v>3773</v>
      </c>
      <c r="W263" s="26">
        <v>3784</v>
      </c>
      <c r="X263" s="26" t="s">
        <v>59</v>
      </c>
      <c r="Y263" s="26" t="s">
        <v>59</v>
      </c>
      <c r="Z263" s="22">
        <v>0</v>
      </c>
      <c r="AA263" s="22">
        <v>0</v>
      </c>
      <c r="AB263" s="22">
        <v>0</v>
      </c>
      <c r="AC263" s="22">
        <v>12</v>
      </c>
      <c r="AD263" s="22">
        <v>12</v>
      </c>
      <c r="AE263" s="22" t="s">
        <v>514</v>
      </c>
      <c r="AF263" s="48" t="s">
        <v>489</v>
      </c>
      <c r="AG263" s="26" t="s">
        <v>1407</v>
      </c>
      <c r="AR263" s="41" t="s">
        <v>489</v>
      </c>
    </row>
    <row r="264" spans="1:46">
      <c r="A264" s="171" t="s">
        <v>881</v>
      </c>
      <c r="B264" s="22">
        <v>10044</v>
      </c>
      <c r="C264" s="43" t="s">
        <v>882</v>
      </c>
      <c r="D264" s="43" t="s">
        <v>883</v>
      </c>
      <c r="E264" s="44" t="s">
        <v>884</v>
      </c>
      <c r="F264" s="43" t="s">
        <v>885</v>
      </c>
      <c r="G264" s="43" t="s">
        <v>61</v>
      </c>
      <c r="H264" s="43">
        <v>0</v>
      </c>
      <c r="I264" s="43" t="s">
        <v>886</v>
      </c>
      <c r="J264" s="43" t="s">
        <v>2265</v>
      </c>
      <c r="K264" s="48" t="s">
        <v>59</v>
      </c>
      <c r="L264" s="48" t="s">
        <v>59</v>
      </c>
      <c r="M264" s="34">
        <v>2010</v>
      </c>
      <c r="N264" s="43" t="s">
        <v>628</v>
      </c>
      <c r="O264" s="26" t="s">
        <v>61</v>
      </c>
      <c r="P264" s="26" t="s">
        <v>61</v>
      </c>
      <c r="Q264" s="26" t="s">
        <v>61</v>
      </c>
      <c r="R264" s="43" t="s">
        <v>887</v>
      </c>
      <c r="S264" s="22">
        <v>4</v>
      </c>
      <c r="T264" s="22">
        <v>110</v>
      </c>
      <c r="U264" s="22">
        <v>2</v>
      </c>
      <c r="V264" s="26">
        <v>55</v>
      </c>
      <c r="W264" s="26">
        <v>55</v>
      </c>
      <c r="X264" s="48" t="s">
        <v>59</v>
      </c>
      <c r="Y264" s="48" t="s">
        <v>59</v>
      </c>
      <c r="Z264" s="22">
        <v>0</v>
      </c>
      <c r="AA264" s="22">
        <v>0</v>
      </c>
      <c r="AB264" s="49" t="s">
        <v>59</v>
      </c>
      <c r="AC264" s="49" t="s">
        <v>888</v>
      </c>
      <c r="AD264" s="49">
        <v>12</v>
      </c>
      <c r="AE264" s="43" t="s">
        <v>59</v>
      </c>
      <c r="AF264" s="48" t="s">
        <v>489</v>
      </c>
      <c r="AG264" s="26" t="s">
        <v>1407</v>
      </c>
      <c r="AO264" s="41" t="s">
        <v>489</v>
      </c>
      <c r="AP264" s="41" t="s">
        <v>489</v>
      </c>
      <c r="AR264" s="41" t="s">
        <v>489</v>
      </c>
    </row>
    <row r="265" spans="1:46">
      <c r="A265" s="173" t="s">
        <v>910</v>
      </c>
      <c r="B265" s="52">
        <v>10075</v>
      </c>
      <c r="C265" s="52" t="s">
        <v>911</v>
      </c>
      <c r="D265" s="52" t="s">
        <v>912</v>
      </c>
      <c r="E265" s="44" t="s">
        <v>913</v>
      </c>
      <c r="F265" s="52" t="s">
        <v>914</v>
      </c>
      <c r="G265" s="52" t="s">
        <v>61</v>
      </c>
      <c r="H265" s="52">
        <v>0</v>
      </c>
      <c r="I265" s="191" t="s">
        <v>915</v>
      </c>
      <c r="J265" s="43" t="s">
        <v>2265</v>
      </c>
      <c r="K265" s="39" t="s">
        <v>59</v>
      </c>
      <c r="L265" s="39" t="s">
        <v>59</v>
      </c>
      <c r="M265" s="51">
        <v>2007</v>
      </c>
      <c r="N265" s="52" t="s">
        <v>496</v>
      </c>
      <c r="O265" s="26" t="s">
        <v>61</v>
      </c>
      <c r="P265" s="26" t="s">
        <v>61</v>
      </c>
      <c r="Q265" s="26" t="s">
        <v>61</v>
      </c>
      <c r="R265" s="52" t="s">
        <v>916</v>
      </c>
      <c r="S265" s="52">
        <v>3</v>
      </c>
      <c r="T265" s="52">
        <v>762</v>
      </c>
      <c r="U265" s="52">
        <v>2</v>
      </c>
      <c r="V265" s="39">
        <v>381</v>
      </c>
      <c r="W265" s="39">
        <v>381</v>
      </c>
      <c r="X265" s="39" t="s">
        <v>59</v>
      </c>
      <c r="Y265" s="39" t="s">
        <v>59</v>
      </c>
      <c r="Z265" s="52">
        <v>0</v>
      </c>
      <c r="AA265" s="52">
        <v>0</v>
      </c>
      <c r="AB265" s="51" t="s">
        <v>59</v>
      </c>
      <c r="AC265" s="52">
        <v>20</v>
      </c>
      <c r="AD265" s="52">
        <v>20</v>
      </c>
      <c r="AE265" s="52" t="s">
        <v>59</v>
      </c>
      <c r="AF265" s="39" t="s">
        <v>489</v>
      </c>
      <c r="AG265" s="26" t="s">
        <v>1407</v>
      </c>
      <c r="AH265" s="39"/>
      <c r="AI265" s="166"/>
      <c r="AJ265" s="166"/>
      <c r="AK265" s="166"/>
      <c r="AL265" s="166"/>
      <c r="AM265" s="166"/>
      <c r="AN265" s="166"/>
      <c r="AO265" s="166"/>
      <c r="AP265" s="166"/>
      <c r="AQ265" s="166"/>
      <c r="AR265" s="166" t="s">
        <v>489</v>
      </c>
      <c r="AS265" s="39"/>
      <c r="AT265" s="166"/>
    </row>
    <row r="266" spans="1:46">
      <c r="A266" s="169" t="s">
        <v>555</v>
      </c>
      <c r="B266" s="22">
        <v>10352</v>
      </c>
      <c r="C266" s="43" t="s">
        <v>556</v>
      </c>
      <c r="D266" s="43" t="s">
        <v>557</v>
      </c>
      <c r="E266" s="44" t="s">
        <v>558</v>
      </c>
      <c r="F266" s="43" t="s">
        <v>559</v>
      </c>
      <c r="G266" s="43" t="s">
        <v>61</v>
      </c>
      <c r="H266" s="43">
        <v>0</v>
      </c>
      <c r="I266" s="43" t="s">
        <v>61</v>
      </c>
      <c r="J266" s="22" t="s">
        <v>485</v>
      </c>
      <c r="K266" s="26">
        <v>239</v>
      </c>
      <c r="L266" s="26">
        <v>239</v>
      </c>
      <c r="M266" s="34">
        <v>2008</v>
      </c>
      <c r="N266" s="43" t="s">
        <v>496</v>
      </c>
      <c r="O266" s="26" t="s">
        <v>61</v>
      </c>
      <c r="P266" s="26" t="s">
        <v>61</v>
      </c>
      <c r="Q266" s="26" t="s">
        <v>61</v>
      </c>
      <c r="R266" s="43" t="s">
        <v>560</v>
      </c>
      <c r="S266" s="22">
        <v>3</v>
      </c>
      <c r="T266" s="22">
        <v>5011</v>
      </c>
      <c r="U266" s="22">
        <v>2</v>
      </c>
      <c r="V266" s="26">
        <v>2518</v>
      </c>
      <c r="W266" s="26">
        <v>2493</v>
      </c>
      <c r="X266" s="48" t="s">
        <v>59</v>
      </c>
      <c r="Y266" s="48" t="s">
        <v>59</v>
      </c>
      <c r="Z266" s="22">
        <v>0</v>
      </c>
      <c r="AA266" s="22">
        <v>0</v>
      </c>
      <c r="AB266" s="22">
        <v>0</v>
      </c>
      <c r="AC266" s="22">
        <v>9</v>
      </c>
      <c r="AD266" s="22">
        <v>9</v>
      </c>
      <c r="AE266" s="43" t="s">
        <v>561</v>
      </c>
      <c r="AF266" s="48" t="s">
        <v>489</v>
      </c>
      <c r="AG266" s="26" t="s">
        <v>1407</v>
      </c>
      <c r="AJ266" s="41" t="s">
        <v>489</v>
      </c>
      <c r="AK266" s="41" t="s">
        <v>489</v>
      </c>
      <c r="AL266" s="41" t="s">
        <v>489</v>
      </c>
      <c r="AM266" s="41" t="s">
        <v>489</v>
      </c>
    </row>
    <row r="267" spans="1:46">
      <c r="A267" s="173" t="s">
        <v>1099</v>
      </c>
      <c r="B267" s="52">
        <v>10867</v>
      </c>
      <c r="C267" s="52" t="s">
        <v>1100</v>
      </c>
      <c r="D267" s="52" t="s">
        <v>1101</v>
      </c>
      <c r="E267" s="54" t="s">
        <v>1102</v>
      </c>
      <c r="F267" s="52" t="s">
        <v>1103</v>
      </c>
      <c r="G267" s="52" t="s">
        <v>61</v>
      </c>
      <c r="H267" s="52">
        <v>0</v>
      </c>
      <c r="I267" s="52" t="s">
        <v>61</v>
      </c>
      <c r="J267" s="43" t="s">
        <v>2265</v>
      </c>
      <c r="K267" s="39" t="s">
        <v>59</v>
      </c>
      <c r="L267" s="39" t="s">
        <v>59</v>
      </c>
      <c r="M267" s="49">
        <v>2011</v>
      </c>
      <c r="N267" s="52" t="s">
        <v>496</v>
      </c>
      <c r="O267" s="39" t="s">
        <v>61</v>
      </c>
      <c r="P267" s="39" t="s">
        <v>61</v>
      </c>
      <c r="Q267" s="39" t="s">
        <v>61</v>
      </c>
      <c r="R267" s="56" t="s">
        <v>1104</v>
      </c>
      <c r="S267" s="52">
        <v>2</v>
      </c>
      <c r="T267" s="52">
        <v>103</v>
      </c>
      <c r="U267" s="52">
        <v>2</v>
      </c>
      <c r="V267" s="39">
        <v>53</v>
      </c>
      <c r="W267" s="39">
        <v>50</v>
      </c>
      <c r="X267" s="39" t="s">
        <v>59</v>
      </c>
      <c r="Y267" s="39" t="s">
        <v>59</v>
      </c>
      <c r="Z267" s="52">
        <v>0</v>
      </c>
      <c r="AA267" s="52">
        <v>0</v>
      </c>
      <c r="AB267" s="51" t="s">
        <v>59</v>
      </c>
      <c r="AC267" s="34" t="s">
        <v>61</v>
      </c>
      <c r="AD267" s="51">
        <v>17</v>
      </c>
      <c r="AE267" s="56" t="s">
        <v>59</v>
      </c>
      <c r="AF267" s="39" t="s">
        <v>489</v>
      </c>
      <c r="AG267" s="26" t="s">
        <v>1407</v>
      </c>
      <c r="AH267" s="166" t="s">
        <v>489</v>
      </c>
      <c r="AI267" s="39"/>
      <c r="AJ267" s="39"/>
      <c r="AK267" s="166" t="s">
        <v>489</v>
      </c>
      <c r="AL267" s="166" t="s">
        <v>489</v>
      </c>
      <c r="AM267" s="166"/>
      <c r="AN267" s="166"/>
      <c r="AO267" s="39"/>
      <c r="AP267" s="39"/>
      <c r="AQ267" s="166"/>
      <c r="AR267" s="39"/>
      <c r="AS267" s="39"/>
      <c r="AT267" s="39"/>
    </row>
    <row r="268" spans="1:46">
      <c r="A268" s="171" t="s">
        <v>1165</v>
      </c>
      <c r="B268" s="22">
        <v>12015</v>
      </c>
      <c r="C268" s="43" t="s">
        <v>1166</v>
      </c>
      <c r="D268" s="43" t="s">
        <v>1167</v>
      </c>
      <c r="E268" s="44" t="s">
        <v>1168</v>
      </c>
      <c r="F268" s="43" t="s">
        <v>1169</v>
      </c>
      <c r="G268" s="22" t="s">
        <v>61</v>
      </c>
      <c r="H268" s="22">
        <v>1</v>
      </c>
      <c r="I268" s="22" t="s">
        <v>1170</v>
      </c>
      <c r="J268" s="43" t="s">
        <v>2265</v>
      </c>
      <c r="K268" s="48" t="s">
        <v>59</v>
      </c>
      <c r="L268" s="48" t="s">
        <v>59</v>
      </c>
      <c r="M268" s="34">
        <v>2011</v>
      </c>
      <c r="N268" s="43" t="s">
        <v>1171</v>
      </c>
      <c r="O268" s="26">
        <v>53</v>
      </c>
      <c r="P268" s="26" t="s">
        <v>61</v>
      </c>
      <c r="Q268" s="26">
        <v>100</v>
      </c>
      <c r="R268" s="22" t="s">
        <v>1172</v>
      </c>
      <c r="S268" s="22">
        <v>4</v>
      </c>
      <c r="T268" s="22">
        <v>224</v>
      </c>
      <c r="U268" s="22">
        <v>2</v>
      </c>
      <c r="V268" s="26">
        <v>112</v>
      </c>
      <c r="W268" s="26">
        <v>112</v>
      </c>
      <c r="X268" s="26" t="s">
        <v>59</v>
      </c>
      <c r="Y268" s="26" t="s">
        <v>59</v>
      </c>
      <c r="Z268" s="22">
        <v>0</v>
      </c>
      <c r="AA268" s="22">
        <v>0</v>
      </c>
      <c r="AB268" s="34" t="s">
        <v>59</v>
      </c>
      <c r="AC268" s="22">
        <v>6</v>
      </c>
      <c r="AD268" s="22">
        <v>6</v>
      </c>
      <c r="AE268" s="22" t="s">
        <v>59</v>
      </c>
      <c r="AF268" s="48" t="s">
        <v>489</v>
      </c>
      <c r="AG268" s="26" t="s">
        <v>1407</v>
      </c>
      <c r="AS268" s="41" t="s">
        <v>489</v>
      </c>
    </row>
    <row r="269" spans="1:46">
      <c r="A269" s="169" t="s">
        <v>622</v>
      </c>
      <c r="B269" s="22">
        <v>12156</v>
      </c>
      <c r="C269" s="43" t="s">
        <v>623</v>
      </c>
      <c r="D269" s="43" t="s">
        <v>624</v>
      </c>
      <c r="E269" s="44" t="s">
        <v>625</v>
      </c>
      <c r="F269" s="43" t="s">
        <v>626</v>
      </c>
      <c r="G269" s="43" t="s">
        <v>61</v>
      </c>
      <c r="H269" s="22">
        <v>0</v>
      </c>
      <c r="I269" s="22" t="s">
        <v>627</v>
      </c>
      <c r="J269" s="22" t="s">
        <v>485</v>
      </c>
      <c r="K269" s="26">
        <v>80</v>
      </c>
      <c r="L269" s="26" t="s">
        <v>61</v>
      </c>
      <c r="M269" s="34">
        <v>2010</v>
      </c>
      <c r="N269" s="43" t="s">
        <v>628</v>
      </c>
      <c r="O269" s="26" t="s">
        <v>61</v>
      </c>
      <c r="P269" s="26" t="s">
        <v>61</v>
      </c>
      <c r="Q269" s="26" t="s">
        <v>61</v>
      </c>
      <c r="R269" s="43" t="s">
        <v>629</v>
      </c>
      <c r="S269" s="22">
        <v>3</v>
      </c>
      <c r="T269" s="22">
        <v>1592</v>
      </c>
      <c r="U269" s="22">
        <v>2</v>
      </c>
      <c r="V269" s="26">
        <v>797</v>
      </c>
      <c r="W269" s="26">
        <v>795</v>
      </c>
      <c r="X269" s="26" t="s">
        <v>59</v>
      </c>
      <c r="Y269" s="26" t="s">
        <v>59</v>
      </c>
      <c r="Z269" s="22">
        <v>0</v>
      </c>
      <c r="AA269" s="22">
        <v>1</v>
      </c>
      <c r="AB269" s="22">
        <v>1</v>
      </c>
      <c r="AC269" s="22">
        <v>10</v>
      </c>
      <c r="AD269" s="22">
        <v>10</v>
      </c>
      <c r="AE269" s="22" t="s">
        <v>630</v>
      </c>
      <c r="AF269" s="26" t="s">
        <v>489</v>
      </c>
      <c r="AG269" s="26" t="s">
        <v>1407</v>
      </c>
      <c r="AI269" s="41" t="s">
        <v>489</v>
      </c>
      <c r="AJ269" s="41" t="s">
        <v>489</v>
      </c>
      <c r="AK269" s="48"/>
      <c r="AL269" s="48"/>
      <c r="AR269" s="41" t="s">
        <v>489</v>
      </c>
    </row>
    <row r="270" spans="1:46">
      <c r="A270" s="169" t="s">
        <v>631</v>
      </c>
      <c r="B270" s="22">
        <v>12174</v>
      </c>
      <c r="C270" s="43" t="s">
        <v>632</v>
      </c>
      <c r="D270" s="43" t="s">
        <v>633</v>
      </c>
      <c r="E270" s="44" t="s">
        <v>634</v>
      </c>
      <c r="F270" s="43" t="s">
        <v>635</v>
      </c>
      <c r="G270" s="43" t="s">
        <v>636</v>
      </c>
      <c r="H270" s="22">
        <v>0</v>
      </c>
      <c r="I270" s="22" t="s">
        <v>637</v>
      </c>
      <c r="J270" s="22" t="s">
        <v>485</v>
      </c>
      <c r="K270" s="26">
        <v>40</v>
      </c>
      <c r="L270" s="48" t="s">
        <v>61</v>
      </c>
      <c r="M270" s="34">
        <v>2014</v>
      </c>
      <c r="N270" s="22" t="s">
        <v>496</v>
      </c>
      <c r="O270" s="26" t="s">
        <v>61</v>
      </c>
      <c r="P270" s="26" t="s">
        <v>61</v>
      </c>
      <c r="Q270" s="26" t="s">
        <v>61</v>
      </c>
      <c r="R270" s="22" t="s">
        <v>638</v>
      </c>
      <c r="S270" s="22">
        <v>4</v>
      </c>
      <c r="T270" s="22">
        <v>822</v>
      </c>
      <c r="U270" s="22">
        <v>3</v>
      </c>
      <c r="V270" s="26">
        <v>321</v>
      </c>
      <c r="W270" s="26">
        <v>189</v>
      </c>
      <c r="X270" s="26">
        <v>312</v>
      </c>
      <c r="Y270" s="48" t="s">
        <v>59</v>
      </c>
      <c r="Z270" s="22">
        <v>0</v>
      </c>
      <c r="AA270" s="22">
        <v>0</v>
      </c>
      <c r="AB270" s="22">
        <v>0</v>
      </c>
      <c r="AC270" s="22">
        <v>18</v>
      </c>
      <c r="AD270" s="22">
        <v>18</v>
      </c>
      <c r="AE270" s="22" t="s">
        <v>639</v>
      </c>
      <c r="AF270" s="26" t="s">
        <v>489</v>
      </c>
      <c r="AG270" s="26" t="s">
        <v>1407</v>
      </c>
      <c r="AK270" s="41" t="s">
        <v>489</v>
      </c>
      <c r="AL270" s="41" t="s">
        <v>489</v>
      </c>
      <c r="AM270" s="41" t="s">
        <v>489</v>
      </c>
    </row>
    <row r="271" spans="1:46">
      <c r="A271" s="169" t="s">
        <v>689</v>
      </c>
      <c r="B271" s="22">
        <v>12364</v>
      </c>
      <c r="C271" s="43" t="s">
        <v>690</v>
      </c>
      <c r="D271" s="43" t="s">
        <v>691</v>
      </c>
      <c r="E271" s="44" t="s">
        <v>692</v>
      </c>
      <c r="F271" s="43" t="s">
        <v>693</v>
      </c>
      <c r="G271" s="43" t="s">
        <v>61</v>
      </c>
      <c r="H271" s="22">
        <v>0</v>
      </c>
      <c r="I271" s="22" t="s">
        <v>61</v>
      </c>
      <c r="J271" s="22" t="s">
        <v>485</v>
      </c>
      <c r="K271" s="48">
        <v>108</v>
      </c>
      <c r="L271" s="26">
        <v>108</v>
      </c>
      <c r="M271" s="34">
        <v>2009</v>
      </c>
      <c r="N271" s="43" t="s">
        <v>694</v>
      </c>
      <c r="O271" s="26" t="s">
        <v>61</v>
      </c>
      <c r="P271" s="26" t="s">
        <v>61</v>
      </c>
      <c r="Q271" s="26" t="s">
        <v>61</v>
      </c>
      <c r="R271" s="29" t="s">
        <v>695</v>
      </c>
      <c r="S271" s="22">
        <v>2</v>
      </c>
      <c r="T271" s="22">
        <v>2938</v>
      </c>
      <c r="U271" s="22">
        <v>2</v>
      </c>
      <c r="V271" s="26">
        <v>1437</v>
      </c>
      <c r="W271" s="26">
        <v>1501</v>
      </c>
      <c r="X271" s="48" t="s">
        <v>59</v>
      </c>
      <c r="Y271" s="48" t="s">
        <v>59</v>
      </c>
      <c r="Z271" s="22">
        <v>0</v>
      </c>
      <c r="AA271" s="22">
        <v>0</v>
      </c>
      <c r="AB271" s="49">
        <v>0</v>
      </c>
      <c r="AC271" s="22">
        <v>12</v>
      </c>
      <c r="AD271" s="22">
        <v>12</v>
      </c>
      <c r="AE271" s="22" t="s">
        <v>696</v>
      </c>
      <c r="AF271" s="26" t="s">
        <v>489</v>
      </c>
      <c r="AG271" s="26" t="s">
        <v>1407</v>
      </c>
      <c r="AK271" s="41" t="s">
        <v>489</v>
      </c>
      <c r="AL271" s="41" t="s">
        <v>489</v>
      </c>
      <c r="AM271" s="41" t="s">
        <v>489</v>
      </c>
      <c r="AS271" s="41" t="s">
        <v>489</v>
      </c>
      <c r="AT271" s="41"/>
    </row>
    <row r="272" spans="1:46">
      <c r="A272" s="172" t="s">
        <v>1295</v>
      </c>
      <c r="B272" s="22">
        <v>12410</v>
      </c>
      <c r="C272" s="43" t="s">
        <v>1296</v>
      </c>
      <c r="D272" s="43" t="s">
        <v>1297</v>
      </c>
      <c r="E272" s="44" t="s">
        <v>1298</v>
      </c>
      <c r="F272" s="43" t="s">
        <v>1299</v>
      </c>
      <c r="G272" s="43" t="s">
        <v>61</v>
      </c>
      <c r="H272" s="22">
        <v>0</v>
      </c>
      <c r="I272" s="22" t="s">
        <v>61</v>
      </c>
      <c r="J272" s="43" t="s">
        <v>2265</v>
      </c>
      <c r="K272" s="48" t="s">
        <v>59</v>
      </c>
      <c r="L272" s="26" t="s">
        <v>59</v>
      </c>
      <c r="M272" s="34">
        <v>2013</v>
      </c>
      <c r="N272" s="22" t="s">
        <v>1203</v>
      </c>
      <c r="O272" s="26" t="s">
        <v>61</v>
      </c>
      <c r="P272" s="26" t="s">
        <v>61</v>
      </c>
      <c r="Q272" s="26" t="s">
        <v>61</v>
      </c>
      <c r="R272" s="22" t="s">
        <v>1300</v>
      </c>
      <c r="S272" s="22">
        <v>3</v>
      </c>
      <c r="T272" s="22">
        <v>4644</v>
      </c>
      <c r="U272" s="22">
        <v>2</v>
      </c>
      <c r="V272" s="26">
        <v>2319</v>
      </c>
      <c r="W272" s="26">
        <v>2325</v>
      </c>
      <c r="X272" s="48" t="s">
        <v>59</v>
      </c>
      <c r="Y272" s="48" t="s">
        <v>59</v>
      </c>
      <c r="Z272" s="22">
        <v>0</v>
      </c>
      <c r="AA272" s="22">
        <v>1</v>
      </c>
      <c r="AB272" s="49" t="s">
        <v>59</v>
      </c>
      <c r="AC272" s="49" t="s">
        <v>61</v>
      </c>
      <c r="AD272" s="49" t="s">
        <v>61</v>
      </c>
      <c r="AE272" s="43" t="s">
        <v>59</v>
      </c>
      <c r="AF272" s="48" t="s">
        <v>489</v>
      </c>
      <c r="AG272" s="26" t="s">
        <v>1407</v>
      </c>
      <c r="AK272" s="41" t="s">
        <v>489</v>
      </c>
    </row>
    <row r="273" spans="1:45">
      <c r="A273" s="169" t="s">
        <v>728</v>
      </c>
      <c r="B273" s="22">
        <v>12605</v>
      </c>
      <c r="C273" s="43" t="s">
        <v>729</v>
      </c>
      <c r="D273" s="43" t="s">
        <v>730</v>
      </c>
      <c r="E273" s="44" t="s">
        <v>731</v>
      </c>
      <c r="F273" s="44" t="s">
        <v>732</v>
      </c>
      <c r="G273" s="44" t="s">
        <v>733</v>
      </c>
      <c r="H273" s="22">
        <v>0</v>
      </c>
      <c r="I273" s="22" t="s">
        <v>734</v>
      </c>
      <c r="J273" s="22" t="s">
        <v>2265</v>
      </c>
      <c r="K273" s="48" t="s">
        <v>61</v>
      </c>
      <c r="L273" s="26">
        <v>7</v>
      </c>
      <c r="M273" s="49">
        <v>2012</v>
      </c>
      <c r="N273" s="22" t="s">
        <v>735</v>
      </c>
      <c r="O273" s="26" t="s">
        <v>61</v>
      </c>
      <c r="P273" s="26" t="s">
        <v>61</v>
      </c>
      <c r="Q273" s="26" t="s">
        <v>61</v>
      </c>
      <c r="R273" s="43" t="s">
        <v>736</v>
      </c>
      <c r="S273" s="22">
        <v>2</v>
      </c>
      <c r="T273" s="22">
        <v>1535</v>
      </c>
      <c r="U273" s="22">
        <v>2</v>
      </c>
      <c r="V273" s="26">
        <v>501</v>
      </c>
      <c r="W273" s="26">
        <v>1034</v>
      </c>
      <c r="X273" s="48" t="s">
        <v>59</v>
      </c>
      <c r="Y273" s="48" t="s">
        <v>59</v>
      </c>
      <c r="Z273" s="22">
        <v>0</v>
      </c>
      <c r="AA273" s="22">
        <v>1</v>
      </c>
      <c r="AB273" s="22">
        <v>0</v>
      </c>
      <c r="AC273" s="22">
        <v>12</v>
      </c>
      <c r="AD273" s="22">
        <v>12</v>
      </c>
      <c r="AE273" s="43" t="s">
        <v>737</v>
      </c>
      <c r="AF273" s="236" t="s">
        <v>109</v>
      </c>
      <c r="AG273" s="26" t="s">
        <v>1407</v>
      </c>
      <c r="AR273" s="41" t="s">
        <v>489</v>
      </c>
    </row>
    <row r="274" spans="1:45">
      <c r="J274" s="43"/>
      <c r="K274" s="48"/>
      <c r="L274" s="48"/>
      <c r="N274" s="43"/>
      <c r="R274" s="43"/>
      <c r="S274" s="43"/>
      <c r="T274" s="43"/>
      <c r="U274" s="43"/>
      <c r="V274" s="48"/>
      <c r="W274" s="48"/>
      <c r="X274" s="48"/>
      <c r="Y274" s="48"/>
      <c r="Z274" s="43"/>
      <c r="AC274" s="43"/>
      <c r="AD274" s="43"/>
      <c r="AE274" s="43"/>
      <c r="AQ274" s="41"/>
    </row>
    <row r="275" spans="1:45">
      <c r="A275" s="49"/>
      <c r="C275" s="43"/>
      <c r="E275" s="199"/>
      <c r="F275" s="43"/>
      <c r="G275" s="43"/>
      <c r="I275" s="43"/>
      <c r="J275" s="43"/>
      <c r="K275" s="48"/>
      <c r="L275" s="48"/>
      <c r="N275" s="43"/>
      <c r="R275" s="43"/>
      <c r="V275" s="26"/>
      <c r="W275" s="26"/>
      <c r="X275" s="48"/>
      <c r="Y275" s="48"/>
      <c r="AB275" s="49"/>
      <c r="AE275" s="43"/>
      <c r="AF275" s="48"/>
      <c r="AI275" s="41"/>
      <c r="AR275" s="41"/>
    </row>
    <row r="276" spans="1:45">
      <c r="A276" s="42" t="s">
        <v>3544</v>
      </c>
      <c r="J276" s="43"/>
      <c r="T276" s="43"/>
      <c r="V276" s="39"/>
      <c r="W276" s="39"/>
      <c r="X276" s="48"/>
      <c r="Y276" s="48"/>
      <c r="AI276" s="41"/>
      <c r="AN276" s="41"/>
      <c r="AO276" s="41"/>
      <c r="AP276" s="41"/>
      <c r="AQ276" s="41"/>
      <c r="AR276" s="41"/>
    </row>
    <row r="277" spans="1:45">
      <c r="A277" s="34" t="s">
        <v>3539</v>
      </c>
      <c r="B277" s="22">
        <v>2116</v>
      </c>
      <c r="C277" s="22" t="s">
        <v>2179</v>
      </c>
      <c r="D277" s="43" t="s">
        <v>2180</v>
      </c>
      <c r="E277" s="240" t="s">
        <v>2181</v>
      </c>
      <c r="F277" s="22" t="s">
        <v>2182</v>
      </c>
      <c r="G277" s="192" t="s">
        <v>2266</v>
      </c>
      <c r="H277" s="192" t="s">
        <v>2266</v>
      </c>
      <c r="I277" s="192" t="s">
        <v>2266</v>
      </c>
      <c r="J277" s="22" t="s">
        <v>485</v>
      </c>
      <c r="K277" s="236">
        <v>4</v>
      </c>
      <c r="L277" s="200" t="s">
        <v>2183</v>
      </c>
      <c r="M277" s="34" t="s">
        <v>2184</v>
      </c>
      <c r="N277" s="22" t="s">
        <v>496</v>
      </c>
      <c r="O277" s="26">
        <f>ROUND((191*60.9+205*59.9)/(191+205), 1)</f>
        <v>60.4</v>
      </c>
      <c r="P277" s="26">
        <v>9.6</v>
      </c>
      <c r="Q277" s="26">
        <f>ROUND((191*18+205*20)/(191+205), 1)</f>
        <v>19</v>
      </c>
      <c r="R277" s="22" t="s">
        <v>2185</v>
      </c>
      <c r="S277" s="22">
        <v>2</v>
      </c>
      <c r="T277" s="22">
        <v>484</v>
      </c>
      <c r="U277" s="22">
        <v>2</v>
      </c>
      <c r="V277" s="48">
        <v>205</v>
      </c>
      <c r="W277" s="48">
        <v>191</v>
      </c>
      <c r="X277" s="48" t="s">
        <v>59</v>
      </c>
      <c r="Y277" s="48" t="s">
        <v>59</v>
      </c>
      <c r="Z277" s="22">
        <v>0</v>
      </c>
      <c r="AA277" s="22">
        <v>1</v>
      </c>
      <c r="AB277" s="22">
        <v>0</v>
      </c>
      <c r="AC277" s="22">
        <v>12</v>
      </c>
      <c r="AD277" s="22">
        <v>12</v>
      </c>
      <c r="AE277" s="22" t="s">
        <v>2186</v>
      </c>
      <c r="AF277" s="26" t="s">
        <v>1407</v>
      </c>
      <c r="AG277" s="26" t="s">
        <v>1407</v>
      </c>
      <c r="AL277" s="41" t="s">
        <v>489</v>
      </c>
      <c r="AM277" s="26" t="s">
        <v>109</v>
      </c>
    </row>
    <row r="278" spans="1:45">
      <c r="A278" s="34" t="s">
        <v>3540</v>
      </c>
      <c r="B278" s="22">
        <v>5304</v>
      </c>
      <c r="C278" s="22" t="s">
        <v>2187</v>
      </c>
      <c r="D278" s="22" t="s">
        <v>2188</v>
      </c>
      <c r="E278" s="22" t="s">
        <v>2189</v>
      </c>
      <c r="F278" s="22" t="s">
        <v>2190</v>
      </c>
      <c r="G278" s="192" t="s">
        <v>2266</v>
      </c>
      <c r="H278" s="192" t="s">
        <v>2266</v>
      </c>
      <c r="I278" s="192" t="s">
        <v>2266</v>
      </c>
      <c r="J278" s="22" t="s">
        <v>485</v>
      </c>
      <c r="K278" s="238">
        <v>2</v>
      </c>
      <c r="L278" s="26">
        <f>21+19</f>
        <v>40</v>
      </c>
      <c r="M278" s="34" t="s">
        <v>2191</v>
      </c>
      <c r="N278" s="22" t="s">
        <v>486</v>
      </c>
      <c r="O278" s="26">
        <f>ROUND((48*62.7+46*61.3)/(48+46), 1)</f>
        <v>62</v>
      </c>
      <c r="P278" s="26">
        <f>ROUND((48*9.5+46*9.7)/(48+46), 1)</f>
        <v>9.6</v>
      </c>
      <c r="Q278" s="26">
        <f>((100-52)+(100-61))/2</f>
        <v>43.5</v>
      </c>
      <c r="R278" s="22" t="s">
        <v>2192</v>
      </c>
      <c r="S278" s="22">
        <v>2</v>
      </c>
      <c r="T278" s="22">
        <f>46+48</f>
        <v>94</v>
      </c>
      <c r="U278" s="22">
        <v>2</v>
      </c>
      <c r="V278" s="48">
        <v>46</v>
      </c>
      <c r="W278" s="48">
        <v>48</v>
      </c>
      <c r="X278" s="48" t="s">
        <v>59</v>
      </c>
      <c r="Y278" s="48" t="s">
        <v>59</v>
      </c>
      <c r="Z278" s="22">
        <v>0</v>
      </c>
      <c r="AA278" s="22">
        <v>1</v>
      </c>
      <c r="AB278" s="22" t="s">
        <v>1434</v>
      </c>
      <c r="AC278" s="22">
        <v>6</v>
      </c>
      <c r="AD278" s="22">
        <v>12</v>
      </c>
      <c r="AE278" s="22" t="s">
        <v>2193</v>
      </c>
      <c r="AF278" s="26" t="s">
        <v>1407</v>
      </c>
      <c r="AG278" s="26" t="s">
        <v>1407</v>
      </c>
      <c r="AO278" s="41" t="s">
        <v>489</v>
      </c>
      <c r="AP278" s="41" t="s">
        <v>489</v>
      </c>
      <c r="AS278" s="41" t="s">
        <v>489</v>
      </c>
    </row>
    <row r="279" spans="1:45">
      <c r="A279" s="34" t="s">
        <v>3534</v>
      </c>
      <c r="B279" s="22">
        <v>6078</v>
      </c>
      <c r="C279" s="22" t="s">
        <v>2194</v>
      </c>
      <c r="D279" s="22" t="s">
        <v>2195</v>
      </c>
      <c r="E279" s="22" t="s">
        <v>2196</v>
      </c>
      <c r="F279" s="22" t="s">
        <v>2197</v>
      </c>
      <c r="G279" s="192" t="s">
        <v>2266</v>
      </c>
      <c r="H279" s="192" t="s">
        <v>2266</v>
      </c>
      <c r="I279" s="192" t="s">
        <v>2266</v>
      </c>
      <c r="J279" s="22" t="s">
        <v>485</v>
      </c>
      <c r="K279" s="236">
        <v>2</v>
      </c>
      <c r="L279" s="48" t="s">
        <v>1413</v>
      </c>
      <c r="M279" s="34">
        <v>2004</v>
      </c>
      <c r="N279" s="43" t="s">
        <v>1643</v>
      </c>
      <c r="O279" s="26">
        <f>ROUND((34*63+48*58)/(34+48), 1)</f>
        <v>60.1</v>
      </c>
      <c r="P279" s="26">
        <f>ROUND((34*9+48*14)/(34+48), 1)</f>
        <v>11.9</v>
      </c>
      <c r="Q279" s="26">
        <f>ROUND((35+50)/2,1)</f>
        <v>42.5</v>
      </c>
      <c r="R279" s="43" t="s">
        <v>2198</v>
      </c>
      <c r="S279" s="43">
        <v>2</v>
      </c>
      <c r="T279" s="43">
        <f>34+48</f>
        <v>82</v>
      </c>
      <c r="U279" s="43">
        <v>2</v>
      </c>
      <c r="V279" s="48">
        <v>34</v>
      </c>
      <c r="W279" s="48">
        <v>48</v>
      </c>
      <c r="X279" s="48" t="s">
        <v>59</v>
      </c>
      <c r="Y279" s="48" t="s">
        <v>59</v>
      </c>
      <c r="Z279" s="22">
        <v>0</v>
      </c>
      <c r="AA279" s="43">
        <v>0</v>
      </c>
      <c r="AB279" s="22">
        <v>0</v>
      </c>
      <c r="AC279" s="43">
        <v>6</v>
      </c>
      <c r="AD279" s="43">
        <v>6</v>
      </c>
      <c r="AE279" s="43" t="s">
        <v>2199</v>
      </c>
      <c r="AF279" s="26" t="s">
        <v>1407</v>
      </c>
      <c r="AG279" s="26" t="s">
        <v>1407</v>
      </c>
      <c r="AN279" s="41" t="s">
        <v>489</v>
      </c>
    </row>
    <row r="280" spans="1:45">
      <c r="A280" s="34" t="s">
        <v>3541</v>
      </c>
      <c r="B280" s="22">
        <v>8069</v>
      </c>
      <c r="C280" s="22" t="s">
        <v>2200</v>
      </c>
      <c r="D280" s="22" t="s">
        <v>2201</v>
      </c>
      <c r="E280" s="22" t="s">
        <v>2202</v>
      </c>
      <c r="F280" s="22" t="s">
        <v>2203</v>
      </c>
      <c r="G280" s="192" t="s">
        <v>2266</v>
      </c>
      <c r="H280" s="192" t="s">
        <v>2266</v>
      </c>
      <c r="I280" s="192" t="s">
        <v>2266</v>
      </c>
      <c r="J280" s="22" t="s">
        <v>485</v>
      </c>
      <c r="K280" s="238">
        <v>4</v>
      </c>
      <c r="L280" s="26">
        <v>15</v>
      </c>
      <c r="M280" s="34" t="s">
        <v>2204</v>
      </c>
      <c r="N280" s="22" t="s">
        <v>1643</v>
      </c>
      <c r="O280" s="26">
        <f>(65.8*175+63.1*242)/(175+242)</f>
        <v>64.233093525179854</v>
      </c>
      <c r="P280" s="26" t="s">
        <v>1413</v>
      </c>
      <c r="Q280" s="26">
        <f>(36.6*175+55.8*242)/(175+242)</f>
        <v>47.742446043165465</v>
      </c>
      <c r="R280" s="22" t="s">
        <v>2205</v>
      </c>
      <c r="S280" s="22">
        <v>2</v>
      </c>
      <c r="T280" s="22">
        <v>429</v>
      </c>
      <c r="U280" s="22">
        <v>2</v>
      </c>
      <c r="V280" s="39">
        <v>175</v>
      </c>
      <c r="W280" s="39">
        <v>242</v>
      </c>
      <c r="X280" s="48" t="s">
        <v>59</v>
      </c>
      <c r="Y280" s="48" t="s">
        <v>59</v>
      </c>
      <c r="Z280" s="22">
        <v>0</v>
      </c>
      <c r="AA280" s="22">
        <v>0</v>
      </c>
      <c r="AB280" s="22">
        <v>0</v>
      </c>
      <c r="AC280" s="22">
        <v>12</v>
      </c>
      <c r="AD280" s="22">
        <v>12</v>
      </c>
      <c r="AE280" s="22" t="s">
        <v>2206</v>
      </c>
      <c r="AF280" s="26" t="s">
        <v>1407</v>
      </c>
      <c r="AG280" s="26" t="s">
        <v>1407</v>
      </c>
      <c r="AN280" s="41" t="s">
        <v>489</v>
      </c>
      <c r="AO280" s="41" t="s">
        <v>489</v>
      </c>
      <c r="AQ280" s="41" t="s">
        <v>489</v>
      </c>
      <c r="AR280" s="41" t="s">
        <v>489</v>
      </c>
    </row>
    <row r="281" spans="1:45">
      <c r="A281" s="49" t="s">
        <v>3533</v>
      </c>
      <c r="B281" s="22">
        <v>10380</v>
      </c>
      <c r="C281" s="43" t="s">
        <v>2258</v>
      </c>
      <c r="D281" s="43" t="s">
        <v>2259</v>
      </c>
      <c r="E281" s="44" t="s">
        <v>2260</v>
      </c>
      <c r="F281" s="43" t="s">
        <v>2261</v>
      </c>
      <c r="G281" s="22" t="s">
        <v>61</v>
      </c>
      <c r="H281" s="22">
        <v>0</v>
      </c>
      <c r="I281" s="22" t="s">
        <v>61</v>
      </c>
      <c r="J281" s="22" t="s">
        <v>485</v>
      </c>
      <c r="K281" s="238">
        <v>2</v>
      </c>
      <c r="L281" s="26" t="s">
        <v>61</v>
      </c>
      <c r="M281" s="34">
        <v>2010</v>
      </c>
      <c r="N281" s="22" t="s">
        <v>2262</v>
      </c>
      <c r="O281" s="26" t="s">
        <v>61</v>
      </c>
      <c r="P281" s="26" t="s">
        <v>61</v>
      </c>
      <c r="Q281" s="26" t="s">
        <v>61</v>
      </c>
      <c r="R281" s="22" t="s">
        <v>2263</v>
      </c>
      <c r="S281" s="22">
        <v>3</v>
      </c>
      <c r="T281" s="22">
        <v>679</v>
      </c>
      <c r="U281" s="22">
        <v>2</v>
      </c>
      <c r="V281" s="26">
        <v>162</v>
      </c>
      <c r="W281" s="26">
        <v>517</v>
      </c>
      <c r="X281" s="26" t="s">
        <v>59</v>
      </c>
      <c r="Y281" s="26" t="s">
        <v>59</v>
      </c>
      <c r="Z281" s="22">
        <v>0</v>
      </c>
      <c r="AA281" s="22">
        <v>0</v>
      </c>
      <c r="AB281" s="22">
        <v>0</v>
      </c>
      <c r="AC281" s="22">
        <v>12</v>
      </c>
      <c r="AD281" s="22">
        <v>12</v>
      </c>
      <c r="AE281" s="22" t="s">
        <v>2264</v>
      </c>
      <c r="AF281" s="48" t="s">
        <v>489</v>
      </c>
      <c r="AG281" s="26" t="s">
        <v>58</v>
      </c>
      <c r="AK281" s="41" t="s">
        <v>489</v>
      </c>
      <c r="AL281" s="41" t="s">
        <v>489</v>
      </c>
      <c r="AM281" s="41" t="s">
        <v>489</v>
      </c>
      <c r="AN281" s="41" t="s">
        <v>489</v>
      </c>
    </row>
    <row r="282" spans="1:45" customFormat="1" ht="16">
      <c r="A282" t="s">
        <v>1381</v>
      </c>
      <c r="B282">
        <v>11217</v>
      </c>
      <c r="C282" s="43" t="s">
        <v>1382</v>
      </c>
      <c r="D282" s="43" t="s">
        <v>1383</v>
      </c>
      <c r="E282" s="44" t="s">
        <v>1384</v>
      </c>
      <c r="F282" s="43" t="s">
        <v>1385</v>
      </c>
      <c r="G282" s="22"/>
      <c r="H282">
        <v>0</v>
      </c>
      <c r="I282" s="43" t="s">
        <v>61</v>
      </c>
      <c r="J282" s="43" t="s">
        <v>1386</v>
      </c>
      <c r="K282" s="239">
        <v>4</v>
      </c>
      <c r="L282" s="48" t="s">
        <v>61</v>
      </c>
      <c r="M282" s="24">
        <v>2006</v>
      </c>
      <c r="N282" t="s">
        <v>628</v>
      </c>
      <c r="O282" s="45" t="s">
        <v>61</v>
      </c>
      <c r="P282" s="49" t="s">
        <v>61</v>
      </c>
      <c r="Q282" s="45" t="s">
        <v>61</v>
      </c>
      <c r="R282" t="s">
        <v>1387</v>
      </c>
      <c r="S282">
        <v>4</v>
      </c>
      <c r="T282">
        <v>390</v>
      </c>
      <c r="U282">
        <v>2</v>
      </c>
      <c r="V282" s="24">
        <v>187</v>
      </c>
      <c r="W282" s="24">
        <v>203</v>
      </c>
      <c r="X282" s="48" t="s">
        <v>59</v>
      </c>
      <c r="Y282" s="48" t="s">
        <v>59</v>
      </c>
      <c r="Z282">
        <v>0</v>
      </c>
      <c r="AA282">
        <v>0</v>
      </c>
      <c r="AB282">
        <v>0</v>
      </c>
      <c r="AC282">
        <v>10</v>
      </c>
      <c r="AD282">
        <v>10</v>
      </c>
      <c r="AE282" s="43" t="s">
        <v>61</v>
      </c>
      <c r="AF282" s="24" t="s">
        <v>489</v>
      </c>
      <c r="AG282" s="24" t="s">
        <v>58</v>
      </c>
      <c r="AI282" s="41" t="s">
        <v>489</v>
      </c>
    </row>
    <row r="283" spans="1:45" customFormat="1" ht="16">
      <c r="A283" t="s">
        <v>1388</v>
      </c>
      <c r="B283">
        <v>12060</v>
      </c>
      <c r="C283" t="s">
        <v>1389</v>
      </c>
      <c r="D283" t="s">
        <v>1390</v>
      </c>
      <c r="E283" s="59" t="s">
        <v>1391</v>
      </c>
      <c r="F283" t="s">
        <v>1392</v>
      </c>
      <c r="G283" s="22"/>
      <c r="H283">
        <v>0</v>
      </c>
      <c r="I283" t="s">
        <v>1393</v>
      </c>
      <c r="J283" t="s">
        <v>1380</v>
      </c>
      <c r="K283" s="239">
        <v>2</v>
      </c>
      <c r="L283" s="24" t="s">
        <v>61</v>
      </c>
      <c r="M283" s="24">
        <v>2014</v>
      </c>
      <c r="N283" t="s">
        <v>1394</v>
      </c>
      <c r="O283" s="45" t="s">
        <v>61</v>
      </c>
      <c r="P283" s="45" t="s">
        <v>61</v>
      </c>
      <c r="Q283" s="45" t="s">
        <v>61</v>
      </c>
      <c r="R283" t="s">
        <v>1395</v>
      </c>
      <c r="S283">
        <v>2</v>
      </c>
      <c r="T283">
        <v>132</v>
      </c>
      <c r="U283">
        <v>2</v>
      </c>
      <c r="V283" s="24">
        <v>66</v>
      </c>
      <c r="W283" s="24">
        <v>66</v>
      </c>
      <c r="X283" s="24" t="s">
        <v>59</v>
      </c>
      <c r="Y283" s="24" t="s">
        <v>59</v>
      </c>
      <c r="Z283">
        <v>1</v>
      </c>
      <c r="AA283">
        <v>1</v>
      </c>
      <c r="AB283">
        <v>0</v>
      </c>
      <c r="AC283">
        <v>3</v>
      </c>
      <c r="AD283">
        <v>3</v>
      </c>
      <c r="AE283" t="s">
        <v>1396</v>
      </c>
      <c r="AF283" s="24" t="s">
        <v>489</v>
      </c>
      <c r="AG283" s="24"/>
      <c r="AK283" s="41" t="s">
        <v>489</v>
      </c>
      <c r="AL283" s="41" t="s">
        <v>489</v>
      </c>
      <c r="AM283" s="41"/>
      <c r="AN283" s="41" t="s">
        <v>489</v>
      </c>
    </row>
    <row r="284" spans="1:45">
      <c r="J284" s="43"/>
      <c r="T284" s="43"/>
      <c r="V284" s="39"/>
      <c r="W284" s="39"/>
      <c r="X284" s="48"/>
      <c r="Y284" s="48"/>
      <c r="AI284" s="41"/>
      <c r="AN284" s="41"/>
      <c r="AO284" s="41"/>
      <c r="AP284" s="41"/>
      <c r="AQ284" s="41"/>
      <c r="AR284" s="41"/>
    </row>
    <row r="285" spans="1:45">
      <c r="A285" s="42" t="s">
        <v>2207</v>
      </c>
      <c r="J285" s="43"/>
      <c r="T285" s="43"/>
      <c r="V285" s="39"/>
      <c r="W285" s="39"/>
      <c r="X285" s="48"/>
      <c r="Y285" s="48"/>
      <c r="AI285" s="41"/>
      <c r="AN285" s="41"/>
      <c r="AO285" s="41"/>
      <c r="AP285" s="41"/>
      <c r="AQ285" s="41"/>
      <c r="AR285" s="41"/>
    </row>
    <row r="286" spans="1:45">
      <c r="A286" s="34" t="s">
        <v>3542</v>
      </c>
      <c r="B286" s="193">
        <v>5824</v>
      </c>
      <c r="C286" s="22" t="s">
        <v>2208</v>
      </c>
      <c r="D286" s="22" t="s">
        <v>2209</v>
      </c>
      <c r="E286" s="22" t="s">
        <v>2210</v>
      </c>
      <c r="F286" s="22" t="s">
        <v>2211</v>
      </c>
      <c r="J286" s="43" t="s">
        <v>1380</v>
      </c>
      <c r="K286" s="48">
        <v>12</v>
      </c>
      <c r="L286" s="48" t="s">
        <v>1413</v>
      </c>
      <c r="M286" s="34">
        <v>2005</v>
      </c>
      <c r="N286" s="43" t="s">
        <v>496</v>
      </c>
      <c r="O286" s="26">
        <f>ROUND((323*66+415*61.6+146*65.3)/(323+415+146), 1)</f>
        <v>63.8</v>
      </c>
      <c r="P286" s="26">
        <f>ROUND((323*12+415*11+146*14.3)/(323+415+146), 1)</f>
        <v>11.9</v>
      </c>
      <c r="Q286" s="26">
        <f>ROUND((47.1+45.1+41.8)/3,1)</f>
        <v>44.7</v>
      </c>
      <c r="R286" s="43" t="s">
        <v>2212</v>
      </c>
      <c r="S286" s="43">
        <v>2</v>
      </c>
      <c r="T286" s="43">
        <f>323+415+146</f>
        <v>884</v>
      </c>
      <c r="U286" s="64">
        <v>3</v>
      </c>
      <c r="V286" s="48">
        <v>323</v>
      </c>
      <c r="W286" s="48">
        <v>415</v>
      </c>
      <c r="X286" s="48">
        <v>146</v>
      </c>
      <c r="Y286" s="48" t="s">
        <v>59</v>
      </c>
      <c r="Z286" s="43">
        <v>0</v>
      </c>
      <c r="AA286" s="22">
        <v>0</v>
      </c>
      <c r="AB286" s="22">
        <v>0</v>
      </c>
      <c r="AC286" s="43">
        <v>12</v>
      </c>
      <c r="AD286" s="43">
        <v>15</v>
      </c>
      <c r="AE286" s="43" t="s">
        <v>1823</v>
      </c>
      <c r="AF286" s="26" t="s">
        <v>1407</v>
      </c>
      <c r="AG286" s="26" t="s">
        <v>1407</v>
      </c>
      <c r="AQ286" s="41" t="s">
        <v>489</v>
      </c>
    </row>
    <row r="287" spans="1:45">
      <c r="J287" s="43"/>
      <c r="K287" s="48"/>
      <c r="L287" s="48"/>
      <c r="N287" s="43"/>
      <c r="R287" s="43"/>
      <c r="S287" s="43"/>
      <c r="T287" s="43"/>
      <c r="U287" s="43"/>
      <c r="V287" s="48"/>
      <c r="W287" s="48"/>
      <c r="X287" s="48"/>
      <c r="Y287" s="48"/>
      <c r="Z287" s="43"/>
      <c r="AC287" s="43"/>
      <c r="AD287" s="43"/>
      <c r="AE287" s="43"/>
      <c r="AQ287" s="41"/>
    </row>
    <row r="289" spans="1:43">
      <c r="A289" s="49"/>
      <c r="E289" s="44"/>
      <c r="F289" s="43"/>
      <c r="G289" s="43"/>
      <c r="I289" s="43"/>
      <c r="L289" s="48"/>
      <c r="N289" s="43"/>
      <c r="R289" s="43"/>
      <c r="T289" s="34"/>
      <c r="V289" s="48"/>
      <c r="W289" s="48"/>
      <c r="X289" s="48"/>
      <c r="Y289" s="48"/>
      <c r="AC289" s="49"/>
      <c r="AD289" s="49"/>
      <c r="AE289" s="43"/>
      <c r="AF289" s="48"/>
      <c r="AN289" s="41"/>
      <c r="AO289" s="41"/>
      <c r="AP289" s="41"/>
      <c r="AQ289" s="41"/>
    </row>
    <row r="290" spans="1:43">
      <c r="A290" s="42" t="s">
        <v>2213</v>
      </c>
      <c r="J290" s="43"/>
      <c r="V290" s="26"/>
      <c r="W290" s="26"/>
      <c r="X290" s="26"/>
      <c r="Y290" s="26"/>
      <c r="AE290" s="43"/>
    </row>
    <row r="291" spans="1:43">
      <c r="A291" s="202" t="s">
        <v>2214</v>
      </c>
      <c r="B291" s="22">
        <v>389</v>
      </c>
      <c r="V291" s="26"/>
      <c r="W291" s="26"/>
      <c r="X291" s="26"/>
      <c r="Y291" s="26"/>
      <c r="AE291" s="43"/>
    </row>
    <row r="292" spans="1:43">
      <c r="A292" s="202" t="s">
        <v>2215</v>
      </c>
      <c r="B292" s="22">
        <v>1160</v>
      </c>
      <c r="V292" s="48"/>
      <c r="W292" s="48"/>
      <c r="X292" s="26"/>
      <c r="Y292" s="26"/>
    </row>
    <row r="293" spans="1:43">
      <c r="A293" s="202" t="s">
        <v>2216</v>
      </c>
      <c r="B293" s="22">
        <v>1161</v>
      </c>
      <c r="V293" s="48"/>
      <c r="W293" s="48"/>
      <c r="X293" s="26"/>
      <c r="Y293" s="26"/>
    </row>
    <row r="294" spans="1:43">
      <c r="A294" s="202" t="s">
        <v>2217</v>
      </c>
      <c r="B294" s="22">
        <v>5386</v>
      </c>
      <c r="V294" s="48"/>
      <c r="W294" s="48"/>
      <c r="X294" s="26"/>
      <c r="Y294" s="26"/>
    </row>
    <row r="295" spans="1:43">
      <c r="A295" s="202" t="s">
        <v>2218</v>
      </c>
      <c r="B295" s="22">
        <v>5748</v>
      </c>
      <c r="V295" s="48"/>
      <c r="W295" s="48"/>
      <c r="X295" s="26"/>
      <c r="Y295" s="26"/>
    </row>
    <row r="296" spans="1:43">
      <c r="A296" s="202" t="s">
        <v>2219</v>
      </c>
      <c r="B296" s="22">
        <v>5802</v>
      </c>
      <c r="V296" s="26"/>
      <c r="W296" s="26"/>
      <c r="X296" s="26"/>
      <c r="Y296" s="26"/>
    </row>
    <row r="297" spans="1:43">
      <c r="A297" s="202" t="s">
        <v>2220</v>
      </c>
      <c r="B297" s="22">
        <v>5807</v>
      </c>
      <c r="V297" s="26"/>
      <c r="W297" s="26"/>
      <c r="X297" s="26"/>
      <c r="Y297" s="26"/>
    </row>
    <row r="298" spans="1:43">
      <c r="A298" s="202" t="s">
        <v>2221</v>
      </c>
      <c r="B298" s="22">
        <v>6026</v>
      </c>
      <c r="V298" s="48"/>
      <c r="W298" s="48"/>
      <c r="X298" s="26"/>
      <c r="Y298" s="26"/>
    </row>
    <row r="299" spans="1:43">
      <c r="A299" s="202" t="s">
        <v>2222</v>
      </c>
      <c r="B299" s="22">
        <v>6048</v>
      </c>
      <c r="V299" s="26"/>
      <c r="W299" s="26"/>
      <c r="X299" s="26"/>
      <c r="Y299" s="26"/>
    </row>
    <row r="300" spans="1:43">
      <c r="A300" s="202" t="s">
        <v>2223</v>
      </c>
      <c r="B300" s="22">
        <v>6358</v>
      </c>
      <c r="V300" s="26"/>
      <c r="W300" s="26"/>
      <c r="X300" s="26"/>
      <c r="Y300" s="26"/>
    </row>
    <row r="301" spans="1:43">
      <c r="A301" s="202" t="s">
        <v>2224</v>
      </c>
      <c r="B301" s="22">
        <v>2542</v>
      </c>
      <c r="V301" s="26"/>
      <c r="W301" s="26"/>
      <c r="X301" s="26"/>
      <c r="Y301" s="26"/>
    </row>
    <row r="302" spans="1:43">
      <c r="A302" s="202" t="s">
        <v>2225</v>
      </c>
      <c r="B302" s="22">
        <v>5294</v>
      </c>
      <c r="V302" s="26"/>
      <c r="W302" s="26"/>
      <c r="X302" s="26"/>
      <c r="Y302" s="26"/>
    </row>
    <row r="303" spans="1:43">
      <c r="A303" s="202" t="s">
        <v>2226</v>
      </c>
      <c r="B303" s="22">
        <v>5531</v>
      </c>
      <c r="V303" s="26"/>
      <c r="W303" s="26"/>
      <c r="X303" s="26"/>
      <c r="Y303" s="26"/>
    </row>
    <row r="304" spans="1:43">
      <c r="A304" s="202" t="s">
        <v>2227</v>
      </c>
      <c r="B304" s="22">
        <v>6177</v>
      </c>
      <c r="V304" s="26"/>
      <c r="W304" s="26"/>
      <c r="X304" s="26"/>
      <c r="Y304" s="26"/>
    </row>
    <row r="305" spans="1:40">
      <c r="A305" s="202" t="s">
        <v>2228</v>
      </c>
      <c r="B305" s="22">
        <v>5512</v>
      </c>
      <c r="V305" s="26"/>
      <c r="W305" s="26"/>
      <c r="X305" s="26"/>
      <c r="Y305" s="26"/>
    </row>
    <row r="306" spans="1:40">
      <c r="A306" s="202" t="s">
        <v>2229</v>
      </c>
      <c r="B306" s="22">
        <v>5514</v>
      </c>
      <c r="V306" s="26"/>
      <c r="W306" s="26"/>
      <c r="X306" s="26"/>
      <c r="Y306" s="26"/>
    </row>
    <row r="307" spans="1:40">
      <c r="A307" s="202" t="s">
        <v>2230</v>
      </c>
      <c r="B307" s="22">
        <v>8076</v>
      </c>
      <c r="V307" s="26"/>
      <c r="W307" s="26"/>
      <c r="X307" s="26"/>
      <c r="Y307" s="26"/>
    </row>
    <row r="308" spans="1:40">
      <c r="A308" s="202" t="s">
        <v>2231</v>
      </c>
      <c r="B308" s="22">
        <v>8066</v>
      </c>
      <c r="V308" s="26"/>
      <c r="W308" s="26"/>
      <c r="X308" s="26"/>
      <c r="Y308" s="26"/>
    </row>
    <row r="309" spans="1:40">
      <c r="A309" s="202" t="s">
        <v>2232</v>
      </c>
      <c r="B309" s="22">
        <v>8507</v>
      </c>
      <c r="V309" s="26"/>
      <c r="W309" s="26"/>
      <c r="X309" s="26"/>
      <c r="Y309" s="26"/>
    </row>
    <row r="310" spans="1:40">
      <c r="A310" s="65" t="s">
        <v>2233</v>
      </c>
      <c r="J310" s="43"/>
      <c r="V310" s="26"/>
      <c r="W310" s="26"/>
      <c r="X310" s="26"/>
      <c r="Y310" s="26"/>
    </row>
    <row r="312" spans="1:40">
      <c r="C312" s="43"/>
      <c r="D312" s="43"/>
      <c r="E312" s="44"/>
      <c r="F312" s="43"/>
      <c r="V312" s="26"/>
      <c r="W312" s="26"/>
      <c r="X312" s="26"/>
      <c r="Y312" s="26"/>
      <c r="AB312" s="34"/>
      <c r="AF312" s="48"/>
      <c r="AN312" s="41"/>
    </row>
    <row r="313" spans="1:40">
      <c r="A313" s="237" t="s">
        <v>2234</v>
      </c>
      <c r="B313" s="160"/>
      <c r="C313" s="160"/>
    </row>
    <row r="314" spans="1:40">
      <c r="A314" s="203" t="s">
        <v>2235</v>
      </c>
      <c r="B314" s="22">
        <v>10234</v>
      </c>
      <c r="C314" s="160" t="s">
        <v>109</v>
      </c>
    </row>
    <row r="315" spans="1:40">
      <c r="A315" s="203" t="s">
        <v>2236</v>
      </c>
      <c r="B315" s="22">
        <v>10128</v>
      </c>
      <c r="D315" s="22" t="s">
        <v>109</v>
      </c>
      <c r="E315" s="22" t="s">
        <v>109</v>
      </c>
    </row>
    <row r="316" spans="1:40">
      <c r="A316" s="203" t="s">
        <v>2237</v>
      </c>
      <c r="B316" s="22">
        <v>10240</v>
      </c>
    </row>
    <row r="317" spans="1:40">
      <c r="A317" s="203" t="s">
        <v>2238</v>
      </c>
      <c r="B317" s="22">
        <v>10329</v>
      </c>
    </row>
    <row r="318" spans="1:40">
      <c r="A318" s="203" t="s">
        <v>2239</v>
      </c>
      <c r="B318" s="22">
        <v>10381</v>
      </c>
    </row>
    <row r="319" spans="1:40">
      <c r="A319" s="203" t="s">
        <v>2240</v>
      </c>
      <c r="B319" s="22">
        <v>10384</v>
      </c>
    </row>
    <row r="320" spans="1:40">
      <c r="A320" s="203" t="s">
        <v>2241</v>
      </c>
      <c r="B320" s="22">
        <v>10394</v>
      </c>
      <c r="M320" s="34" t="s">
        <v>109</v>
      </c>
    </row>
    <row r="321" spans="1:25">
      <c r="A321" s="203" t="s">
        <v>2242</v>
      </c>
      <c r="B321" s="22">
        <v>11255</v>
      </c>
    </row>
    <row r="322" spans="1:25">
      <c r="A322" s="203" t="s">
        <v>2243</v>
      </c>
      <c r="B322" s="22">
        <v>11274</v>
      </c>
      <c r="C322" s="160"/>
    </row>
    <row r="323" spans="1:25">
      <c r="A323" s="163" t="s">
        <v>2244</v>
      </c>
      <c r="B323" s="22">
        <v>11308</v>
      </c>
      <c r="C323" s="160"/>
    </row>
    <row r="324" spans="1:25">
      <c r="A324" s="164" t="s">
        <v>2245</v>
      </c>
      <c r="B324" s="22">
        <v>10275</v>
      </c>
      <c r="C324" s="160"/>
    </row>
    <row r="325" spans="1:25">
      <c r="A325" s="164" t="s">
        <v>2246</v>
      </c>
      <c r="B325" s="22">
        <v>12059</v>
      </c>
      <c r="C325" s="160"/>
    </row>
    <row r="326" spans="1:25">
      <c r="A326" s="164" t="s">
        <v>2247</v>
      </c>
      <c r="B326" s="22">
        <v>12531</v>
      </c>
      <c r="C326" s="160"/>
    </row>
    <row r="327" spans="1:25" ht="16">
      <c r="A327" s="212" t="s">
        <v>3546</v>
      </c>
      <c r="B327">
        <v>10796</v>
      </c>
      <c r="C327" s="160"/>
    </row>
    <row r="328" spans="1:25">
      <c r="A328" s="237" t="s">
        <v>2248</v>
      </c>
      <c r="B328" s="160"/>
      <c r="C328" s="160"/>
    </row>
    <row r="329" spans="1:25">
      <c r="A329" s="204" t="s">
        <v>2249</v>
      </c>
      <c r="B329" s="22">
        <v>9034</v>
      </c>
      <c r="C329" s="22" t="s">
        <v>2250</v>
      </c>
      <c r="D329" s="22" t="s">
        <v>109</v>
      </c>
    </row>
    <row r="330" spans="1:25">
      <c r="A330" s="203" t="s">
        <v>2251</v>
      </c>
      <c r="B330" s="22">
        <v>10100</v>
      </c>
      <c r="C330" s="22" t="s">
        <v>2252</v>
      </c>
      <c r="D330" s="22" t="s">
        <v>109</v>
      </c>
    </row>
    <row r="331" spans="1:25">
      <c r="A331" s="203" t="s">
        <v>2253</v>
      </c>
      <c r="B331" s="22">
        <v>10153</v>
      </c>
      <c r="C331" s="22" t="s">
        <v>2254</v>
      </c>
      <c r="D331" s="22" t="s">
        <v>109</v>
      </c>
    </row>
    <row r="332" spans="1:25">
      <c r="A332" s="203" t="s">
        <v>2255</v>
      </c>
      <c r="B332" s="22">
        <v>10160</v>
      </c>
      <c r="C332" s="22" t="s">
        <v>2254</v>
      </c>
      <c r="D332" s="22" t="s">
        <v>109</v>
      </c>
    </row>
    <row r="333" spans="1:25">
      <c r="A333" s="205" t="s">
        <v>2256</v>
      </c>
      <c r="B333" s="160">
        <v>12830</v>
      </c>
      <c r="C333" s="22" t="s">
        <v>2257</v>
      </c>
    </row>
    <row r="334" spans="1:25">
      <c r="V334" s="26"/>
      <c r="W334" s="26"/>
      <c r="X334" s="26"/>
      <c r="Y334" s="26"/>
    </row>
    <row r="335" spans="1:25">
      <c r="V335" s="26"/>
      <c r="W335" s="26"/>
      <c r="X335" s="26"/>
      <c r="Y335" s="26"/>
    </row>
  </sheetData>
  <sortState xmlns:xlrd2="http://schemas.microsoft.com/office/spreadsheetml/2017/richdata2" ref="A2:AX273">
    <sortCondition ref="AN2:AN273"/>
    <sortCondition ref="B2:B273"/>
  </sortState>
  <conditionalFormatting sqref="V298:W298 V292:W295 J310 AE218:AF219 AE241:AF252 AA200:AB201 AB204 AB197 AC227:AC228 AB194:AC194 AC203:AC205 AC212 AC207:AC210 AC197:AC201 Z230 AB222 V263:W265 AB238:AD251 AA252:AD252 O187 P187:P188 Q187 K191:N191 K187:L189 N187:N189 M187:M188 O196:Q196 O200:P200 O208:Q208 P224 K219:L219 N219 O227 L227:L228 P228 M229 P231 O234:Q234 Q238 P241:P248 Q246 O241:O243 Q242:Q243 M235 K252:N252 M243 M203:M209 M194 M196:M197 K218:N218 K232:L232 M246:M250 K217:L217 K227:K229 K238:M241 N238:N245 N246:O248 P201 M201 N194:N201 K194:L201 N249:R251 R238:R248 R252 AC217:AD218 S238:U252 AA219:AD219 N217:U217 Z218 R218:U219 AA255:AF255 AB191:AF191 R185:U185 R194:U201 K255:U255 R187:U189 R191:U191 AA188:AF189 AA185:AF185 AD194:AF201 V268:W272 V284:W285 J284:J285 L185:N185 V276:W276 J276 V277:Y280 AA209:AA214 AA286:AA287 P214 K203:L214 M212:M213 N203:N214 J286:N287 O213:Q213 R203:U214 AD203:AF214 AC286:AF287 P286:Y287 K242:L251 AD222:AF222 K222:L222 K221:N221 N222 AC230 K230:N231 V273:Y274 R234:U235 N234:N235 K234:L235 X262:Y265 V234:Y261 K275:N275 AB225:AB226 K225:L226 K224:N224 N225:N229 R224:U224 AB224:AF224 AD225:AF225 V226:Y232 R226:U231 R275:Y275 R225:Y225 V141:Y224 R221:U222 AC275:AF275 AC221:AF221 AD226:AE231 AB234:AE235 AE238:AE240 AE217 AA187:AE187">
    <cfRule type="cellIs" dxfId="1" priority="4" stopIfTrue="1" operator="equal">
      <formula>" "</formula>
    </cfRule>
  </conditionalFormatting>
  <conditionalFormatting sqref="AB233 K233:N233 AD233:AE233 R233:Y233">
    <cfRule type="cellIs" dxfId="0" priority="1" stopIfTrue="1" operator="equal">
      <formula>" "</formula>
    </cfRule>
  </conditionalFormatting>
  <hyperlinks>
    <hyperlink ref="E174" r:id="rId1" xr:uid="{00000000-0004-0000-0600-000000000000}"/>
    <hyperlink ref="E188" r:id="rId2" xr:uid="{00000000-0004-0000-0600-000001000000}"/>
    <hyperlink ref="E194" r:id="rId3" xr:uid="{00000000-0004-0000-0600-000002000000}"/>
    <hyperlink ref="E164" r:id="rId4" xr:uid="{00000000-0004-0000-0600-000003000000}"/>
    <hyperlink ref="E126" r:id="rId5" xr:uid="{00000000-0004-0000-0600-000004000000}"/>
    <hyperlink ref="E261" r:id="rId6" xr:uid="{00000000-0004-0000-0600-000005000000}"/>
    <hyperlink ref="E140" r:id="rId7" xr:uid="{00000000-0004-0000-0600-000006000000}"/>
    <hyperlink ref="E156" r:id="rId8" xr:uid="{00000000-0004-0000-0600-000007000000}"/>
    <hyperlink ref="E176" r:id="rId9" xr:uid="{00000000-0004-0000-0600-000008000000}"/>
    <hyperlink ref="E196" r:id="rId10" xr:uid="{00000000-0004-0000-0600-000009000000}"/>
    <hyperlink ref="E169" r:id="rId11" xr:uid="{00000000-0004-0000-0600-00000A000000}"/>
    <hyperlink ref="E162" r:id="rId12" xr:uid="{00000000-0004-0000-0600-00000B000000}"/>
    <hyperlink ref="E123" r:id="rId13" xr:uid="{00000000-0004-0000-0600-00000C000000}"/>
    <hyperlink ref="E127" r:id="rId14" xr:uid="{00000000-0004-0000-0600-00000D000000}"/>
    <hyperlink ref="E265" r:id="rId15" xr:uid="{00000000-0004-0000-0600-00000E000000}"/>
    <hyperlink ref="E150" r:id="rId16" xr:uid="{00000000-0004-0000-0600-00000F000000}"/>
    <hyperlink ref="E190" r:id="rId17" xr:uid="{00000000-0004-0000-0600-000010000000}"/>
    <hyperlink ref="E121" r:id="rId18" xr:uid="{00000000-0004-0000-0600-000011000000}"/>
    <hyperlink ref="E134" r:id="rId19" xr:uid="{00000000-0004-0000-0600-000012000000}"/>
    <hyperlink ref="E152" r:id="rId20" xr:uid="{00000000-0004-0000-0600-000013000000}"/>
    <hyperlink ref="E166" r:id="rId21" xr:uid="{00000000-0004-0000-0600-000014000000}"/>
    <hyperlink ref="E185" r:id="rId22" xr:uid="{00000000-0004-0000-0600-000015000000}"/>
    <hyperlink ref="E122" r:id="rId23" xr:uid="{00000000-0004-0000-0600-000016000000}"/>
    <hyperlink ref="E124" r:id="rId24" xr:uid="{00000000-0004-0000-0600-000017000000}"/>
    <hyperlink ref="E128" r:id="rId25" xr:uid="{00000000-0004-0000-0600-000018000000}"/>
    <hyperlink ref="E263" r:id="rId26" xr:uid="{00000000-0004-0000-0600-000019000000}"/>
    <hyperlink ref="E135" r:id="rId27" xr:uid="{00000000-0004-0000-0600-00001A000000}"/>
    <hyperlink ref="E138" r:id="rId28" xr:uid="{00000000-0004-0000-0600-00001B000000}"/>
    <hyperlink ref="E146" r:id="rId29" xr:uid="{00000000-0004-0000-0600-00001C000000}"/>
    <hyperlink ref="E147" r:id="rId30" xr:uid="{00000000-0004-0000-0600-00001D000000}"/>
    <hyperlink ref="E148" r:id="rId31" xr:uid="{00000000-0004-0000-0600-00001E000000}"/>
    <hyperlink ref="E161" r:id="rId32" xr:uid="{00000000-0004-0000-0600-00001F000000}"/>
    <hyperlink ref="E241" r:id="rId33" xr:uid="{00000000-0004-0000-0600-000020000000}"/>
    <hyperlink ref="E268" r:id="rId34" xr:uid="{00000000-0004-0000-0600-000021000000}"/>
    <hyperlink ref="E129" r:id="rId35" xr:uid="{00000000-0004-0000-0600-000022000000}"/>
    <hyperlink ref="E262" r:id="rId36" xr:uid="{00000000-0004-0000-0600-000023000000}"/>
    <hyperlink ref="E132" r:id="rId37" xr:uid="{00000000-0004-0000-0600-000024000000}"/>
    <hyperlink ref="E143" r:id="rId38" xr:uid="{00000000-0004-0000-0600-000025000000}"/>
    <hyperlink ref="E158" r:id="rId39" xr:uid="{00000000-0004-0000-0600-000026000000}"/>
    <hyperlink ref="E159" r:id="rId40" xr:uid="{00000000-0004-0000-0600-000027000000}"/>
    <hyperlink ref="E165" r:id="rId41" xr:uid="{00000000-0004-0000-0600-000028000000}"/>
    <hyperlink ref="E170" r:id="rId42" xr:uid="{00000000-0004-0000-0600-000029000000}"/>
    <hyperlink ref="E184" r:id="rId43" xr:uid="{00000000-0004-0000-0600-00002A000000}"/>
    <hyperlink ref="E130" r:id="rId44" xr:uid="{00000000-0004-0000-0600-00002B000000}"/>
    <hyperlink ref="E133" r:id="rId45" xr:uid="{00000000-0004-0000-0600-00002C000000}"/>
    <hyperlink ref="E155" r:id="rId46" xr:uid="{00000000-0004-0000-0600-00002D000000}"/>
    <hyperlink ref="E193" r:id="rId47" xr:uid="{00000000-0004-0000-0600-00002E000000}"/>
    <hyperlink ref="E197" r:id="rId48" xr:uid="{00000000-0004-0000-0600-00002F000000}"/>
    <hyperlink ref="E125" r:id="rId49" xr:uid="{00000000-0004-0000-0600-000030000000}"/>
    <hyperlink ref="E264" r:id="rId50" xr:uid="{00000000-0004-0000-0600-000031000000}"/>
    <hyperlink ref="E153" r:id="rId51" xr:uid="{00000000-0004-0000-0600-000032000000}"/>
    <hyperlink ref="E266" r:id="rId52" xr:uid="{00000000-0004-0000-0600-000033000000}"/>
    <hyperlink ref="E189" r:id="rId53" xr:uid="{00000000-0004-0000-0600-000034000000}"/>
    <hyperlink ref="E195" r:id="rId54" xr:uid="{00000000-0004-0000-0600-000035000000}"/>
    <hyperlink ref="E136" r:id="rId55" xr:uid="{00000000-0004-0000-0600-000036000000}"/>
    <hyperlink ref="E157" r:id="rId56" xr:uid="{00000000-0004-0000-0600-000037000000}"/>
    <hyperlink ref="E168" r:id="rId57" xr:uid="{00000000-0004-0000-0600-000038000000}"/>
    <hyperlink ref="E131" r:id="rId58" xr:uid="{00000000-0004-0000-0600-000039000000}"/>
    <hyperlink ref="E154" r:id="rId59" xr:uid="{00000000-0004-0000-0600-00003A000000}"/>
    <hyperlink ref="E198" r:id="rId60" xr:uid="{00000000-0004-0000-0600-00003B000000}"/>
    <hyperlink ref="E199" r:id="rId61" xr:uid="{00000000-0004-0000-0600-00003C000000}"/>
    <hyperlink ref="E269" r:id="rId62" xr:uid="{00000000-0004-0000-0600-00003D000000}"/>
    <hyperlink ref="E200" r:id="rId63" xr:uid="{00000000-0004-0000-0600-00003E000000}"/>
    <hyperlink ref="E201" r:id="rId64" xr:uid="{00000000-0004-0000-0600-00003F000000}"/>
    <hyperlink ref="E213" r:id="rId65" xr:uid="{00000000-0004-0000-0600-000040000000}"/>
    <hyperlink ref="E214" r:id="rId66" xr:uid="{00000000-0004-0000-0600-000041000000}"/>
    <hyperlink ref="E217" r:id="rId67" xr:uid="{00000000-0004-0000-0600-000042000000}"/>
    <hyperlink ref="E216" r:id="rId68" xr:uid="{00000000-0004-0000-0600-000043000000}"/>
    <hyperlink ref="E219" r:id="rId69" xr:uid="{00000000-0004-0000-0600-000044000000}"/>
    <hyperlink ref="E271" r:id="rId70" xr:uid="{00000000-0004-0000-0600-000045000000}"/>
    <hyperlink ref="E220" r:id="rId71" xr:uid="{00000000-0004-0000-0600-000046000000}"/>
    <hyperlink ref="E272" r:id="rId72" xr:uid="{00000000-0004-0000-0600-000047000000}"/>
    <hyperlink ref="E222" r:id="rId73" xr:uid="{00000000-0004-0000-0600-000048000000}"/>
    <hyperlink ref="E223" r:id="rId74" xr:uid="{00000000-0004-0000-0600-000049000000}"/>
    <hyperlink ref="E224" r:id="rId75" xr:uid="{00000000-0004-0000-0600-00004A000000}"/>
    <hyperlink ref="E225" r:id="rId76" xr:uid="{00000000-0004-0000-0600-00004B000000}"/>
    <hyperlink ref="E231" r:id="rId77" xr:uid="{00000000-0004-0000-0600-00004C000000}"/>
    <hyperlink ref="E234" r:id="rId78" xr:uid="{00000000-0004-0000-0600-00004D000000}"/>
    <hyperlink ref="E236" r:id="rId79" xr:uid="{00000000-0004-0000-0600-00004E000000}"/>
    <hyperlink ref="E237" r:id="rId80" xr:uid="{00000000-0004-0000-0600-00004F000000}"/>
    <hyperlink ref="E238" r:id="rId81" xr:uid="{00000000-0004-0000-0600-000050000000}"/>
    <hyperlink ref="E175" r:id="rId82" xr:uid="{00000000-0004-0000-0600-000051000000}"/>
    <hyperlink ref="E173" r:id="rId83" xr:uid="{00000000-0004-0000-0600-000052000000}"/>
    <hyperlink ref="E242" r:id="rId84" xr:uid="{00000000-0004-0000-0600-000053000000}"/>
    <hyperlink ref="E187" r:id="rId85" xr:uid="{00000000-0004-0000-0600-000054000000}"/>
    <hyperlink ref="E281" r:id="rId86" xr:uid="{00000000-0004-0000-0600-000055000000}"/>
    <hyperlink ref="E282" r:id="rId87" xr:uid="{00000000-0004-0000-0600-000056000000}"/>
  </hyperlinks>
  <pageMargins left="0.75" right="0.75" top="1" bottom="1" header="0.5" footer="0.5"/>
  <pageSetup orientation="portrait" horizontalDpi="4294967292" verticalDpi="4294967292"/>
  <legacyDrawing r:id="rId8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85"/>
  <sheetViews>
    <sheetView workbookViewId="0">
      <pane xSplit="4" ySplit="1" topLeftCell="E23" activePane="bottomRight" state="frozen"/>
      <selection pane="topRight" activeCell="E1" sqref="E1"/>
      <selection pane="bottomLeft" activeCell="A2" sqref="A2"/>
      <selection pane="bottomRight" activeCell="E41" sqref="E41:L42"/>
    </sheetView>
  </sheetViews>
  <sheetFormatPr baseColWidth="10" defaultRowHeight="16"/>
  <sheetData>
    <row r="1" spans="1:16" s="36" customFormat="1">
      <c r="A1" s="146" t="s">
        <v>3548</v>
      </c>
      <c r="B1" s="146" t="s">
        <v>0</v>
      </c>
      <c r="C1" s="146" t="s">
        <v>3208</v>
      </c>
      <c r="D1" s="146" t="s">
        <v>3591</v>
      </c>
      <c r="E1" s="146" t="s">
        <v>3209</v>
      </c>
      <c r="F1" s="146" t="s">
        <v>3210</v>
      </c>
      <c r="G1" s="146" t="s">
        <v>3211</v>
      </c>
      <c r="H1" s="146" t="s">
        <v>3212</v>
      </c>
      <c r="I1" s="146" t="s">
        <v>3213</v>
      </c>
      <c r="J1" s="146" t="s">
        <v>3214</v>
      </c>
      <c r="K1" s="146" t="s">
        <v>3215</v>
      </c>
      <c r="L1" s="146" t="s">
        <v>3216</v>
      </c>
      <c r="M1" s="146" t="s">
        <v>3217</v>
      </c>
      <c r="N1" s="146" t="s">
        <v>3218</v>
      </c>
      <c r="O1" s="146" t="s">
        <v>3219</v>
      </c>
      <c r="P1" s="146" t="s">
        <v>3220</v>
      </c>
    </row>
    <row r="2" spans="1:16" s="36" customFormat="1">
      <c r="A2" s="52" t="s">
        <v>138</v>
      </c>
      <c r="B2" s="52">
        <v>148</v>
      </c>
      <c r="C2" s="53" t="s">
        <v>3229</v>
      </c>
      <c r="D2" s="53">
        <v>1</v>
      </c>
      <c r="E2" s="52">
        <v>0</v>
      </c>
      <c r="F2" s="52">
        <v>0</v>
      </c>
      <c r="G2" s="52">
        <v>0</v>
      </c>
      <c r="H2" s="52">
        <v>0</v>
      </c>
      <c r="I2" s="52">
        <v>0</v>
      </c>
      <c r="J2" s="52">
        <v>0</v>
      </c>
      <c r="K2" s="52">
        <v>0</v>
      </c>
      <c r="L2" s="52">
        <v>0</v>
      </c>
      <c r="M2" s="52">
        <v>0</v>
      </c>
      <c r="N2" s="52">
        <v>0</v>
      </c>
      <c r="O2" s="52">
        <v>0</v>
      </c>
      <c r="P2" s="52">
        <v>0</v>
      </c>
    </row>
    <row r="3" spans="1:16" s="36" customFormat="1">
      <c r="A3" s="52" t="s">
        <v>138</v>
      </c>
      <c r="B3" s="52">
        <v>148</v>
      </c>
      <c r="C3" s="53" t="s">
        <v>3364</v>
      </c>
      <c r="D3" s="53">
        <v>2</v>
      </c>
      <c r="E3" s="52">
        <v>0</v>
      </c>
      <c r="F3" s="52">
        <v>0</v>
      </c>
      <c r="G3" s="52">
        <v>0</v>
      </c>
      <c r="H3" s="52">
        <v>0</v>
      </c>
      <c r="I3" s="52">
        <v>0</v>
      </c>
      <c r="J3" s="52">
        <v>0</v>
      </c>
      <c r="K3" s="52">
        <v>1</v>
      </c>
      <c r="L3" s="52">
        <v>1</v>
      </c>
      <c r="M3" s="52">
        <v>1</v>
      </c>
      <c r="N3" s="52">
        <v>0</v>
      </c>
      <c r="O3" s="52">
        <v>0</v>
      </c>
      <c r="P3" s="52">
        <v>0</v>
      </c>
    </row>
    <row r="4" spans="1:16" s="36" customFormat="1">
      <c r="A4" s="52" t="s">
        <v>143</v>
      </c>
      <c r="B4" s="52">
        <v>248</v>
      </c>
      <c r="C4" t="s">
        <v>3245</v>
      </c>
      <c r="D4">
        <v>1</v>
      </c>
      <c r="E4" s="52">
        <v>0</v>
      </c>
      <c r="F4" s="52">
        <v>0</v>
      </c>
      <c r="G4" s="52">
        <v>0</v>
      </c>
      <c r="H4" s="52">
        <v>0</v>
      </c>
      <c r="I4" s="52">
        <v>0</v>
      </c>
      <c r="J4" s="52">
        <v>0</v>
      </c>
      <c r="K4" s="52">
        <v>0</v>
      </c>
      <c r="L4" s="52">
        <v>0</v>
      </c>
      <c r="M4" s="52">
        <v>1</v>
      </c>
      <c r="N4" s="52">
        <v>0</v>
      </c>
      <c r="O4" s="52">
        <v>0</v>
      </c>
      <c r="P4" s="52">
        <v>0</v>
      </c>
    </row>
    <row r="5" spans="1:16" s="36" customFormat="1">
      <c r="A5" s="52" t="s">
        <v>143</v>
      </c>
      <c r="B5" s="52">
        <v>248</v>
      </c>
      <c r="C5" s="53" t="s">
        <v>3365</v>
      </c>
      <c r="D5" s="53">
        <v>2</v>
      </c>
      <c r="E5" s="52">
        <v>0</v>
      </c>
      <c r="F5" s="52">
        <v>1</v>
      </c>
      <c r="G5" s="52">
        <v>1</v>
      </c>
      <c r="H5" s="52">
        <v>0</v>
      </c>
      <c r="I5" s="52">
        <v>0</v>
      </c>
      <c r="J5" s="52">
        <v>0</v>
      </c>
      <c r="K5" s="52">
        <v>0</v>
      </c>
      <c r="L5" s="52">
        <v>1</v>
      </c>
      <c r="M5" s="52">
        <v>1</v>
      </c>
      <c r="N5" s="52">
        <v>0</v>
      </c>
      <c r="O5" s="52">
        <v>0</v>
      </c>
      <c r="P5" s="52">
        <v>0</v>
      </c>
    </row>
    <row r="6" spans="1:16" s="36" customFormat="1">
      <c r="A6" s="52" t="s">
        <v>3366</v>
      </c>
      <c r="B6" s="52">
        <v>390</v>
      </c>
      <c r="C6" s="53" t="s">
        <v>3367</v>
      </c>
      <c r="D6" s="53">
        <v>1</v>
      </c>
      <c r="E6" s="52">
        <v>0</v>
      </c>
      <c r="F6" s="52">
        <v>0</v>
      </c>
      <c r="G6" s="52">
        <v>0</v>
      </c>
      <c r="H6" s="52">
        <v>0</v>
      </c>
      <c r="I6" s="52">
        <v>0</v>
      </c>
      <c r="J6" s="52">
        <v>0</v>
      </c>
      <c r="K6" s="52">
        <v>0</v>
      </c>
      <c r="L6" s="52">
        <v>0</v>
      </c>
      <c r="M6" s="52">
        <v>0</v>
      </c>
      <c r="N6" s="52">
        <v>0</v>
      </c>
      <c r="O6" s="52">
        <v>0</v>
      </c>
      <c r="P6" s="52">
        <v>0</v>
      </c>
    </row>
    <row r="7" spans="1:16" s="36" customFormat="1">
      <c r="A7" s="52" t="s">
        <v>3366</v>
      </c>
      <c r="B7" s="52">
        <v>390</v>
      </c>
      <c r="C7" s="53" t="s">
        <v>3244</v>
      </c>
      <c r="D7" s="53">
        <v>2</v>
      </c>
      <c r="E7" s="52">
        <v>0</v>
      </c>
      <c r="F7" s="52">
        <v>0</v>
      </c>
      <c r="G7" s="52">
        <v>0</v>
      </c>
      <c r="H7" s="52">
        <v>0</v>
      </c>
      <c r="I7" s="52">
        <v>0</v>
      </c>
      <c r="J7" s="52">
        <v>0</v>
      </c>
      <c r="K7" s="52">
        <v>1</v>
      </c>
      <c r="L7" s="52">
        <v>0</v>
      </c>
      <c r="M7" s="52">
        <v>0</v>
      </c>
      <c r="N7" s="52">
        <v>0</v>
      </c>
      <c r="O7" s="52">
        <v>0</v>
      </c>
      <c r="P7" s="52">
        <v>0</v>
      </c>
    </row>
    <row r="8" spans="1:16" s="36" customFormat="1">
      <c r="A8" s="150" t="s">
        <v>1422</v>
      </c>
      <c r="B8" s="52">
        <v>393</v>
      </c>
      <c r="C8" s="53" t="s">
        <v>3368</v>
      </c>
      <c r="D8" s="53">
        <v>1</v>
      </c>
      <c r="E8" s="52">
        <v>0</v>
      </c>
      <c r="F8" s="52">
        <v>0</v>
      </c>
      <c r="G8" s="52">
        <v>0</v>
      </c>
      <c r="H8" s="52">
        <v>0</v>
      </c>
      <c r="I8" s="52">
        <v>0</v>
      </c>
      <c r="J8" s="52">
        <v>0</v>
      </c>
      <c r="K8" s="52">
        <v>0</v>
      </c>
      <c r="L8" s="52">
        <v>0</v>
      </c>
      <c r="M8" s="52">
        <v>1</v>
      </c>
      <c r="N8" s="52">
        <v>0</v>
      </c>
      <c r="O8" s="52">
        <v>0</v>
      </c>
      <c r="P8" s="52">
        <v>0</v>
      </c>
    </row>
    <row r="9" spans="1:16" s="36" customFormat="1">
      <c r="A9" s="150" t="s">
        <v>1422</v>
      </c>
      <c r="B9" s="52">
        <v>393</v>
      </c>
      <c r="C9" s="53" t="s">
        <v>3369</v>
      </c>
      <c r="D9" s="53">
        <v>2</v>
      </c>
      <c r="E9" s="52">
        <v>0</v>
      </c>
      <c r="F9" s="52">
        <v>0</v>
      </c>
      <c r="G9" s="52">
        <v>0</v>
      </c>
      <c r="H9" s="154">
        <v>0</v>
      </c>
      <c r="I9" s="52">
        <v>0</v>
      </c>
      <c r="J9" s="52">
        <v>0</v>
      </c>
      <c r="K9" s="52">
        <v>1</v>
      </c>
      <c r="L9" s="52">
        <v>0</v>
      </c>
      <c r="M9" s="52">
        <v>1</v>
      </c>
      <c r="N9" s="52">
        <v>0</v>
      </c>
      <c r="O9" s="52">
        <v>0</v>
      </c>
      <c r="P9" s="52">
        <v>0</v>
      </c>
    </row>
    <row r="10" spans="1:16" s="36" customFormat="1">
      <c r="A10" s="52" t="s">
        <v>153</v>
      </c>
      <c r="B10" s="52">
        <v>553</v>
      </c>
      <c r="C10" s="53" t="s">
        <v>3229</v>
      </c>
      <c r="D10" s="53">
        <v>1</v>
      </c>
      <c r="E10" s="52">
        <v>0</v>
      </c>
      <c r="F10" s="52">
        <v>0</v>
      </c>
      <c r="G10" s="52">
        <v>0</v>
      </c>
      <c r="H10" s="52">
        <v>0</v>
      </c>
      <c r="I10" s="52">
        <v>0</v>
      </c>
      <c r="J10" s="52">
        <v>0</v>
      </c>
      <c r="K10" s="52">
        <v>0</v>
      </c>
      <c r="L10" s="52">
        <v>0</v>
      </c>
      <c r="M10" s="52">
        <v>0</v>
      </c>
      <c r="N10" s="52">
        <v>0</v>
      </c>
      <c r="O10" s="52">
        <v>0</v>
      </c>
      <c r="P10" s="52">
        <v>0</v>
      </c>
    </row>
    <row r="11" spans="1:16" s="36" customFormat="1">
      <c r="A11" s="52" t="s">
        <v>153</v>
      </c>
      <c r="B11" s="52">
        <v>553</v>
      </c>
      <c r="C11" s="53" t="s">
        <v>3370</v>
      </c>
      <c r="D11" s="53">
        <v>2</v>
      </c>
      <c r="E11" s="52">
        <v>0</v>
      </c>
      <c r="F11" s="52">
        <v>0</v>
      </c>
      <c r="G11" s="52">
        <v>0</v>
      </c>
      <c r="H11" s="52">
        <v>0</v>
      </c>
      <c r="I11" s="52">
        <v>0</v>
      </c>
      <c r="J11" s="52">
        <v>0</v>
      </c>
      <c r="K11" s="52">
        <v>1</v>
      </c>
      <c r="L11" s="52">
        <v>0</v>
      </c>
      <c r="M11" s="52">
        <v>0</v>
      </c>
      <c r="N11" s="52">
        <v>0</v>
      </c>
      <c r="O11" s="52">
        <v>0</v>
      </c>
      <c r="P11" s="52">
        <v>0</v>
      </c>
    </row>
    <row r="12" spans="1:16" s="36" customFormat="1">
      <c r="A12" s="52" t="s">
        <v>3371</v>
      </c>
      <c r="B12" s="52">
        <v>687</v>
      </c>
      <c r="C12" s="53" t="s">
        <v>3229</v>
      </c>
      <c r="D12" s="53">
        <v>1</v>
      </c>
      <c r="E12" s="52">
        <v>0</v>
      </c>
      <c r="F12" s="52">
        <v>0</v>
      </c>
      <c r="G12" s="52">
        <v>0</v>
      </c>
      <c r="H12" s="52">
        <v>0</v>
      </c>
      <c r="I12" s="52">
        <v>0</v>
      </c>
      <c r="J12" s="52">
        <v>0</v>
      </c>
      <c r="K12" s="52">
        <v>0</v>
      </c>
      <c r="L12" s="52">
        <v>0</v>
      </c>
      <c r="M12" s="52">
        <v>0</v>
      </c>
      <c r="N12" s="52">
        <v>0</v>
      </c>
      <c r="O12" s="52">
        <v>0</v>
      </c>
      <c r="P12" s="52">
        <v>0</v>
      </c>
    </row>
    <row r="13" spans="1:16" s="36" customFormat="1">
      <c r="A13" s="52" t="s">
        <v>3371</v>
      </c>
      <c r="B13" s="52">
        <v>687</v>
      </c>
      <c r="C13" s="53" t="s">
        <v>3372</v>
      </c>
      <c r="D13" s="53">
        <v>2</v>
      </c>
      <c r="E13" s="52">
        <v>0</v>
      </c>
      <c r="F13" s="52">
        <v>0</v>
      </c>
      <c r="G13" s="52">
        <v>1</v>
      </c>
      <c r="H13" s="52">
        <v>0</v>
      </c>
      <c r="I13" s="52">
        <v>0</v>
      </c>
      <c r="J13" s="52">
        <v>0</v>
      </c>
      <c r="K13" s="52">
        <v>0</v>
      </c>
      <c r="L13" s="52">
        <v>1</v>
      </c>
      <c r="M13" s="52">
        <v>0</v>
      </c>
      <c r="N13" s="52">
        <v>0</v>
      </c>
      <c r="O13" s="52">
        <v>0</v>
      </c>
      <c r="P13" s="52">
        <v>0</v>
      </c>
    </row>
    <row r="14" spans="1:16" s="36" customFormat="1">
      <c r="A14" s="52" t="s">
        <v>155</v>
      </c>
      <c r="B14" s="52">
        <v>701</v>
      </c>
      <c r="C14" s="53" t="s">
        <v>3229</v>
      </c>
      <c r="D14" s="53">
        <v>1</v>
      </c>
      <c r="E14" s="52">
        <v>0</v>
      </c>
      <c r="F14" s="52">
        <v>0</v>
      </c>
      <c r="G14" s="52">
        <v>0</v>
      </c>
      <c r="H14" s="52">
        <v>0</v>
      </c>
      <c r="I14" s="52">
        <v>0</v>
      </c>
      <c r="J14" s="52">
        <v>0</v>
      </c>
      <c r="K14" s="52">
        <v>0</v>
      </c>
      <c r="L14" s="52">
        <v>0</v>
      </c>
      <c r="M14" s="52">
        <v>0</v>
      </c>
      <c r="N14" s="52">
        <v>0</v>
      </c>
      <c r="O14" s="52">
        <v>0</v>
      </c>
      <c r="P14" s="52">
        <v>0</v>
      </c>
    </row>
    <row r="15" spans="1:16" s="36" customFormat="1">
      <c r="A15" s="52" t="s">
        <v>155</v>
      </c>
      <c r="B15" s="52">
        <v>701</v>
      </c>
      <c r="C15" s="53" t="s">
        <v>3373</v>
      </c>
      <c r="D15" s="53">
        <v>2</v>
      </c>
      <c r="E15" s="52">
        <v>0</v>
      </c>
      <c r="F15" s="154">
        <v>1</v>
      </c>
      <c r="G15" s="52">
        <v>1</v>
      </c>
      <c r="H15" s="52">
        <v>0</v>
      </c>
      <c r="I15" s="52">
        <v>0</v>
      </c>
      <c r="J15" s="52">
        <v>0</v>
      </c>
      <c r="K15" s="52">
        <v>0</v>
      </c>
      <c r="L15" s="52">
        <v>0</v>
      </c>
      <c r="M15" s="52">
        <v>0</v>
      </c>
      <c r="N15" s="52">
        <v>0</v>
      </c>
      <c r="O15" s="52">
        <v>0</v>
      </c>
      <c r="P15" s="52">
        <v>0</v>
      </c>
    </row>
    <row r="16" spans="1:16" s="36" customFormat="1">
      <c r="A16" s="52" t="s">
        <v>57</v>
      </c>
      <c r="B16" s="52">
        <v>843</v>
      </c>
      <c r="C16" s="53" t="s">
        <v>3374</v>
      </c>
      <c r="D16" s="53">
        <v>1</v>
      </c>
      <c r="E16" s="52">
        <v>0</v>
      </c>
      <c r="F16" s="52">
        <v>0</v>
      </c>
      <c r="G16" s="52">
        <v>0</v>
      </c>
      <c r="H16" s="52">
        <v>0</v>
      </c>
      <c r="I16" s="52">
        <v>0</v>
      </c>
      <c r="J16" s="52">
        <v>0</v>
      </c>
      <c r="K16" s="52">
        <v>0</v>
      </c>
      <c r="L16" s="52">
        <v>0</v>
      </c>
      <c r="M16" s="52">
        <v>0</v>
      </c>
      <c r="N16" s="52">
        <v>0</v>
      </c>
      <c r="O16" s="52">
        <v>0</v>
      </c>
      <c r="P16" s="52">
        <v>0</v>
      </c>
    </row>
    <row r="17" spans="1:16" s="36" customFormat="1">
      <c r="A17" s="52" t="s">
        <v>57</v>
      </c>
      <c r="B17" s="52">
        <v>843</v>
      </c>
      <c r="C17" s="53" t="s">
        <v>3375</v>
      </c>
      <c r="D17" s="53">
        <v>2</v>
      </c>
      <c r="E17" s="52">
        <v>1</v>
      </c>
      <c r="F17" s="52">
        <v>0</v>
      </c>
      <c r="G17" s="52">
        <v>0</v>
      </c>
      <c r="H17" s="52">
        <v>0</v>
      </c>
      <c r="I17" s="52">
        <v>1</v>
      </c>
      <c r="J17" s="52">
        <v>1</v>
      </c>
      <c r="K17" s="154">
        <v>0</v>
      </c>
      <c r="L17" s="52">
        <v>1</v>
      </c>
      <c r="M17" s="52">
        <v>1</v>
      </c>
      <c r="N17" s="52">
        <v>0</v>
      </c>
      <c r="O17" s="52">
        <v>0</v>
      </c>
      <c r="P17" s="52">
        <v>0</v>
      </c>
    </row>
    <row r="18" spans="1:16" s="36" customFormat="1">
      <c r="A18" s="52" t="s">
        <v>157</v>
      </c>
      <c r="B18" s="52">
        <v>1127</v>
      </c>
      <c r="C18" s="53" t="s">
        <v>3376</v>
      </c>
      <c r="D18" s="53">
        <v>1</v>
      </c>
      <c r="E18" s="52">
        <v>0</v>
      </c>
      <c r="F18" s="52">
        <v>0</v>
      </c>
      <c r="G18" s="52">
        <v>0</v>
      </c>
      <c r="H18" s="52">
        <v>0</v>
      </c>
      <c r="I18" s="52">
        <v>0</v>
      </c>
      <c r="J18" s="52">
        <v>0</v>
      </c>
      <c r="K18" s="52">
        <v>0</v>
      </c>
      <c r="L18" s="52">
        <v>1</v>
      </c>
      <c r="M18" s="52">
        <v>0</v>
      </c>
      <c r="N18" s="52">
        <v>0</v>
      </c>
      <c r="O18" s="52">
        <v>0</v>
      </c>
      <c r="P18" s="52">
        <v>0</v>
      </c>
    </row>
    <row r="19" spans="1:16" s="36" customFormat="1">
      <c r="A19" s="52" t="s">
        <v>157</v>
      </c>
      <c r="B19" s="52">
        <v>1127</v>
      </c>
      <c r="C19" s="53" t="s">
        <v>3377</v>
      </c>
      <c r="D19" s="53">
        <v>2</v>
      </c>
      <c r="E19" s="52">
        <v>0</v>
      </c>
      <c r="F19" s="52">
        <v>0</v>
      </c>
      <c r="G19" s="52">
        <v>1</v>
      </c>
      <c r="H19" s="52">
        <v>0</v>
      </c>
      <c r="I19" s="52">
        <v>0</v>
      </c>
      <c r="J19" s="52">
        <v>0</v>
      </c>
      <c r="K19" s="52">
        <v>0</v>
      </c>
      <c r="L19" s="52">
        <v>1</v>
      </c>
      <c r="M19" s="52">
        <v>1</v>
      </c>
      <c r="N19" s="52">
        <v>0</v>
      </c>
      <c r="O19" s="52">
        <v>0</v>
      </c>
      <c r="P19" s="52">
        <v>0</v>
      </c>
    </row>
    <row r="20" spans="1:16" s="36" customFormat="1">
      <c r="A20" s="52" t="s">
        <v>2338</v>
      </c>
      <c r="B20" s="52">
        <v>1144</v>
      </c>
      <c r="C20" s="53" t="s">
        <v>3229</v>
      </c>
      <c r="D20" s="53">
        <v>1</v>
      </c>
      <c r="E20" s="52">
        <v>0</v>
      </c>
      <c r="F20" s="52">
        <v>0</v>
      </c>
      <c r="G20" s="52">
        <v>0</v>
      </c>
      <c r="H20" s="52">
        <v>0</v>
      </c>
      <c r="I20" s="52">
        <v>0</v>
      </c>
      <c r="J20" s="52">
        <v>0</v>
      </c>
      <c r="K20" s="52">
        <v>0</v>
      </c>
      <c r="L20" s="52">
        <v>0</v>
      </c>
      <c r="M20" s="52">
        <v>0</v>
      </c>
      <c r="N20" s="52">
        <v>0</v>
      </c>
      <c r="O20" s="52">
        <v>0</v>
      </c>
      <c r="P20" s="52">
        <v>0</v>
      </c>
    </row>
    <row r="21" spans="1:16" s="36" customFormat="1">
      <c r="A21" s="52" t="s">
        <v>2338</v>
      </c>
      <c r="B21" s="52">
        <v>1144</v>
      </c>
      <c r="C21" s="53" t="s">
        <v>3222</v>
      </c>
      <c r="D21" s="53">
        <v>2</v>
      </c>
      <c r="E21" s="52">
        <v>1</v>
      </c>
      <c r="F21" s="52">
        <v>0</v>
      </c>
      <c r="G21" s="52">
        <v>0</v>
      </c>
      <c r="H21" s="52">
        <v>0</v>
      </c>
      <c r="I21" s="52">
        <v>1</v>
      </c>
      <c r="J21" s="52">
        <v>0</v>
      </c>
      <c r="K21" s="52">
        <v>0</v>
      </c>
      <c r="L21" s="52">
        <v>0</v>
      </c>
      <c r="M21" s="52">
        <v>0</v>
      </c>
      <c r="N21" s="52">
        <v>0</v>
      </c>
      <c r="O21" s="52">
        <v>1</v>
      </c>
      <c r="P21" s="52">
        <v>0</v>
      </c>
    </row>
    <row r="22" spans="1:16" s="36" customFormat="1">
      <c r="A22" s="52" t="s">
        <v>158</v>
      </c>
      <c r="B22" s="52">
        <v>1243</v>
      </c>
      <c r="C22" s="53" t="s">
        <v>3245</v>
      </c>
      <c r="D22" s="53">
        <v>1</v>
      </c>
      <c r="E22" s="52">
        <v>0</v>
      </c>
      <c r="F22" s="52">
        <v>0</v>
      </c>
      <c r="G22" s="52">
        <v>0</v>
      </c>
      <c r="H22" s="52">
        <v>0</v>
      </c>
      <c r="I22" s="52">
        <v>0</v>
      </c>
      <c r="J22" s="52">
        <v>0</v>
      </c>
      <c r="K22" s="52">
        <v>0</v>
      </c>
      <c r="L22" s="52">
        <v>0</v>
      </c>
      <c r="M22" s="52">
        <v>0</v>
      </c>
      <c r="N22" s="52">
        <v>0</v>
      </c>
      <c r="O22" s="52">
        <v>0</v>
      </c>
      <c r="P22" s="52">
        <v>0</v>
      </c>
    </row>
    <row r="23" spans="1:16" s="36" customFormat="1" ht="13" customHeight="1">
      <c r="A23" s="52" t="s">
        <v>158</v>
      </c>
      <c r="B23" s="52">
        <v>1243</v>
      </c>
      <c r="C23" s="53" t="s">
        <v>3378</v>
      </c>
      <c r="D23" s="53">
        <v>2</v>
      </c>
      <c r="E23" s="52">
        <v>0</v>
      </c>
      <c r="F23" s="52">
        <v>1</v>
      </c>
      <c r="G23" s="52">
        <v>0</v>
      </c>
      <c r="H23" s="52">
        <v>0</v>
      </c>
      <c r="I23" s="52">
        <v>0</v>
      </c>
      <c r="J23" s="52">
        <v>1</v>
      </c>
      <c r="K23" s="52">
        <v>1</v>
      </c>
      <c r="L23" s="52">
        <v>1</v>
      </c>
      <c r="M23" s="52">
        <v>1</v>
      </c>
      <c r="N23" s="52">
        <v>0</v>
      </c>
      <c r="O23" s="52">
        <v>0</v>
      </c>
      <c r="P23" s="52">
        <v>0</v>
      </c>
    </row>
    <row r="24" spans="1:16" s="148" customFormat="1">
      <c r="A24" s="52" t="s">
        <v>68</v>
      </c>
      <c r="B24" s="52">
        <v>1354</v>
      </c>
      <c r="C24" s="53" t="s">
        <v>3229</v>
      </c>
      <c r="D24" s="53">
        <v>1</v>
      </c>
      <c r="E24" s="52">
        <v>0</v>
      </c>
      <c r="F24" s="52">
        <v>0</v>
      </c>
      <c r="G24" s="52">
        <v>0</v>
      </c>
      <c r="H24" s="52">
        <v>0</v>
      </c>
      <c r="I24" s="52">
        <v>0</v>
      </c>
      <c r="J24" s="52">
        <v>0</v>
      </c>
      <c r="K24" s="52">
        <v>0</v>
      </c>
      <c r="L24" s="52">
        <v>0</v>
      </c>
      <c r="M24" s="52">
        <v>0</v>
      </c>
      <c r="N24" s="52">
        <v>0</v>
      </c>
      <c r="O24" s="52">
        <v>0</v>
      </c>
      <c r="P24" s="52">
        <v>0</v>
      </c>
    </row>
    <row r="25" spans="1:16" s="148" customFormat="1">
      <c r="A25" s="52" t="s">
        <v>68</v>
      </c>
      <c r="B25" s="52">
        <v>1354</v>
      </c>
      <c r="C25" s="53" t="s">
        <v>3222</v>
      </c>
      <c r="D25" s="53">
        <v>2</v>
      </c>
      <c r="E25" s="52">
        <v>0</v>
      </c>
      <c r="F25" s="52">
        <v>0</v>
      </c>
      <c r="G25" s="52">
        <v>1</v>
      </c>
      <c r="H25" s="52">
        <v>0</v>
      </c>
      <c r="I25" s="52">
        <v>0</v>
      </c>
      <c r="J25" s="52">
        <v>0</v>
      </c>
      <c r="K25" s="52">
        <v>0</v>
      </c>
      <c r="L25" s="52">
        <v>1</v>
      </c>
      <c r="M25" s="52">
        <v>0</v>
      </c>
      <c r="N25" s="52">
        <v>0</v>
      </c>
      <c r="O25" s="52">
        <v>0</v>
      </c>
      <c r="P25" s="52">
        <v>0</v>
      </c>
    </row>
    <row r="26" spans="1:16" s="148" customFormat="1">
      <c r="A26" s="155" t="s">
        <v>2337</v>
      </c>
      <c r="B26" s="52">
        <v>1401</v>
      </c>
      <c r="C26" s="53" t="s">
        <v>3379</v>
      </c>
      <c r="D26" s="53">
        <v>1</v>
      </c>
      <c r="E26" s="52">
        <v>1</v>
      </c>
      <c r="F26" s="52">
        <v>0</v>
      </c>
      <c r="G26" s="52">
        <v>0</v>
      </c>
      <c r="H26" s="52">
        <v>0</v>
      </c>
      <c r="I26" s="52">
        <v>1</v>
      </c>
      <c r="J26" s="52">
        <v>0</v>
      </c>
      <c r="K26" s="52">
        <v>0</v>
      </c>
      <c r="L26" s="52">
        <v>1</v>
      </c>
      <c r="M26" s="52">
        <v>0</v>
      </c>
      <c r="N26" s="52">
        <v>1</v>
      </c>
      <c r="O26" s="52">
        <v>0</v>
      </c>
      <c r="P26" s="52">
        <v>0</v>
      </c>
    </row>
    <row r="27" spans="1:16" s="148" customFormat="1">
      <c r="A27" s="155" t="s">
        <v>2337</v>
      </c>
      <c r="B27" s="52">
        <v>1401</v>
      </c>
      <c r="C27" s="53" t="s">
        <v>3380</v>
      </c>
      <c r="D27" s="53">
        <v>2</v>
      </c>
      <c r="E27" s="52">
        <v>1</v>
      </c>
      <c r="F27" s="52">
        <v>0</v>
      </c>
      <c r="G27" s="52">
        <v>0</v>
      </c>
      <c r="H27" s="52">
        <v>0</v>
      </c>
      <c r="I27" s="52">
        <v>1</v>
      </c>
      <c r="J27" s="52">
        <v>0</v>
      </c>
      <c r="K27" s="52">
        <v>0</v>
      </c>
      <c r="L27" s="52">
        <v>1</v>
      </c>
      <c r="M27" s="52">
        <v>0</v>
      </c>
      <c r="N27" s="52">
        <v>1</v>
      </c>
      <c r="O27" s="52">
        <v>0</v>
      </c>
      <c r="P27" s="52">
        <v>0</v>
      </c>
    </row>
    <row r="28" spans="1:16" s="148" customFormat="1">
      <c r="A28" s="52" t="s">
        <v>160</v>
      </c>
      <c r="B28" s="52">
        <v>1471</v>
      </c>
      <c r="C28" s="53" t="s">
        <v>3381</v>
      </c>
      <c r="D28" s="53">
        <v>1</v>
      </c>
      <c r="E28" s="52">
        <v>0</v>
      </c>
      <c r="F28" s="52">
        <v>0</v>
      </c>
      <c r="G28" s="52">
        <v>0</v>
      </c>
      <c r="H28" s="52">
        <v>0</v>
      </c>
      <c r="I28" s="154">
        <v>1</v>
      </c>
      <c r="J28" s="52">
        <v>0</v>
      </c>
      <c r="K28" s="52">
        <v>0</v>
      </c>
      <c r="L28" s="52">
        <v>0</v>
      </c>
      <c r="M28" s="52">
        <v>0</v>
      </c>
      <c r="N28" s="52">
        <v>0</v>
      </c>
      <c r="O28" s="52">
        <v>0</v>
      </c>
      <c r="P28" s="52">
        <v>0</v>
      </c>
    </row>
    <row r="29" spans="1:16" s="36" customFormat="1">
      <c r="A29" s="52" t="s">
        <v>160</v>
      </c>
      <c r="B29" s="52">
        <v>1471</v>
      </c>
      <c r="C29" s="53" t="s">
        <v>3382</v>
      </c>
      <c r="D29" s="53">
        <v>2</v>
      </c>
      <c r="E29" s="52">
        <v>0</v>
      </c>
      <c r="F29" s="52">
        <v>0</v>
      </c>
      <c r="G29" s="52">
        <v>1</v>
      </c>
      <c r="H29" s="52">
        <v>0</v>
      </c>
      <c r="I29" s="52">
        <v>0</v>
      </c>
      <c r="J29" s="52">
        <v>0</v>
      </c>
      <c r="K29" s="52">
        <v>0</v>
      </c>
      <c r="L29" s="52">
        <v>0</v>
      </c>
      <c r="M29" s="52">
        <v>0</v>
      </c>
      <c r="N29" s="52">
        <v>0</v>
      </c>
      <c r="O29" s="52">
        <v>0</v>
      </c>
      <c r="P29" s="52">
        <v>0</v>
      </c>
    </row>
    <row r="30" spans="1:16" s="36" customFormat="1">
      <c r="A30" s="52" t="s">
        <v>70</v>
      </c>
      <c r="B30" s="52">
        <v>1521</v>
      </c>
      <c r="C30" s="53" t="s">
        <v>3229</v>
      </c>
      <c r="D30" s="53">
        <v>1</v>
      </c>
      <c r="E30" s="52">
        <v>0</v>
      </c>
      <c r="F30" s="52">
        <v>0</v>
      </c>
      <c r="G30" s="52">
        <v>0</v>
      </c>
      <c r="H30" s="52">
        <v>0</v>
      </c>
      <c r="I30" s="52">
        <v>0</v>
      </c>
      <c r="J30" s="52">
        <v>0</v>
      </c>
      <c r="K30" s="52">
        <v>0</v>
      </c>
      <c r="L30" s="52">
        <v>0</v>
      </c>
      <c r="M30" s="52">
        <v>0</v>
      </c>
      <c r="N30" s="52">
        <v>0</v>
      </c>
      <c r="O30" s="52">
        <v>0</v>
      </c>
      <c r="P30" s="52">
        <v>0</v>
      </c>
    </row>
    <row r="31" spans="1:16" s="148" customFormat="1">
      <c r="A31" s="52" t="s">
        <v>70</v>
      </c>
      <c r="B31" s="52">
        <v>1521</v>
      </c>
      <c r="C31" s="53" t="s">
        <v>3222</v>
      </c>
      <c r="D31" s="53">
        <v>2</v>
      </c>
      <c r="E31" s="52">
        <v>1</v>
      </c>
      <c r="F31" s="52">
        <v>0</v>
      </c>
      <c r="G31" s="52">
        <v>0</v>
      </c>
      <c r="H31" s="52">
        <v>0</v>
      </c>
      <c r="I31" s="52">
        <v>1</v>
      </c>
      <c r="J31" s="52">
        <v>1</v>
      </c>
      <c r="K31" s="52">
        <v>0</v>
      </c>
      <c r="L31" s="52">
        <v>1</v>
      </c>
      <c r="M31" s="52">
        <v>0</v>
      </c>
      <c r="N31" s="52">
        <v>0</v>
      </c>
      <c r="O31" s="52">
        <v>0</v>
      </c>
      <c r="P31" s="52">
        <v>0</v>
      </c>
    </row>
    <row r="32" spans="1:16" s="148" customFormat="1">
      <c r="A32" s="52" t="s">
        <v>161</v>
      </c>
      <c r="B32" s="156">
        <v>1585</v>
      </c>
      <c r="C32" s="53" t="s">
        <v>3383</v>
      </c>
      <c r="D32" s="53">
        <v>1</v>
      </c>
      <c r="E32" s="52">
        <v>0</v>
      </c>
      <c r="F32" s="52">
        <v>0</v>
      </c>
      <c r="G32" s="52">
        <v>0</v>
      </c>
      <c r="H32" s="52">
        <v>0</v>
      </c>
      <c r="I32" s="52">
        <v>0</v>
      </c>
      <c r="J32" s="52">
        <v>0</v>
      </c>
      <c r="K32" s="52">
        <v>0</v>
      </c>
      <c r="L32" s="52">
        <v>0</v>
      </c>
      <c r="M32" s="52">
        <v>0</v>
      </c>
      <c r="N32" s="52">
        <v>0</v>
      </c>
      <c r="O32" s="52">
        <v>0</v>
      </c>
      <c r="P32" s="52">
        <v>0</v>
      </c>
    </row>
    <row r="33" spans="1:16" s="36" customFormat="1">
      <c r="A33" s="52" t="s">
        <v>161</v>
      </c>
      <c r="B33" s="156">
        <v>1585</v>
      </c>
      <c r="C33" s="53" t="s">
        <v>3384</v>
      </c>
      <c r="D33" s="53">
        <v>2</v>
      </c>
      <c r="E33" s="52">
        <v>0</v>
      </c>
      <c r="F33" s="52">
        <v>0</v>
      </c>
      <c r="G33" s="52">
        <v>1</v>
      </c>
      <c r="H33" s="52">
        <v>0</v>
      </c>
      <c r="I33" s="52">
        <v>0</v>
      </c>
      <c r="J33" s="52">
        <v>0</v>
      </c>
      <c r="K33" s="52">
        <v>0</v>
      </c>
      <c r="L33" s="52">
        <v>0</v>
      </c>
      <c r="M33" s="52">
        <v>0</v>
      </c>
      <c r="N33" s="52">
        <v>0</v>
      </c>
      <c r="O33" s="52">
        <v>0</v>
      </c>
      <c r="P33" s="52">
        <v>0</v>
      </c>
    </row>
    <row r="34" spans="1:16" s="36" customFormat="1">
      <c r="A34" s="52" t="s">
        <v>161</v>
      </c>
      <c r="B34" s="156">
        <v>1585</v>
      </c>
      <c r="C34" s="53" t="s">
        <v>3385</v>
      </c>
      <c r="D34" s="53">
        <v>3</v>
      </c>
      <c r="E34" s="52">
        <v>0</v>
      </c>
      <c r="F34" s="154">
        <v>0</v>
      </c>
      <c r="G34" s="154">
        <v>1</v>
      </c>
      <c r="H34" s="52">
        <v>0</v>
      </c>
      <c r="I34" s="52">
        <v>0</v>
      </c>
      <c r="J34" s="52">
        <v>1</v>
      </c>
      <c r="K34" s="52">
        <v>0</v>
      </c>
      <c r="L34" s="52">
        <v>1</v>
      </c>
      <c r="M34" s="52">
        <v>0</v>
      </c>
      <c r="N34" s="52">
        <v>1</v>
      </c>
      <c r="O34" s="52">
        <v>0</v>
      </c>
      <c r="P34" s="52">
        <v>0</v>
      </c>
    </row>
    <row r="35" spans="1:16" s="36" customFormat="1">
      <c r="A35" s="52" t="s">
        <v>163</v>
      </c>
      <c r="B35" s="52">
        <v>1620</v>
      </c>
      <c r="C35" s="53" t="s">
        <v>3229</v>
      </c>
      <c r="D35" s="53">
        <v>1</v>
      </c>
      <c r="E35" s="52">
        <v>0</v>
      </c>
      <c r="F35" s="52">
        <v>0</v>
      </c>
      <c r="G35" s="52">
        <v>0</v>
      </c>
      <c r="H35" s="52">
        <v>0</v>
      </c>
      <c r="I35" s="154">
        <v>1</v>
      </c>
      <c r="J35" s="52">
        <v>0</v>
      </c>
      <c r="K35" s="52">
        <v>0</v>
      </c>
      <c r="L35" s="52">
        <v>0</v>
      </c>
      <c r="M35" s="52">
        <v>0</v>
      </c>
      <c r="N35" s="52">
        <v>0</v>
      </c>
      <c r="O35" s="52">
        <v>0</v>
      </c>
      <c r="P35" s="52">
        <v>0</v>
      </c>
    </row>
    <row r="36" spans="1:16" s="36" customFormat="1">
      <c r="A36" s="52" t="s">
        <v>163</v>
      </c>
      <c r="B36" s="52">
        <v>1620</v>
      </c>
      <c r="C36" s="53" t="s">
        <v>3386</v>
      </c>
      <c r="D36" s="53">
        <v>2</v>
      </c>
      <c r="E36" s="52">
        <v>0</v>
      </c>
      <c r="F36" s="52">
        <v>0</v>
      </c>
      <c r="G36" s="52">
        <v>0</v>
      </c>
      <c r="H36" s="154">
        <v>1</v>
      </c>
      <c r="I36" s="52">
        <v>1</v>
      </c>
      <c r="J36" s="52">
        <v>1</v>
      </c>
      <c r="K36" s="52">
        <v>0</v>
      </c>
      <c r="L36" s="52">
        <v>0</v>
      </c>
      <c r="M36" s="52">
        <v>0</v>
      </c>
      <c r="N36" s="52">
        <v>1</v>
      </c>
      <c r="O36" s="52">
        <v>0</v>
      </c>
      <c r="P36" s="52">
        <v>0</v>
      </c>
    </row>
    <row r="37" spans="1:16" s="36" customFormat="1">
      <c r="A37" s="52" t="s">
        <v>165</v>
      </c>
      <c r="B37" s="52">
        <v>1646</v>
      </c>
      <c r="C37" s="53" t="s">
        <v>3229</v>
      </c>
      <c r="D37" s="53">
        <v>1</v>
      </c>
      <c r="E37" s="52">
        <v>0</v>
      </c>
      <c r="F37" s="52">
        <v>0</v>
      </c>
      <c r="G37" s="52">
        <v>0</v>
      </c>
      <c r="H37" s="52">
        <v>0</v>
      </c>
      <c r="I37" s="52">
        <v>0</v>
      </c>
      <c r="J37" s="52">
        <v>0</v>
      </c>
      <c r="K37" s="52">
        <v>0</v>
      </c>
      <c r="L37" s="52">
        <v>0</v>
      </c>
      <c r="M37" s="52">
        <v>0</v>
      </c>
      <c r="N37" s="52">
        <v>0</v>
      </c>
      <c r="O37" s="52">
        <v>0</v>
      </c>
      <c r="P37" s="52">
        <v>0</v>
      </c>
    </row>
    <row r="38" spans="1:16" s="36" customFormat="1">
      <c r="A38" s="52" t="s">
        <v>165</v>
      </c>
      <c r="B38" s="52">
        <v>1646</v>
      </c>
      <c r="C38" s="53" t="s">
        <v>3222</v>
      </c>
      <c r="D38" s="53">
        <v>2</v>
      </c>
      <c r="E38" s="52">
        <v>0</v>
      </c>
      <c r="F38" s="154">
        <v>1</v>
      </c>
      <c r="G38" s="52">
        <v>1</v>
      </c>
      <c r="H38" s="52">
        <v>0</v>
      </c>
      <c r="I38" s="52">
        <v>0</v>
      </c>
      <c r="J38" s="52">
        <v>0</v>
      </c>
      <c r="K38" s="52">
        <v>0</v>
      </c>
      <c r="L38" s="52">
        <v>1</v>
      </c>
      <c r="M38" s="52">
        <v>1</v>
      </c>
      <c r="N38" s="52">
        <v>0</v>
      </c>
      <c r="O38" s="52">
        <v>0</v>
      </c>
      <c r="P38" s="52">
        <v>0</v>
      </c>
    </row>
    <row r="39" spans="1:16" s="36" customFormat="1">
      <c r="A39" s="155" t="s">
        <v>2340</v>
      </c>
      <c r="B39" s="52">
        <v>1823</v>
      </c>
      <c r="C39" s="53" t="s">
        <v>3207</v>
      </c>
      <c r="D39" s="53">
        <v>1</v>
      </c>
      <c r="E39" s="52">
        <v>1</v>
      </c>
      <c r="F39" s="52">
        <v>0</v>
      </c>
      <c r="G39" s="52">
        <v>0</v>
      </c>
      <c r="H39" s="52">
        <v>0</v>
      </c>
      <c r="I39" s="52">
        <v>0</v>
      </c>
      <c r="J39" s="154">
        <v>1</v>
      </c>
      <c r="K39" s="52">
        <v>0</v>
      </c>
      <c r="L39" s="52">
        <v>0</v>
      </c>
      <c r="M39" s="52">
        <v>0</v>
      </c>
      <c r="N39" s="52">
        <v>0</v>
      </c>
      <c r="O39" s="52">
        <v>1</v>
      </c>
      <c r="P39" s="52">
        <v>0</v>
      </c>
    </row>
    <row r="40" spans="1:16" s="36" customFormat="1">
      <c r="A40" s="155" t="s">
        <v>2340</v>
      </c>
      <c r="B40" s="52">
        <v>1823</v>
      </c>
      <c r="C40" s="53" t="s">
        <v>3288</v>
      </c>
      <c r="D40" s="53">
        <v>2</v>
      </c>
      <c r="E40" s="52">
        <v>1</v>
      </c>
      <c r="F40" s="52">
        <v>0</v>
      </c>
      <c r="G40" s="52">
        <v>0</v>
      </c>
      <c r="H40" s="52">
        <v>0</v>
      </c>
      <c r="I40" s="52">
        <v>0</v>
      </c>
      <c r="J40" s="154">
        <v>1</v>
      </c>
      <c r="K40" s="52">
        <v>0</v>
      </c>
      <c r="L40" s="52">
        <v>0</v>
      </c>
      <c r="M40" s="52">
        <v>0</v>
      </c>
      <c r="N40" s="52">
        <v>0</v>
      </c>
      <c r="O40" s="52">
        <v>1</v>
      </c>
      <c r="P40" s="52">
        <v>0</v>
      </c>
    </row>
    <row r="41" spans="1:16" s="36" customFormat="1">
      <c r="A41" s="155" t="s">
        <v>71</v>
      </c>
      <c r="B41" s="52">
        <v>1841</v>
      </c>
      <c r="C41" s="53" t="s">
        <v>3207</v>
      </c>
      <c r="D41" s="53">
        <v>1</v>
      </c>
      <c r="E41" s="52">
        <v>0</v>
      </c>
      <c r="F41" s="52">
        <v>0</v>
      </c>
      <c r="G41" s="52">
        <v>0</v>
      </c>
      <c r="H41" s="52">
        <v>0</v>
      </c>
      <c r="I41">
        <v>1</v>
      </c>
      <c r="J41" s="52">
        <v>0</v>
      </c>
      <c r="K41" s="52">
        <v>0</v>
      </c>
      <c r="L41" s="52">
        <v>0</v>
      </c>
      <c r="M41" s="52">
        <v>0</v>
      </c>
      <c r="N41" s="52">
        <v>0</v>
      </c>
      <c r="O41" s="52">
        <v>0</v>
      </c>
      <c r="P41" s="52">
        <v>0</v>
      </c>
    </row>
    <row r="42" spans="1:16" s="36" customFormat="1">
      <c r="A42" s="155" t="s">
        <v>71</v>
      </c>
      <c r="B42" s="52">
        <v>1841</v>
      </c>
      <c r="C42" s="53" t="s">
        <v>3222</v>
      </c>
      <c r="D42" s="53">
        <v>2</v>
      </c>
      <c r="E42" s="52">
        <v>0</v>
      </c>
      <c r="F42" s="52">
        <v>0</v>
      </c>
      <c r="G42" s="52">
        <v>0</v>
      </c>
      <c r="H42" s="52">
        <v>0</v>
      </c>
      <c r="I42">
        <v>1</v>
      </c>
      <c r="J42" s="52">
        <v>0</v>
      </c>
      <c r="K42" s="52">
        <v>0</v>
      </c>
      <c r="L42" s="52">
        <v>1</v>
      </c>
      <c r="M42" s="52">
        <v>0</v>
      </c>
      <c r="N42" s="52">
        <v>0</v>
      </c>
      <c r="O42" s="52">
        <v>0</v>
      </c>
      <c r="P42" s="52">
        <v>0</v>
      </c>
    </row>
    <row r="43" spans="1:16" s="36" customFormat="1">
      <c r="A43" s="52" t="s">
        <v>3387</v>
      </c>
      <c r="B43" s="52">
        <v>1930</v>
      </c>
      <c r="C43" s="52" t="s">
        <v>3245</v>
      </c>
      <c r="D43" s="52">
        <v>1</v>
      </c>
      <c r="E43" s="52">
        <v>0</v>
      </c>
      <c r="F43" s="52">
        <v>0</v>
      </c>
      <c r="G43" s="52">
        <v>0</v>
      </c>
      <c r="H43" s="52">
        <v>0</v>
      </c>
      <c r="I43" s="52">
        <v>0</v>
      </c>
      <c r="J43" s="52">
        <v>0</v>
      </c>
      <c r="K43" s="52">
        <v>0</v>
      </c>
      <c r="L43" s="52">
        <v>0</v>
      </c>
      <c r="M43" s="52">
        <v>0</v>
      </c>
      <c r="N43" s="52">
        <v>0</v>
      </c>
      <c r="O43" s="52">
        <v>0</v>
      </c>
      <c r="P43" s="52">
        <v>0</v>
      </c>
    </row>
    <row r="44" spans="1:16" s="36" customFormat="1">
      <c r="A44" s="52" t="s">
        <v>3387</v>
      </c>
      <c r="B44" s="52">
        <v>1930</v>
      </c>
      <c r="C44" s="52" t="s">
        <v>3388</v>
      </c>
      <c r="D44" s="52">
        <v>2</v>
      </c>
      <c r="E44" s="52">
        <v>0</v>
      </c>
      <c r="F44" s="154">
        <v>0</v>
      </c>
      <c r="G44" s="52">
        <v>0</v>
      </c>
      <c r="H44" s="52">
        <v>0</v>
      </c>
      <c r="I44" s="154">
        <v>1</v>
      </c>
      <c r="J44" s="52">
        <v>0</v>
      </c>
      <c r="K44" s="52">
        <v>0</v>
      </c>
      <c r="L44" s="154">
        <v>0</v>
      </c>
      <c r="M44" s="154">
        <v>0</v>
      </c>
      <c r="N44" s="52">
        <v>0</v>
      </c>
      <c r="O44" s="52">
        <v>0</v>
      </c>
      <c r="P44" s="52">
        <v>0</v>
      </c>
    </row>
    <row r="45" spans="1:16" s="36" customFormat="1">
      <c r="A45" s="52" t="s">
        <v>3389</v>
      </c>
      <c r="B45" s="52">
        <v>1982</v>
      </c>
      <c r="C45" s="53" t="s">
        <v>3229</v>
      </c>
      <c r="D45" s="53">
        <v>1</v>
      </c>
      <c r="E45" s="52">
        <v>0</v>
      </c>
      <c r="F45" s="52">
        <v>0</v>
      </c>
      <c r="G45" s="52">
        <v>0</v>
      </c>
      <c r="H45" s="52">
        <v>0</v>
      </c>
      <c r="I45" s="52">
        <v>0</v>
      </c>
      <c r="J45" s="52">
        <v>0</v>
      </c>
      <c r="K45" s="52">
        <v>0</v>
      </c>
      <c r="L45" s="52">
        <v>0</v>
      </c>
      <c r="M45" s="52">
        <v>0</v>
      </c>
      <c r="N45" s="52">
        <v>0</v>
      </c>
      <c r="O45" s="52">
        <v>0</v>
      </c>
      <c r="P45" s="52">
        <v>0</v>
      </c>
    </row>
    <row r="46" spans="1:16" s="36" customFormat="1">
      <c r="A46" s="52" t="s">
        <v>3389</v>
      </c>
      <c r="B46" s="52">
        <v>1982</v>
      </c>
      <c r="C46" s="53" t="s">
        <v>3390</v>
      </c>
      <c r="D46" s="53">
        <v>2</v>
      </c>
      <c r="E46" s="52">
        <v>0</v>
      </c>
      <c r="F46" s="52">
        <v>0</v>
      </c>
      <c r="G46" s="52">
        <v>0</v>
      </c>
      <c r="H46" s="52">
        <v>0</v>
      </c>
      <c r="I46" s="52">
        <v>0</v>
      </c>
      <c r="J46" s="52">
        <v>0</v>
      </c>
      <c r="K46" s="52">
        <v>1</v>
      </c>
      <c r="L46" s="52">
        <v>0</v>
      </c>
      <c r="M46" s="52">
        <v>0</v>
      </c>
      <c r="N46" s="52">
        <v>0</v>
      </c>
      <c r="O46" s="52">
        <v>0</v>
      </c>
      <c r="P46" s="52">
        <v>0</v>
      </c>
    </row>
    <row r="47" spans="1:16" s="36" customFormat="1">
      <c r="A47" s="52" t="s">
        <v>168</v>
      </c>
      <c r="B47" s="52">
        <v>2059</v>
      </c>
      <c r="C47" s="53" t="s">
        <v>3229</v>
      </c>
      <c r="D47" s="53">
        <v>1</v>
      </c>
      <c r="E47" s="52">
        <v>0</v>
      </c>
      <c r="F47" s="52">
        <v>0</v>
      </c>
      <c r="G47" s="52">
        <v>0</v>
      </c>
      <c r="H47" s="52">
        <v>0</v>
      </c>
      <c r="I47" s="52">
        <v>0</v>
      </c>
      <c r="J47" s="52">
        <v>0</v>
      </c>
      <c r="K47" s="52">
        <v>0</v>
      </c>
      <c r="L47" s="52">
        <v>0</v>
      </c>
      <c r="M47" s="52">
        <v>0</v>
      </c>
      <c r="N47" s="52">
        <v>0</v>
      </c>
      <c r="O47" s="52">
        <v>0</v>
      </c>
      <c r="P47" s="52">
        <v>0</v>
      </c>
    </row>
    <row r="48" spans="1:16" s="148" customFormat="1">
      <c r="A48" s="52" t="s">
        <v>168</v>
      </c>
      <c r="B48" s="52">
        <v>2059</v>
      </c>
      <c r="C48" s="53" t="s">
        <v>3222</v>
      </c>
      <c r="D48" s="53">
        <v>2</v>
      </c>
      <c r="E48" s="52">
        <v>0</v>
      </c>
      <c r="F48" s="52">
        <v>0</v>
      </c>
      <c r="G48" s="52">
        <v>0</v>
      </c>
      <c r="H48" s="52">
        <v>0</v>
      </c>
      <c r="I48" s="52">
        <v>0</v>
      </c>
      <c r="J48" s="52">
        <v>1</v>
      </c>
      <c r="K48" s="52">
        <v>1</v>
      </c>
      <c r="L48" s="52">
        <v>1</v>
      </c>
      <c r="M48" s="52">
        <v>1</v>
      </c>
      <c r="N48" s="52">
        <v>1</v>
      </c>
      <c r="O48" s="52">
        <v>0</v>
      </c>
      <c r="P48" s="52">
        <v>0</v>
      </c>
    </row>
    <row r="49" spans="1:16" s="148" customFormat="1">
      <c r="A49" s="52" t="s">
        <v>2368</v>
      </c>
      <c r="B49" s="156">
        <v>2264</v>
      </c>
      <c r="C49" s="53" t="s">
        <v>3391</v>
      </c>
      <c r="D49" s="53">
        <v>1</v>
      </c>
      <c r="E49" s="52">
        <v>0</v>
      </c>
      <c r="F49" s="52">
        <v>0</v>
      </c>
      <c r="G49" s="52">
        <v>0</v>
      </c>
      <c r="H49" s="52">
        <v>0</v>
      </c>
      <c r="I49" s="52">
        <v>0</v>
      </c>
      <c r="J49" s="52">
        <v>0</v>
      </c>
      <c r="K49" s="52">
        <v>0</v>
      </c>
      <c r="L49" s="52">
        <v>0</v>
      </c>
      <c r="M49" s="52">
        <v>0</v>
      </c>
      <c r="N49" s="52">
        <v>0</v>
      </c>
      <c r="O49" s="52">
        <v>0</v>
      </c>
      <c r="P49" s="52">
        <v>0</v>
      </c>
    </row>
    <row r="50" spans="1:16" s="36" customFormat="1">
      <c r="A50" s="52" t="s">
        <v>2368</v>
      </c>
      <c r="B50" s="156">
        <v>2264</v>
      </c>
      <c r="C50" s="53" t="s">
        <v>3392</v>
      </c>
      <c r="D50" s="53">
        <v>2</v>
      </c>
      <c r="E50" s="52">
        <v>0</v>
      </c>
      <c r="F50" s="52">
        <v>0</v>
      </c>
      <c r="G50" s="52">
        <v>0</v>
      </c>
      <c r="H50" s="52">
        <v>0</v>
      </c>
      <c r="I50" s="52">
        <v>0</v>
      </c>
      <c r="J50" s="52">
        <v>0</v>
      </c>
      <c r="K50" s="52">
        <v>0</v>
      </c>
      <c r="L50" s="52">
        <v>1</v>
      </c>
      <c r="M50" s="52">
        <v>1</v>
      </c>
      <c r="N50" s="52">
        <v>0</v>
      </c>
      <c r="O50" s="52">
        <v>0</v>
      </c>
      <c r="P50" s="52">
        <v>0</v>
      </c>
    </row>
    <row r="51" spans="1:16" s="36" customFormat="1">
      <c r="A51" s="52" t="s">
        <v>2368</v>
      </c>
      <c r="B51" s="156">
        <v>2264</v>
      </c>
      <c r="C51" s="53" t="s">
        <v>3393</v>
      </c>
      <c r="D51" s="53">
        <v>3</v>
      </c>
      <c r="E51" s="52">
        <v>0</v>
      </c>
      <c r="F51" s="52">
        <v>0</v>
      </c>
      <c r="G51" s="52">
        <v>0</v>
      </c>
      <c r="H51" s="52">
        <v>0</v>
      </c>
      <c r="I51" s="52">
        <v>1</v>
      </c>
      <c r="J51" s="52">
        <v>0</v>
      </c>
      <c r="K51" s="52">
        <v>0</v>
      </c>
      <c r="L51" s="52">
        <v>0</v>
      </c>
      <c r="M51" s="52">
        <v>0</v>
      </c>
      <c r="N51" s="52">
        <v>0</v>
      </c>
      <c r="O51" s="52">
        <v>0</v>
      </c>
      <c r="P51" s="52">
        <v>0</v>
      </c>
    </row>
    <row r="52" spans="1:16" s="36" customFormat="1">
      <c r="A52" s="52" t="s">
        <v>2368</v>
      </c>
      <c r="B52" s="156">
        <v>2264</v>
      </c>
      <c r="C52" s="53" t="s">
        <v>3394</v>
      </c>
      <c r="D52" s="53">
        <v>4</v>
      </c>
      <c r="E52" s="52">
        <v>0</v>
      </c>
      <c r="F52" s="52">
        <v>0</v>
      </c>
      <c r="G52" s="52">
        <v>0</v>
      </c>
      <c r="H52" s="52">
        <v>0</v>
      </c>
      <c r="I52" s="52">
        <v>1</v>
      </c>
      <c r="J52" s="52">
        <v>0</v>
      </c>
      <c r="K52" s="52">
        <v>0</v>
      </c>
      <c r="L52" s="52">
        <v>1</v>
      </c>
      <c r="M52" s="52">
        <v>1</v>
      </c>
      <c r="N52" s="52">
        <v>0</v>
      </c>
      <c r="O52" s="52">
        <v>0</v>
      </c>
      <c r="P52" s="52">
        <v>0</v>
      </c>
    </row>
    <row r="53" spans="1:16" s="36" customFormat="1">
      <c r="A53" s="52" t="s">
        <v>2313</v>
      </c>
      <c r="B53" s="52">
        <v>2275</v>
      </c>
      <c r="C53" s="53" t="s">
        <v>3395</v>
      </c>
      <c r="D53" s="53">
        <v>1</v>
      </c>
      <c r="E53" s="52">
        <v>1</v>
      </c>
      <c r="F53" s="52">
        <v>0</v>
      </c>
      <c r="G53" s="52">
        <v>1</v>
      </c>
      <c r="H53" s="52">
        <v>0</v>
      </c>
      <c r="I53" s="52">
        <v>1</v>
      </c>
      <c r="J53" s="52">
        <v>0</v>
      </c>
      <c r="K53" s="52">
        <v>0</v>
      </c>
      <c r="L53" s="52">
        <v>0</v>
      </c>
      <c r="M53" s="52">
        <v>0</v>
      </c>
      <c r="N53" s="52">
        <v>0</v>
      </c>
      <c r="O53" s="52">
        <v>0</v>
      </c>
      <c r="P53" s="52">
        <v>0</v>
      </c>
    </row>
    <row r="54" spans="1:16" s="36" customFormat="1">
      <c r="A54" s="52" t="s">
        <v>2313</v>
      </c>
      <c r="B54" s="52">
        <v>2275</v>
      </c>
      <c r="C54" s="53" t="s">
        <v>3396</v>
      </c>
      <c r="D54" s="53">
        <v>2</v>
      </c>
      <c r="E54" s="52">
        <v>1</v>
      </c>
      <c r="F54" s="52">
        <v>0</v>
      </c>
      <c r="G54" s="52">
        <v>1</v>
      </c>
      <c r="H54" s="52">
        <v>0</v>
      </c>
      <c r="I54" s="52">
        <v>1</v>
      </c>
      <c r="J54" s="52">
        <v>1</v>
      </c>
      <c r="K54" s="52">
        <v>0</v>
      </c>
      <c r="L54" s="52">
        <v>0</v>
      </c>
      <c r="M54" s="52">
        <v>0</v>
      </c>
      <c r="N54" s="52">
        <v>0</v>
      </c>
      <c r="O54" s="52">
        <v>1</v>
      </c>
      <c r="P54" s="52">
        <v>0</v>
      </c>
    </row>
    <row r="55" spans="1:16" s="36" customFormat="1">
      <c r="A55" s="52" t="s">
        <v>74</v>
      </c>
      <c r="B55" s="52">
        <v>2317</v>
      </c>
      <c r="C55" s="53" t="s">
        <v>3229</v>
      </c>
      <c r="D55" s="53">
        <v>1</v>
      </c>
      <c r="E55" s="52">
        <v>0</v>
      </c>
      <c r="F55" s="52">
        <v>0</v>
      </c>
      <c r="G55" s="52">
        <v>0</v>
      </c>
      <c r="H55" s="52">
        <v>0</v>
      </c>
      <c r="I55" s="52">
        <v>0</v>
      </c>
      <c r="J55" s="52">
        <v>0</v>
      </c>
      <c r="K55" s="52">
        <v>0</v>
      </c>
      <c r="L55" s="52">
        <v>0</v>
      </c>
      <c r="M55" s="52">
        <v>0</v>
      </c>
      <c r="N55" s="52">
        <v>0</v>
      </c>
      <c r="O55" s="52">
        <v>0</v>
      </c>
      <c r="P55" s="52">
        <v>0</v>
      </c>
    </row>
    <row r="56" spans="1:16" s="36" customFormat="1">
      <c r="A56" s="52" t="s">
        <v>74</v>
      </c>
      <c r="B56" s="52">
        <v>2317</v>
      </c>
      <c r="C56" s="53" t="s">
        <v>3222</v>
      </c>
      <c r="D56" s="53">
        <v>2</v>
      </c>
      <c r="E56" s="52">
        <v>0</v>
      </c>
      <c r="F56" s="52">
        <v>0</v>
      </c>
      <c r="G56" s="52">
        <v>0</v>
      </c>
      <c r="H56" s="52">
        <v>0</v>
      </c>
      <c r="I56" s="52">
        <v>0</v>
      </c>
      <c r="J56" s="52">
        <v>1</v>
      </c>
      <c r="K56" s="52">
        <v>0</v>
      </c>
      <c r="L56" s="52">
        <v>0</v>
      </c>
      <c r="M56" s="52">
        <v>0</v>
      </c>
      <c r="N56" s="52">
        <v>0</v>
      </c>
      <c r="O56" s="52">
        <v>0</v>
      </c>
      <c r="P56" s="52">
        <v>0</v>
      </c>
    </row>
    <row r="57" spans="1:16" s="36" customFormat="1">
      <c r="A57" s="52" t="s">
        <v>171</v>
      </c>
      <c r="B57" s="52">
        <v>2707</v>
      </c>
      <c r="C57" s="53" t="s">
        <v>3245</v>
      </c>
      <c r="D57" s="53">
        <v>1</v>
      </c>
      <c r="E57" s="52">
        <v>0</v>
      </c>
      <c r="F57" s="52">
        <v>0</v>
      </c>
      <c r="G57" s="52">
        <v>0</v>
      </c>
      <c r="H57" s="52">
        <v>0</v>
      </c>
      <c r="I57" s="52">
        <v>0</v>
      </c>
      <c r="J57" s="52">
        <v>0</v>
      </c>
      <c r="K57" s="52">
        <v>0</v>
      </c>
      <c r="L57" s="52">
        <v>0</v>
      </c>
      <c r="M57" s="52">
        <v>0</v>
      </c>
      <c r="N57" s="52">
        <v>0</v>
      </c>
      <c r="O57" s="52">
        <v>0</v>
      </c>
      <c r="P57" s="52">
        <v>0</v>
      </c>
    </row>
    <row r="58" spans="1:16" s="36" customFormat="1">
      <c r="A58" s="52" t="s">
        <v>171</v>
      </c>
      <c r="B58" s="52">
        <v>2707</v>
      </c>
      <c r="C58" s="53" t="s">
        <v>3222</v>
      </c>
      <c r="D58" s="53">
        <v>2</v>
      </c>
      <c r="E58" s="52">
        <v>0</v>
      </c>
      <c r="F58" s="52">
        <v>1</v>
      </c>
      <c r="G58" s="52">
        <v>0</v>
      </c>
      <c r="H58" s="52">
        <v>0</v>
      </c>
      <c r="I58" s="52">
        <v>0</v>
      </c>
      <c r="J58" s="52">
        <v>0</v>
      </c>
      <c r="K58" s="52">
        <v>0</v>
      </c>
      <c r="L58" s="52">
        <v>1</v>
      </c>
      <c r="M58" s="52">
        <v>1</v>
      </c>
      <c r="N58" s="52">
        <v>0</v>
      </c>
      <c r="O58" s="52">
        <v>0</v>
      </c>
      <c r="P58" s="52">
        <v>0</v>
      </c>
    </row>
    <row r="59" spans="1:16" s="36" customFormat="1">
      <c r="A59" s="52" t="s">
        <v>173</v>
      </c>
      <c r="B59" s="52">
        <v>2709</v>
      </c>
      <c r="C59" s="53" t="s">
        <v>3229</v>
      </c>
      <c r="D59" s="53">
        <v>1</v>
      </c>
      <c r="E59" s="52">
        <v>0</v>
      </c>
      <c r="F59" s="52">
        <v>0</v>
      </c>
      <c r="G59" s="52">
        <v>0</v>
      </c>
      <c r="H59" s="52">
        <v>0</v>
      </c>
      <c r="I59" s="52">
        <v>0</v>
      </c>
      <c r="J59" s="52">
        <v>0</v>
      </c>
      <c r="K59" s="52">
        <v>0</v>
      </c>
      <c r="L59" s="52">
        <v>0</v>
      </c>
      <c r="M59" s="52">
        <v>0</v>
      </c>
      <c r="N59" s="52">
        <v>0</v>
      </c>
      <c r="O59" s="52">
        <v>0</v>
      </c>
      <c r="P59" s="52">
        <v>0</v>
      </c>
    </row>
    <row r="60" spans="1:16" s="36" customFormat="1">
      <c r="A60" s="52" t="s">
        <v>173</v>
      </c>
      <c r="B60" s="52">
        <v>2709</v>
      </c>
      <c r="C60" s="53" t="s">
        <v>3222</v>
      </c>
      <c r="D60" s="53">
        <v>2</v>
      </c>
      <c r="E60" s="52">
        <v>0</v>
      </c>
      <c r="F60" s="52">
        <v>1</v>
      </c>
      <c r="G60" s="52">
        <v>0</v>
      </c>
      <c r="H60" s="52">
        <v>0</v>
      </c>
      <c r="I60" s="52">
        <v>0</v>
      </c>
      <c r="J60" s="52">
        <v>0</v>
      </c>
      <c r="K60" s="52">
        <v>0</v>
      </c>
      <c r="L60" s="52">
        <v>1</v>
      </c>
      <c r="M60" s="52">
        <v>1</v>
      </c>
      <c r="N60" s="52">
        <v>0</v>
      </c>
      <c r="O60" s="52">
        <v>0</v>
      </c>
      <c r="P60" s="52">
        <v>0</v>
      </c>
    </row>
    <row r="61" spans="1:16" s="36" customFormat="1">
      <c r="A61" s="52" t="s">
        <v>174</v>
      </c>
      <c r="B61" s="52">
        <v>2737</v>
      </c>
      <c r="C61" s="52" t="s">
        <v>3397</v>
      </c>
      <c r="D61" s="52">
        <v>1</v>
      </c>
      <c r="E61" s="52">
        <v>0</v>
      </c>
      <c r="F61" s="52">
        <v>0</v>
      </c>
      <c r="G61" s="52">
        <v>0</v>
      </c>
      <c r="H61" s="52">
        <v>0</v>
      </c>
      <c r="I61" s="52">
        <v>0</v>
      </c>
      <c r="J61" s="52">
        <v>0</v>
      </c>
      <c r="K61" s="52">
        <v>0</v>
      </c>
      <c r="L61" s="154">
        <v>1</v>
      </c>
      <c r="M61" s="52">
        <v>0</v>
      </c>
      <c r="N61" s="52">
        <v>0</v>
      </c>
      <c r="O61" s="52">
        <v>0</v>
      </c>
      <c r="P61" s="52">
        <v>0</v>
      </c>
    </row>
    <row r="62" spans="1:16" s="36" customFormat="1">
      <c r="A62" s="52" t="s">
        <v>174</v>
      </c>
      <c r="B62" s="52">
        <v>2737</v>
      </c>
      <c r="C62" s="52" t="s">
        <v>3398</v>
      </c>
      <c r="D62" s="52">
        <v>2</v>
      </c>
      <c r="E62" s="52">
        <v>0</v>
      </c>
      <c r="F62" s="52">
        <v>1</v>
      </c>
      <c r="G62" s="52">
        <v>0</v>
      </c>
      <c r="H62" s="52">
        <v>0</v>
      </c>
      <c r="I62" s="52">
        <v>0</v>
      </c>
      <c r="J62" s="52">
        <v>0</v>
      </c>
      <c r="K62" s="52">
        <v>0</v>
      </c>
      <c r="L62" s="154">
        <v>1</v>
      </c>
      <c r="M62" s="52">
        <v>0</v>
      </c>
      <c r="N62" s="52">
        <v>0</v>
      </c>
      <c r="O62" s="52">
        <v>0</v>
      </c>
      <c r="P62" s="52">
        <v>0</v>
      </c>
    </row>
    <row r="63" spans="1:16" s="36" customFormat="1">
      <c r="A63" s="155" t="s">
        <v>175</v>
      </c>
      <c r="B63" s="52">
        <v>2915</v>
      </c>
      <c r="C63" s="53" t="s">
        <v>3399</v>
      </c>
      <c r="D63" s="53">
        <v>1</v>
      </c>
      <c r="E63" s="52">
        <v>0</v>
      </c>
      <c r="F63" s="52">
        <v>0</v>
      </c>
      <c r="G63" s="52">
        <v>0</v>
      </c>
      <c r="H63" s="52">
        <v>0</v>
      </c>
      <c r="I63" s="52">
        <v>0</v>
      </c>
      <c r="J63" s="52">
        <v>0</v>
      </c>
      <c r="K63" s="52">
        <v>1</v>
      </c>
      <c r="L63" s="52">
        <v>0</v>
      </c>
      <c r="M63" s="52">
        <v>1</v>
      </c>
      <c r="N63" s="52">
        <v>0</v>
      </c>
      <c r="O63" s="52">
        <v>0</v>
      </c>
      <c r="P63" s="52">
        <v>0</v>
      </c>
    </row>
    <row r="64" spans="1:16" s="36" customFormat="1">
      <c r="A64" s="155" t="s">
        <v>175</v>
      </c>
      <c r="B64" s="52">
        <v>2915</v>
      </c>
      <c r="C64" s="53" t="s">
        <v>3400</v>
      </c>
      <c r="D64" s="53">
        <v>2</v>
      </c>
      <c r="E64" s="52">
        <v>0</v>
      </c>
      <c r="F64" s="52">
        <v>0</v>
      </c>
      <c r="G64" s="52">
        <v>0</v>
      </c>
      <c r="H64" s="52">
        <v>0</v>
      </c>
      <c r="I64" s="52">
        <v>0</v>
      </c>
      <c r="J64" s="52">
        <v>0</v>
      </c>
      <c r="K64" s="52">
        <v>1</v>
      </c>
      <c r="L64" s="52">
        <v>0</v>
      </c>
      <c r="M64" s="52">
        <v>1</v>
      </c>
      <c r="N64" s="52">
        <v>0</v>
      </c>
      <c r="O64" s="52">
        <v>0</v>
      </c>
      <c r="P64" s="52">
        <v>0</v>
      </c>
    </row>
    <row r="65" spans="1:16" s="36" customFormat="1">
      <c r="A65" s="52" t="s">
        <v>176</v>
      </c>
      <c r="B65" s="52">
        <v>2925</v>
      </c>
      <c r="C65" s="53" t="s">
        <v>3229</v>
      </c>
      <c r="D65" s="53">
        <v>1</v>
      </c>
      <c r="E65" s="52">
        <v>0</v>
      </c>
      <c r="F65" s="52">
        <v>0</v>
      </c>
      <c r="G65" s="52">
        <v>0</v>
      </c>
      <c r="H65" s="52">
        <v>0</v>
      </c>
      <c r="I65" s="52">
        <v>0</v>
      </c>
      <c r="J65" s="52">
        <v>0</v>
      </c>
      <c r="K65" s="52">
        <v>0</v>
      </c>
      <c r="L65" s="52">
        <v>0</v>
      </c>
      <c r="M65" s="52">
        <v>0</v>
      </c>
      <c r="N65" s="52">
        <v>0</v>
      </c>
      <c r="O65" s="52">
        <v>0</v>
      </c>
      <c r="P65" s="52">
        <v>0</v>
      </c>
    </row>
    <row r="66" spans="1:16" s="36" customFormat="1">
      <c r="A66" s="52" t="s">
        <v>176</v>
      </c>
      <c r="B66" s="52">
        <v>2925</v>
      </c>
      <c r="C66" s="53" t="s">
        <v>3222</v>
      </c>
      <c r="D66" s="53">
        <v>2</v>
      </c>
      <c r="E66" s="52">
        <v>0</v>
      </c>
      <c r="F66" s="52">
        <v>1</v>
      </c>
      <c r="G66" s="52">
        <v>1</v>
      </c>
      <c r="H66" s="52">
        <v>0</v>
      </c>
      <c r="I66" s="52">
        <v>0</v>
      </c>
      <c r="J66" s="52">
        <v>0</v>
      </c>
      <c r="K66" s="52">
        <v>0</v>
      </c>
      <c r="L66" s="52">
        <v>1</v>
      </c>
      <c r="M66" s="52">
        <v>0</v>
      </c>
      <c r="N66" s="52">
        <v>0</v>
      </c>
      <c r="O66" s="52">
        <v>0</v>
      </c>
      <c r="P66" s="52">
        <v>0</v>
      </c>
    </row>
    <row r="67" spans="1:16" s="36" customFormat="1">
      <c r="A67" s="52" t="s">
        <v>177</v>
      </c>
      <c r="B67" s="52">
        <v>3349</v>
      </c>
      <c r="C67" s="53" t="s">
        <v>3397</v>
      </c>
      <c r="D67" s="53">
        <v>1</v>
      </c>
      <c r="E67" s="52">
        <v>0</v>
      </c>
      <c r="F67" s="52">
        <v>0</v>
      </c>
      <c r="G67" s="52">
        <v>0</v>
      </c>
      <c r="H67" s="52">
        <v>0</v>
      </c>
      <c r="I67" s="52">
        <v>0</v>
      </c>
      <c r="J67" s="52">
        <v>0</v>
      </c>
      <c r="K67" s="52">
        <v>0</v>
      </c>
      <c r="L67" s="52">
        <v>0</v>
      </c>
      <c r="M67" s="52">
        <v>0</v>
      </c>
      <c r="N67" s="52">
        <v>0</v>
      </c>
      <c r="O67" s="52">
        <v>0</v>
      </c>
      <c r="P67" s="52">
        <v>0</v>
      </c>
    </row>
    <row r="68" spans="1:16" s="36" customFormat="1">
      <c r="A68" s="52" t="s">
        <v>177</v>
      </c>
      <c r="B68" s="52">
        <v>3349</v>
      </c>
      <c r="C68" s="53" t="s">
        <v>3222</v>
      </c>
      <c r="D68" s="53">
        <v>2</v>
      </c>
      <c r="E68" s="52">
        <v>0</v>
      </c>
      <c r="F68" s="52">
        <v>1</v>
      </c>
      <c r="G68" s="52">
        <v>1</v>
      </c>
      <c r="H68" s="52">
        <v>0</v>
      </c>
      <c r="I68" s="52">
        <v>0</v>
      </c>
      <c r="J68" s="52">
        <v>0</v>
      </c>
      <c r="K68" s="52">
        <v>0</v>
      </c>
      <c r="L68" s="52">
        <v>0</v>
      </c>
      <c r="M68" s="154">
        <v>0</v>
      </c>
      <c r="N68" s="52">
        <v>0</v>
      </c>
      <c r="O68" s="52">
        <v>0</v>
      </c>
      <c r="P68" s="52">
        <v>0</v>
      </c>
    </row>
    <row r="69" spans="1:16" s="36" customFormat="1">
      <c r="A69" s="52" t="s">
        <v>76</v>
      </c>
      <c r="B69" s="52">
        <v>3514</v>
      </c>
      <c r="C69" s="53" t="s">
        <v>3401</v>
      </c>
      <c r="D69" s="53">
        <v>1</v>
      </c>
      <c r="E69" s="52">
        <v>0</v>
      </c>
      <c r="F69" s="52">
        <v>0</v>
      </c>
      <c r="G69" s="52">
        <v>0</v>
      </c>
      <c r="H69" s="52">
        <v>0</v>
      </c>
      <c r="I69" s="52">
        <v>0</v>
      </c>
      <c r="J69" s="52">
        <v>0</v>
      </c>
      <c r="K69" s="52">
        <v>0</v>
      </c>
      <c r="L69" s="52">
        <v>0</v>
      </c>
      <c r="M69" s="52">
        <v>0</v>
      </c>
      <c r="N69" s="52">
        <v>0</v>
      </c>
      <c r="O69" s="52">
        <v>0</v>
      </c>
      <c r="P69" s="52">
        <v>0</v>
      </c>
    </row>
    <row r="70" spans="1:16" s="36" customFormat="1">
      <c r="A70" s="52" t="s">
        <v>76</v>
      </c>
      <c r="B70" s="52">
        <v>3514</v>
      </c>
      <c r="C70" s="53" t="s">
        <v>3402</v>
      </c>
      <c r="D70" s="53">
        <v>2</v>
      </c>
      <c r="E70" s="52">
        <v>0</v>
      </c>
      <c r="F70" s="52">
        <v>0</v>
      </c>
      <c r="G70" s="52">
        <v>1</v>
      </c>
      <c r="H70" s="154">
        <v>1</v>
      </c>
      <c r="I70" s="52">
        <v>0</v>
      </c>
      <c r="J70" s="52">
        <v>0</v>
      </c>
      <c r="K70" s="52">
        <v>0</v>
      </c>
      <c r="L70" s="52">
        <v>1</v>
      </c>
      <c r="M70" s="52">
        <v>1</v>
      </c>
      <c r="N70" s="52">
        <v>0</v>
      </c>
      <c r="O70" s="52">
        <v>0</v>
      </c>
      <c r="P70" s="52">
        <v>0</v>
      </c>
    </row>
    <row r="71" spans="1:16" s="36" customFormat="1">
      <c r="A71" s="155" t="s">
        <v>2339</v>
      </c>
      <c r="B71" s="156">
        <v>3549</v>
      </c>
      <c r="C71" s="52" t="s">
        <v>3403</v>
      </c>
      <c r="D71" s="52">
        <v>1</v>
      </c>
      <c r="E71" s="52">
        <v>1</v>
      </c>
      <c r="F71" s="52">
        <v>0</v>
      </c>
      <c r="G71" s="52">
        <v>0</v>
      </c>
      <c r="H71" s="52">
        <v>0</v>
      </c>
      <c r="I71" s="52">
        <v>1</v>
      </c>
      <c r="J71" s="52">
        <v>1</v>
      </c>
      <c r="K71" s="52">
        <v>0</v>
      </c>
      <c r="L71" s="52">
        <v>0</v>
      </c>
      <c r="M71" s="52">
        <v>0</v>
      </c>
      <c r="N71" s="52">
        <v>0</v>
      </c>
      <c r="O71" s="52">
        <v>0</v>
      </c>
      <c r="P71" s="52">
        <v>0</v>
      </c>
    </row>
    <row r="72" spans="1:16" s="36" customFormat="1">
      <c r="A72" s="155" t="s">
        <v>2339</v>
      </c>
      <c r="B72" s="156">
        <v>3549</v>
      </c>
      <c r="C72" s="52" t="s">
        <v>3404</v>
      </c>
      <c r="D72" s="52">
        <v>2</v>
      </c>
      <c r="E72" s="52">
        <v>1</v>
      </c>
      <c r="F72" s="52">
        <v>0</v>
      </c>
      <c r="G72" s="52">
        <v>0</v>
      </c>
      <c r="H72" s="52">
        <v>0</v>
      </c>
      <c r="I72" s="52">
        <v>1</v>
      </c>
      <c r="J72" s="52">
        <v>1</v>
      </c>
      <c r="K72" s="52">
        <v>0</v>
      </c>
      <c r="L72" s="52">
        <v>0</v>
      </c>
      <c r="M72" s="52">
        <v>0</v>
      </c>
      <c r="N72" s="52">
        <v>0</v>
      </c>
      <c r="O72" s="52">
        <v>0</v>
      </c>
      <c r="P72" s="52">
        <v>0</v>
      </c>
    </row>
    <row r="73" spans="1:16" s="36" customFormat="1">
      <c r="A73" s="155" t="s">
        <v>2339</v>
      </c>
      <c r="B73" s="156">
        <v>3549</v>
      </c>
      <c r="C73" s="52" t="s">
        <v>3405</v>
      </c>
      <c r="D73" s="52">
        <v>3</v>
      </c>
      <c r="E73" s="52">
        <v>1</v>
      </c>
      <c r="F73" s="52">
        <v>0</v>
      </c>
      <c r="G73" s="52">
        <v>0</v>
      </c>
      <c r="H73" s="52">
        <v>0</v>
      </c>
      <c r="I73" s="52">
        <v>1</v>
      </c>
      <c r="J73" s="52">
        <v>1</v>
      </c>
      <c r="K73" s="52">
        <v>0</v>
      </c>
      <c r="L73" s="52">
        <v>0</v>
      </c>
      <c r="M73" s="52">
        <v>0</v>
      </c>
      <c r="N73" s="52">
        <v>0</v>
      </c>
      <c r="O73" s="52">
        <v>0</v>
      </c>
      <c r="P73" s="52">
        <v>0</v>
      </c>
    </row>
    <row r="74" spans="1:16" s="36" customFormat="1">
      <c r="A74" s="52" t="s">
        <v>178</v>
      </c>
      <c r="B74" s="52">
        <v>3575</v>
      </c>
      <c r="C74" s="53" t="s">
        <v>3229</v>
      </c>
      <c r="D74" s="53">
        <v>1</v>
      </c>
      <c r="E74" s="52">
        <v>0</v>
      </c>
      <c r="F74" s="52">
        <v>0</v>
      </c>
      <c r="G74" s="52">
        <v>0</v>
      </c>
      <c r="H74" s="52">
        <v>0</v>
      </c>
      <c r="I74" s="52">
        <v>0</v>
      </c>
      <c r="J74" s="52">
        <v>0</v>
      </c>
      <c r="K74" s="52">
        <v>0</v>
      </c>
      <c r="L74" s="52">
        <v>0</v>
      </c>
      <c r="M74" s="52">
        <v>0</v>
      </c>
      <c r="N74" s="52">
        <v>0</v>
      </c>
      <c r="O74" s="52">
        <v>0</v>
      </c>
      <c r="P74" s="52">
        <v>0</v>
      </c>
    </row>
    <row r="75" spans="1:16" s="36" customFormat="1">
      <c r="A75" s="52" t="s">
        <v>178</v>
      </c>
      <c r="B75" s="52">
        <v>3575</v>
      </c>
      <c r="C75" s="53" t="s">
        <v>3222</v>
      </c>
      <c r="D75" s="53">
        <v>2</v>
      </c>
      <c r="E75" s="52">
        <v>0</v>
      </c>
      <c r="F75" s="52">
        <v>1</v>
      </c>
      <c r="G75" s="52">
        <v>0</v>
      </c>
      <c r="H75" s="52">
        <v>0</v>
      </c>
      <c r="I75" s="52">
        <v>0</v>
      </c>
      <c r="J75" s="52">
        <v>0</v>
      </c>
      <c r="K75" s="52">
        <v>0</v>
      </c>
      <c r="L75" s="52">
        <v>1</v>
      </c>
      <c r="M75" s="52">
        <v>0</v>
      </c>
      <c r="N75" s="52">
        <v>0</v>
      </c>
      <c r="O75" s="52">
        <v>0</v>
      </c>
      <c r="P75" s="52">
        <v>0</v>
      </c>
    </row>
    <row r="76" spans="1:16" s="36" customFormat="1">
      <c r="A76" s="52" t="s">
        <v>179</v>
      </c>
      <c r="B76" s="52">
        <v>3864</v>
      </c>
      <c r="C76" s="52" t="s">
        <v>3229</v>
      </c>
      <c r="D76" s="52">
        <v>1</v>
      </c>
      <c r="E76" s="52">
        <v>0</v>
      </c>
      <c r="F76" s="52">
        <v>0</v>
      </c>
      <c r="G76" s="52">
        <v>0</v>
      </c>
      <c r="H76" s="52">
        <v>0</v>
      </c>
      <c r="I76" s="52">
        <v>0</v>
      </c>
      <c r="J76" s="52">
        <v>0</v>
      </c>
      <c r="K76" s="52">
        <v>0</v>
      </c>
      <c r="L76" s="52">
        <v>0</v>
      </c>
      <c r="M76" s="52">
        <v>0</v>
      </c>
      <c r="N76" s="52">
        <v>0</v>
      </c>
      <c r="O76" s="52">
        <v>0</v>
      </c>
      <c r="P76" s="52">
        <v>0</v>
      </c>
    </row>
    <row r="77" spans="1:16" s="36" customFormat="1">
      <c r="A77" s="52" t="s">
        <v>179</v>
      </c>
      <c r="B77" s="52">
        <v>3864</v>
      </c>
      <c r="C77" s="52" t="s">
        <v>3406</v>
      </c>
      <c r="D77" s="52">
        <v>2</v>
      </c>
      <c r="E77" s="52">
        <v>1</v>
      </c>
      <c r="F77" s="52">
        <v>0</v>
      </c>
      <c r="G77" s="52">
        <v>0</v>
      </c>
      <c r="H77" s="52">
        <v>0</v>
      </c>
      <c r="I77" s="52">
        <v>1</v>
      </c>
      <c r="J77" s="52">
        <v>1</v>
      </c>
      <c r="K77" s="52">
        <v>0</v>
      </c>
      <c r="L77" s="52">
        <v>1</v>
      </c>
      <c r="M77" s="52">
        <v>0</v>
      </c>
      <c r="N77" s="52">
        <v>0</v>
      </c>
      <c r="O77" s="52">
        <v>0</v>
      </c>
      <c r="P77" s="52">
        <v>0</v>
      </c>
    </row>
    <row r="78" spans="1:16" s="36" customFormat="1">
      <c r="A78" s="52" t="s">
        <v>3407</v>
      </c>
      <c r="B78" s="52">
        <v>5024</v>
      </c>
      <c r="C78" s="53" t="s">
        <v>3245</v>
      </c>
      <c r="D78" s="53">
        <v>1</v>
      </c>
      <c r="E78" s="52">
        <v>0</v>
      </c>
      <c r="F78" s="52">
        <v>0</v>
      </c>
      <c r="G78" s="52">
        <v>0</v>
      </c>
      <c r="H78" s="52">
        <v>0</v>
      </c>
      <c r="I78" s="52">
        <v>0</v>
      </c>
      <c r="J78" s="52">
        <v>0</v>
      </c>
      <c r="K78" s="52">
        <v>0</v>
      </c>
      <c r="L78" s="52">
        <v>0</v>
      </c>
      <c r="M78" s="52">
        <v>0</v>
      </c>
      <c r="N78" s="52">
        <v>0</v>
      </c>
      <c r="O78" s="52">
        <v>0</v>
      </c>
      <c r="P78" s="52">
        <v>0</v>
      </c>
    </row>
    <row r="79" spans="1:16" s="36" customFormat="1">
      <c r="A79" s="52" t="s">
        <v>3407</v>
      </c>
      <c r="B79" s="52">
        <v>5024</v>
      </c>
      <c r="C79" s="53" t="s">
        <v>3408</v>
      </c>
      <c r="D79" s="53">
        <v>2</v>
      </c>
      <c r="E79" s="52">
        <v>0</v>
      </c>
      <c r="F79" s="52">
        <v>1</v>
      </c>
      <c r="G79" s="52">
        <v>0</v>
      </c>
      <c r="H79" s="52">
        <v>1</v>
      </c>
      <c r="I79" s="52">
        <v>0</v>
      </c>
      <c r="J79" s="52">
        <v>0</v>
      </c>
      <c r="K79" s="52">
        <v>0</v>
      </c>
      <c r="L79" s="52">
        <v>0</v>
      </c>
      <c r="M79" s="52">
        <v>1</v>
      </c>
      <c r="N79" s="52">
        <v>0</v>
      </c>
      <c r="O79" s="52">
        <v>0</v>
      </c>
      <c r="P79" s="52">
        <v>0</v>
      </c>
    </row>
    <row r="80" spans="1:16" s="36" customFormat="1">
      <c r="A80" s="52" t="s">
        <v>2355</v>
      </c>
      <c r="B80" s="52">
        <v>5045</v>
      </c>
      <c r="C80" s="53" t="s">
        <v>3245</v>
      </c>
      <c r="D80" s="53">
        <v>1</v>
      </c>
      <c r="E80" s="52">
        <v>0</v>
      </c>
      <c r="F80" s="52">
        <v>0</v>
      </c>
      <c r="G80" s="52">
        <v>0</v>
      </c>
      <c r="H80" s="52">
        <v>0</v>
      </c>
      <c r="I80" s="52">
        <v>0</v>
      </c>
      <c r="J80" s="52">
        <v>0</v>
      </c>
      <c r="K80" s="52">
        <v>0</v>
      </c>
      <c r="L80" s="52">
        <v>0</v>
      </c>
      <c r="M80" s="52">
        <v>0</v>
      </c>
      <c r="N80" s="52">
        <v>0</v>
      </c>
      <c r="O80" s="52">
        <v>0</v>
      </c>
      <c r="P80" s="52">
        <v>0</v>
      </c>
    </row>
    <row r="81" spans="1:16" s="36" customFormat="1">
      <c r="A81" s="52" t="s">
        <v>2355</v>
      </c>
      <c r="B81" s="52">
        <v>5045</v>
      </c>
      <c r="C81" s="53" t="s">
        <v>3375</v>
      </c>
      <c r="D81" s="53">
        <v>2</v>
      </c>
      <c r="E81" s="52">
        <v>0</v>
      </c>
      <c r="F81" s="52">
        <v>0</v>
      </c>
      <c r="G81" s="52">
        <v>1</v>
      </c>
      <c r="H81" s="52">
        <v>0</v>
      </c>
      <c r="I81" s="52">
        <v>0</v>
      </c>
      <c r="J81" s="52">
        <v>0</v>
      </c>
      <c r="K81" s="52">
        <v>0</v>
      </c>
      <c r="L81" s="52">
        <v>1</v>
      </c>
      <c r="M81" s="52">
        <v>1</v>
      </c>
      <c r="N81" s="52">
        <v>0</v>
      </c>
      <c r="O81" s="52">
        <v>0</v>
      </c>
      <c r="P81" s="52">
        <v>0</v>
      </c>
    </row>
    <row r="82" spans="1:16" s="36" customFormat="1">
      <c r="A82" s="52" t="s">
        <v>183</v>
      </c>
      <c r="B82" s="52">
        <v>5047</v>
      </c>
      <c r="C82" s="53" t="s">
        <v>3229</v>
      </c>
      <c r="D82" s="53">
        <v>1</v>
      </c>
      <c r="E82" s="52">
        <v>0</v>
      </c>
      <c r="F82" s="52">
        <v>0</v>
      </c>
      <c r="G82" s="52">
        <v>0</v>
      </c>
      <c r="H82" s="52">
        <v>0</v>
      </c>
      <c r="I82" s="52">
        <v>0</v>
      </c>
      <c r="J82" s="52">
        <v>0</v>
      </c>
      <c r="K82" s="52">
        <v>0</v>
      </c>
      <c r="L82" s="52">
        <v>0</v>
      </c>
      <c r="M82" s="52">
        <v>0</v>
      </c>
      <c r="N82" s="52">
        <v>0</v>
      </c>
      <c r="O82" s="52">
        <v>0</v>
      </c>
      <c r="P82" s="52">
        <v>0</v>
      </c>
    </row>
    <row r="83" spans="1:16" s="36" customFormat="1">
      <c r="A83" s="52" t="s">
        <v>183</v>
      </c>
      <c r="B83" s="52">
        <v>5047</v>
      </c>
      <c r="C83" s="53" t="s">
        <v>3409</v>
      </c>
      <c r="D83" s="53">
        <v>2</v>
      </c>
      <c r="E83" s="52">
        <v>0</v>
      </c>
      <c r="F83" s="52">
        <v>1</v>
      </c>
      <c r="G83" s="154">
        <v>1</v>
      </c>
      <c r="H83" s="154">
        <v>0</v>
      </c>
      <c r="I83" s="52">
        <v>0</v>
      </c>
      <c r="J83" s="52">
        <v>0</v>
      </c>
      <c r="K83" s="52">
        <v>1</v>
      </c>
      <c r="L83" s="52">
        <v>0</v>
      </c>
      <c r="M83" s="154">
        <v>0</v>
      </c>
      <c r="N83" s="52">
        <v>0</v>
      </c>
      <c r="O83" s="52">
        <v>0</v>
      </c>
      <c r="P83" s="52">
        <v>0</v>
      </c>
    </row>
    <row r="84" spans="1:16" s="36" customFormat="1">
      <c r="A84" s="52" t="s">
        <v>3410</v>
      </c>
      <c r="B84" s="52">
        <v>5050</v>
      </c>
      <c r="C84" s="53" t="s">
        <v>3229</v>
      </c>
      <c r="D84" s="53">
        <v>1</v>
      </c>
      <c r="E84" s="52">
        <v>0</v>
      </c>
      <c r="F84" s="52">
        <v>0</v>
      </c>
      <c r="G84" s="52">
        <v>0</v>
      </c>
      <c r="H84" s="52">
        <v>0</v>
      </c>
      <c r="I84" s="52">
        <v>0</v>
      </c>
      <c r="J84" s="52">
        <v>0</v>
      </c>
      <c r="K84" s="52">
        <v>0</v>
      </c>
      <c r="L84" s="52">
        <v>0</v>
      </c>
      <c r="M84" s="52">
        <v>0</v>
      </c>
      <c r="N84" s="52">
        <v>0</v>
      </c>
      <c r="O84" s="52">
        <v>0</v>
      </c>
      <c r="P84" s="52">
        <v>0</v>
      </c>
    </row>
    <row r="85" spans="1:16" s="36" customFormat="1" ht="13" customHeight="1">
      <c r="A85" s="52" t="s">
        <v>3410</v>
      </c>
      <c r="B85" s="52">
        <v>5050</v>
      </c>
      <c r="C85" s="53" t="s">
        <v>3222</v>
      </c>
      <c r="D85" s="53">
        <v>2</v>
      </c>
      <c r="E85" s="52">
        <v>0</v>
      </c>
      <c r="F85" s="52">
        <v>1</v>
      </c>
      <c r="G85" s="52">
        <v>0</v>
      </c>
      <c r="H85" s="52">
        <v>1</v>
      </c>
      <c r="I85" s="52">
        <v>0</v>
      </c>
      <c r="J85" s="52">
        <v>0</v>
      </c>
      <c r="K85" s="52">
        <v>0</v>
      </c>
      <c r="L85" s="52">
        <v>1</v>
      </c>
      <c r="M85" s="52">
        <v>1</v>
      </c>
      <c r="N85" s="52">
        <v>0</v>
      </c>
      <c r="O85" s="52">
        <v>0</v>
      </c>
      <c r="P85" s="52">
        <v>0</v>
      </c>
    </row>
    <row r="86" spans="1:16" s="36" customFormat="1" ht="13" customHeight="1">
      <c r="A86" s="52" t="s">
        <v>185</v>
      </c>
      <c r="B86" s="52">
        <v>5052</v>
      </c>
      <c r="C86" s="53" t="s">
        <v>3229</v>
      </c>
      <c r="D86" s="53">
        <v>1</v>
      </c>
      <c r="E86" s="52">
        <v>0</v>
      </c>
      <c r="F86" s="52">
        <v>0</v>
      </c>
      <c r="G86" s="52">
        <v>0</v>
      </c>
      <c r="H86" s="52">
        <v>0</v>
      </c>
      <c r="I86" s="52">
        <v>0</v>
      </c>
      <c r="J86" s="52">
        <v>0</v>
      </c>
      <c r="K86" s="52">
        <v>0</v>
      </c>
      <c r="L86" s="52">
        <v>0</v>
      </c>
      <c r="M86" s="52">
        <v>0</v>
      </c>
      <c r="N86" s="52">
        <v>0</v>
      </c>
      <c r="O86" s="52">
        <v>0</v>
      </c>
      <c r="P86" s="52">
        <v>0</v>
      </c>
    </row>
    <row r="87" spans="1:16" s="36" customFormat="1">
      <c r="A87" s="52" t="s">
        <v>185</v>
      </c>
      <c r="B87" s="52">
        <v>5052</v>
      </c>
      <c r="C87" s="53" t="s">
        <v>3222</v>
      </c>
      <c r="D87" s="53">
        <v>2</v>
      </c>
      <c r="E87" s="52">
        <v>0</v>
      </c>
      <c r="F87" s="52">
        <v>0</v>
      </c>
      <c r="G87" s="52">
        <v>0</v>
      </c>
      <c r="H87" s="52">
        <v>1</v>
      </c>
      <c r="I87" s="52">
        <v>0</v>
      </c>
      <c r="J87" s="52">
        <v>0</v>
      </c>
      <c r="K87" s="52">
        <v>1</v>
      </c>
      <c r="L87" s="52">
        <v>0</v>
      </c>
      <c r="M87" s="52">
        <v>0</v>
      </c>
      <c r="N87" s="52">
        <v>1</v>
      </c>
      <c r="O87" s="52">
        <v>0</v>
      </c>
      <c r="P87" s="52">
        <v>0</v>
      </c>
    </row>
    <row r="88" spans="1:16" s="36" customFormat="1">
      <c r="A88" s="52" t="s">
        <v>1655</v>
      </c>
      <c r="B88" s="52">
        <v>5055</v>
      </c>
      <c r="C88" s="53" t="s">
        <v>3229</v>
      </c>
      <c r="D88" s="53">
        <v>1</v>
      </c>
      <c r="E88" s="52">
        <v>0</v>
      </c>
      <c r="F88" s="52">
        <v>0</v>
      </c>
      <c r="G88" s="52">
        <v>0</v>
      </c>
      <c r="H88" s="52">
        <v>0</v>
      </c>
      <c r="I88" s="52">
        <v>0</v>
      </c>
      <c r="J88" s="52">
        <v>0</v>
      </c>
      <c r="K88" s="52">
        <v>0</v>
      </c>
      <c r="L88" s="52">
        <v>0</v>
      </c>
      <c r="M88" s="52">
        <v>0</v>
      </c>
      <c r="N88" s="52">
        <v>0</v>
      </c>
      <c r="O88" s="52">
        <v>0</v>
      </c>
      <c r="P88" s="52">
        <v>0</v>
      </c>
    </row>
    <row r="89" spans="1:16" s="36" customFormat="1">
      <c r="A89" s="52" t="s">
        <v>1655</v>
      </c>
      <c r="B89" s="52">
        <v>5055</v>
      </c>
      <c r="C89" s="53" t="s">
        <v>3222</v>
      </c>
      <c r="D89" s="53">
        <v>2</v>
      </c>
      <c r="E89" s="52">
        <v>0</v>
      </c>
      <c r="F89" s="52">
        <v>1</v>
      </c>
      <c r="G89" s="52">
        <v>0</v>
      </c>
      <c r="H89" s="154">
        <v>0</v>
      </c>
      <c r="I89" s="52">
        <v>0</v>
      </c>
      <c r="J89" s="52">
        <v>0</v>
      </c>
      <c r="K89" s="52">
        <v>0</v>
      </c>
      <c r="L89" s="52">
        <v>1</v>
      </c>
      <c r="M89" s="52">
        <v>1</v>
      </c>
      <c r="N89" s="52">
        <v>0</v>
      </c>
      <c r="O89" s="52">
        <v>0</v>
      </c>
      <c r="P89" s="52">
        <v>0</v>
      </c>
    </row>
    <row r="90" spans="1:16" s="36" customFormat="1">
      <c r="A90" s="52" t="s">
        <v>3411</v>
      </c>
      <c r="B90" s="52">
        <v>5058</v>
      </c>
      <c r="C90" s="53" t="s">
        <v>3229</v>
      </c>
      <c r="D90" s="53">
        <v>1</v>
      </c>
      <c r="E90" s="52">
        <v>0</v>
      </c>
      <c r="F90" s="52">
        <v>0</v>
      </c>
      <c r="G90" s="52">
        <v>0</v>
      </c>
      <c r="H90" s="52">
        <v>0</v>
      </c>
      <c r="I90" s="52">
        <v>0</v>
      </c>
      <c r="J90" s="52">
        <v>0</v>
      </c>
      <c r="K90" s="52">
        <v>0</v>
      </c>
      <c r="L90" s="52">
        <v>0</v>
      </c>
      <c r="M90" s="52">
        <v>0</v>
      </c>
      <c r="N90" s="52">
        <v>0</v>
      </c>
      <c r="O90" s="52">
        <v>0</v>
      </c>
      <c r="P90" s="52">
        <v>0</v>
      </c>
    </row>
    <row r="91" spans="1:16" s="36" customFormat="1">
      <c r="A91" s="52" t="s">
        <v>3411</v>
      </c>
      <c r="B91" s="52">
        <v>5058</v>
      </c>
      <c r="C91" s="53" t="s">
        <v>3222</v>
      </c>
      <c r="D91" s="53">
        <v>2</v>
      </c>
      <c r="E91" s="52">
        <v>0</v>
      </c>
      <c r="F91" s="52">
        <v>1</v>
      </c>
      <c r="G91" s="154">
        <v>0</v>
      </c>
      <c r="H91" s="52">
        <v>0</v>
      </c>
      <c r="I91" s="154">
        <v>1</v>
      </c>
      <c r="J91" s="52">
        <v>0</v>
      </c>
      <c r="K91" s="52">
        <v>0</v>
      </c>
      <c r="L91" s="154">
        <v>1</v>
      </c>
      <c r="M91" s="52">
        <v>1</v>
      </c>
      <c r="N91" s="52">
        <v>0</v>
      </c>
      <c r="O91" s="52">
        <v>0</v>
      </c>
      <c r="P91" s="52">
        <v>0</v>
      </c>
    </row>
    <row r="92" spans="1:16" s="36" customFormat="1">
      <c r="A92" s="52" t="s">
        <v>1668</v>
      </c>
      <c r="B92" s="52">
        <v>5076</v>
      </c>
      <c r="C92" s="53" t="s">
        <v>3229</v>
      </c>
      <c r="D92" s="53">
        <v>1</v>
      </c>
      <c r="E92" s="52">
        <v>0</v>
      </c>
      <c r="F92" s="52">
        <v>0</v>
      </c>
      <c r="G92" s="52">
        <v>0</v>
      </c>
      <c r="H92" s="52">
        <v>0</v>
      </c>
      <c r="I92" s="52">
        <v>0</v>
      </c>
      <c r="J92" s="52">
        <v>0</v>
      </c>
      <c r="K92" s="52">
        <v>0</v>
      </c>
      <c r="L92" s="52">
        <v>0</v>
      </c>
      <c r="M92" s="52">
        <v>0</v>
      </c>
      <c r="N92" s="52">
        <v>0</v>
      </c>
      <c r="O92" s="52">
        <v>0</v>
      </c>
      <c r="P92" s="52">
        <v>0</v>
      </c>
    </row>
    <row r="93" spans="1:16" s="36" customFormat="1">
      <c r="A93" s="52" t="s">
        <v>1668</v>
      </c>
      <c r="B93" s="52">
        <v>5076</v>
      </c>
      <c r="C93" s="53" t="s">
        <v>3222</v>
      </c>
      <c r="D93" s="53">
        <v>2</v>
      </c>
      <c r="E93" s="52">
        <v>0</v>
      </c>
      <c r="F93" s="52">
        <v>1</v>
      </c>
      <c r="G93" s="52">
        <v>1</v>
      </c>
      <c r="H93" s="52">
        <v>0</v>
      </c>
      <c r="I93" s="52">
        <v>0</v>
      </c>
      <c r="J93" s="52">
        <v>0</v>
      </c>
      <c r="K93" s="52">
        <v>0</v>
      </c>
      <c r="L93" s="52">
        <v>1</v>
      </c>
      <c r="M93" s="52">
        <v>1</v>
      </c>
      <c r="N93" s="52">
        <v>0</v>
      </c>
      <c r="O93" s="52">
        <v>0</v>
      </c>
      <c r="P93" s="52">
        <v>0</v>
      </c>
    </row>
    <row r="94" spans="1:16" s="36" customFormat="1">
      <c r="A94" s="52" t="s">
        <v>188</v>
      </c>
      <c r="B94" s="156">
        <v>5083</v>
      </c>
      <c r="C94" s="53" t="s">
        <v>3295</v>
      </c>
      <c r="D94" s="53">
        <v>1</v>
      </c>
      <c r="E94" s="52">
        <v>0</v>
      </c>
      <c r="F94" s="52">
        <v>0</v>
      </c>
      <c r="G94" s="52">
        <v>0</v>
      </c>
      <c r="H94" s="52">
        <v>0</v>
      </c>
      <c r="I94" s="52">
        <v>0</v>
      </c>
      <c r="J94" s="52">
        <v>0</v>
      </c>
      <c r="K94" s="52">
        <v>0</v>
      </c>
      <c r="L94" s="52">
        <v>0</v>
      </c>
      <c r="M94" s="52">
        <v>0</v>
      </c>
      <c r="N94" s="52">
        <v>0</v>
      </c>
      <c r="O94" s="52">
        <v>0</v>
      </c>
      <c r="P94" s="52">
        <v>0</v>
      </c>
    </row>
    <row r="95" spans="1:16" s="36" customFormat="1">
      <c r="A95" s="52" t="s">
        <v>188</v>
      </c>
      <c r="B95" s="156">
        <v>5083</v>
      </c>
      <c r="C95" s="53" t="s">
        <v>3412</v>
      </c>
      <c r="D95" s="53">
        <v>2</v>
      </c>
      <c r="E95" s="52">
        <v>0</v>
      </c>
      <c r="F95" s="52">
        <v>1</v>
      </c>
      <c r="G95" s="52">
        <v>0</v>
      </c>
      <c r="H95" s="52">
        <v>0</v>
      </c>
      <c r="I95" s="52">
        <v>0</v>
      </c>
      <c r="J95" s="52">
        <v>0</v>
      </c>
      <c r="K95" s="52">
        <v>0</v>
      </c>
      <c r="L95" s="52">
        <v>0</v>
      </c>
      <c r="M95" s="52">
        <v>1</v>
      </c>
      <c r="N95" s="52">
        <v>0</v>
      </c>
      <c r="O95" s="52">
        <v>0</v>
      </c>
      <c r="P95" s="52">
        <v>0</v>
      </c>
    </row>
    <row r="96" spans="1:16" s="36" customFormat="1">
      <c r="A96" s="52" t="s">
        <v>188</v>
      </c>
      <c r="B96" s="156">
        <v>5083</v>
      </c>
      <c r="C96" s="53" t="s">
        <v>3413</v>
      </c>
      <c r="D96" s="53">
        <v>3</v>
      </c>
      <c r="E96" s="52">
        <v>0</v>
      </c>
      <c r="F96" s="52">
        <v>1</v>
      </c>
      <c r="G96" s="52">
        <v>0</v>
      </c>
      <c r="H96" s="52">
        <v>0</v>
      </c>
      <c r="I96" s="52">
        <v>0</v>
      </c>
      <c r="J96" s="52">
        <v>0</v>
      </c>
      <c r="K96" s="52">
        <v>0</v>
      </c>
      <c r="L96" s="52">
        <v>0</v>
      </c>
      <c r="M96" s="52">
        <v>1</v>
      </c>
      <c r="N96" s="52">
        <v>0</v>
      </c>
      <c r="O96" s="52">
        <v>0</v>
      </c>
      <c r="P96" s="52">
        <v>0</v>
      </c>
    </row>
    <row r="97" spans="1:16" s="36" customFormat="1">
      <c r="A97" s="155" t="s">
        <v>190</v>
      </c>
      <c r="B97" s="52">
        <v>5101</v>
      </c>
      <c r="C97" s="52" t="s">
        <v>3414</v>
      </c>
      <c r="D97" s="52">
        <v>1</v>
      </c>
      <c r="E97" s="52">
        <v>0</v>
      </c>
      <c r="F97" s="52">
        <v>0</v>
      </c>
      <c r="G97" s="52">
        <v>0</v>
      </c>
      <c r="H97" s="52">
        <v>1</v>
      </c>
      <c r="I97" s="52">
        <v>0</v>
      </c>
      <c r="J97" s="52">
        <v>0</v>
      </c>
      <c r="K97" s="52">
        <v>1</v>
      </c>
      <c r="L97" s="52">
        <v>1</v>
      </c>
      <c r="M97" s="52">
        <v>1</v>
      </c>
      <c r="N97" s="52">
        <v>0</v>
      </c>
      <c r="O97" s="52">
        <v>0</v>
      </c>
      <c r="P97" s="52">
        <v>0</v>
      </c>
    </row>
    <row r="98" spans="1:16" s="36" customFormat="1">
      <c r="A98" s="155" t="s">
        <v>190</v>
      </c>
      <c r="B98" s="52">
        <v>5101</v>
      </c>
      <c r="C98" s="43" t="s">
        <v>3415</v>
      </c>
      <c r="D98" s="52">
        <v>2</v>
      </c>
      <c r="E98" s="52">
        <v>0</v>
      </c>
      <c r="F98" s="52">
        <v>0</v>
      </c>
      <c r="G98" s="52">
        <v>0</v>
      </c>
      <c r="H98" s="52">
        <v>1</v>
      </c>
      <c r="I98" s="52">
        <v>0</v>
      </c>
      <c r="J98" s="52">
        <v>0</v>
      </c>
      <c r="K98" s="52">
        <v>1</v>
      </c>
      <c r="L98" s="52">
        <v>1</v>
      </c>
      <c r="M98" s="52">
        <v>1</v>
      </c>
      <c r="N98" s="52">
        <v>0</v>
      </c>
      <c r="O98" s="52">
        <v>0</v>
      </c>
      <c r="P98" s="52">
        <v>0</v>
      </c>
    </row>
    <row r="99" spans="1:16" s="36" customFormat="1" ht="13" customHeight="1">
      <c r="A99" s="52" t="s">
        <v>79</v>
      </c>
      <c r="B99" s="52">
        <v>5118</v>
      </c>
      <c r="C99" s="53" t="s">
        <v>3416</v>
      </c>
      <c r="D99" s="53">
        <v>1</v>
      </c>
      <c r="E99" s="52">
        <v>1</v>
      </c>
      <c r="F99" s="52">
        <v>0</v>
      </c>
      <c r="G99" s="52">
        <v>0</v>
      </c>
      <c r="H99" s="52">
        <v>0</v>
      </c>
      <c r="I99" s="52">
        <v>0</v>
      </c>
      <c r="J99" s="52">
        <v>0</v>
      </c>
      <c r="K99" s="52">
        <v>0</v>
      </c>
      <c r="L99" s="52">
        <v>0</v>
      </c>
      <c r="M99" s="52">
        <v>0</v>
      </c>
      <c r="N99" s="52">
        <v>0</v>
      </c>
      <c r="O99" s="52">
        <v>0</v>
      </c>
      <c r="P99" s="52">
        <v>0</v>
      </c>
    </row>
    <row r="100" spans="1:16" s="36" customFormat="1">
      <c r="A100" s="52" t="s">
        <v>79</v>
      </c>
      <c r="B100" s="52">
        <v>5118</v>
      </c>
      <c r="C100" s="53" t="s">
        <v>3417</v>
      </c>
      <c r="D100" s="53">
        <v>2</v>
      </c>
      <c r="E100" s="52">
        <v>1</v>
      </c>
      <c r="F100" s="52">
        <v>0</v>
      </c>
      <c r="G100" s="52">
        <v>0</v>
      </c>
      <c r="H100" s="52">
        <v>1</v>
      </c>
      <c r="I100" s="52">
        <v>1</v>
      </c>
      <c r="J100" s="52">
        <v>1</v>
      </c>
      <c r="K100" s="52">
        <v>0</v>
      </c>
      <c r="L100" s="52">
        <v>0</v>
      </c>
      <c r="M100" s="52">
        <v>0</v>
      </c>
      <c r="N100" s="52">
        <v>1</v>
      </c>
      <c r="O100" s="52">
        <v>0</v>
      </c>
      <c r="P100" s="52">
        <v>0</v>
      </c>
    </row>
    <row r="101" spans="1:16" s="36" customFormat="1">
      <c r="A101" s="52" t="s">
        <v>83</v>
      </c>
      <c r="B101" s="52">
        <v>5119</v>
      </c>
      <c r="C101" s="52" t="s">
        <v>3229</v>
      </c>
      <c r="D101" s="52">
        <v>1</v>
      </c>
      <c r="E101" s="52">
        <v>0</v>
      </c>
      <c r="F101" s="52">
        <v>0</v>
      </c>
      <c r="G101" s="52">
        <v>0</v>
      </c>
      <c r="H101" s="52">
        <v>0</v>
      </c>
      <c r="I101" s="52">
        <v>0</v>
      </c>
      <c r="J101" s="52">
        <v>0</v>
      </c>
      <c r="K101" s="52">
        <v>0</v>
      </c>
      <c r="L101" s="52">
        <v>0</v>
      </c>
      <c r="M101" s="52">
        <v>0</v>
      </c>
      <c r="N101" s="52">
        <v>0</v>
      </c>
      <c r="O101" s="52">
        <v>0</v>
      </c>
      <c r="P101" s="52">
        <v>0</v>
      </c>
    </row>
    <row r="102" spans="1:16" s="36" customFormat="1">
      <c r="A102" s="52" t="s">
        <v>83</v>
      </c>
      <c r="B102" s="52">
        <v>5119</v>
      </c>
      <c r="C102" s="52" t="s">
        <v>3222</v>
      </c>
      <c r="D102" s="52">
        <v>2</v>
      </c>
      <c r="E102" s="52">
        <v>1</v>
      </c>
      <c r="F102" s="52">
        <v>1</v>
      </c>
      <c r="G102" s="52">
        <v>0</v>
      </c>
      <c r="H102" s="154">
        <v>0</v>
      </c>
      <c r="I102" s="52">
        <v>0</v>
      </c>
      <c r="J102" s="52">
        <v>1</v>
      </c>
      <c r="K102" s="52">
        <v>0</v>
      </c>
      <c r="L102" s="52">
        <v>0</v>
      </c>
      <c r="M102" s="52">
        <v>0</v>
      </c>
      <c r="N102" s="154">
        <v>1</v>
      </c>
      <c r="O102" s="52">
        <v>0</v>
      </c>
      <c r="P102" s="52">
        <v>0</v>
      </c>
    </row>
    <row r="103" spans="1:16" s="36" customFormat="1">
      <c r="A103" s="52" t="s">
        <v>191</v>
      </c>
      <c r="B103" s="52">
        <v>5144</v>
      </c>
      <c r="C103" s="53" t="s">
        <v>3418</v>
      </c>
      <c r="D103" s="53">
        <v>1</v>
      </c>
      <c r="E103" s="52">
        <v>0</v>
      </c>
      <c r="F103" s="52">
        <v>0</v>
      </c>
      <c r="G103" s="52">
        <v>0</v>
      </c>
      <c r="H103" s="52">
        <v>0</v>
      </c>
      <c r="I103" s="52">
        <v>0</v>
      </c>
      <c r="J103" s="52">
        <v>0</v>
      </c>
      <c r="K103" s="52">
        <v>0</v>
      </c>
      <c r="L103" s="52">
        <v>0</v>
      </c>
      <c r="M103" s="52">
        <v>0</v>
      </c>
      <c r="N103" s="52">
        <v>0</v>
      </c>
      <c r="O103" s="52">
        <v>0</v>
      </c>
      <c r="P103" s="52">
        <v>0</v>
      </c>
    </row>
    <row r="104" spans="1:16" s="36" customFormat="1">
      <c r="A104" s="52" t="s">
        <v>191</v>
      </c>
      <c r="B104" s="52">
        <v>5144</v>
      </c>
      <c r="C104" s="53" t="s">
        <v>3222</v>
      </c>
      <c r="D104" s="53">
        <v>2</v>
      </c>
      <c r="E104" s="52">
        <v>0</v>
      </c>
      <c r="F104" s="52">
        <v>1</v>
      </c>
      <c r="G104" s="52">
        <v>1</v>
      </c>
      <c r="H104" s="52">
        <v>1</v>
      </c>
      <c r="I104" s="52">
        <v>0</v>
      </c>
      <c r="J104" s="52">
        <v>1</v>
      </c>
      <c r="K104" s="52">
        <v>1</v>
      </c>
      <c r="L104" s="52">
        <v>1</v>
      </c>
      <c r="M104" s="52">
        <v>1</v>
      </c>
      <c r="N104" s="52">
        <v>1</v>
      </c>
      <c r="O104" s="52">
        <v>0</v>
      </c>
      <c r="P104" s="52">
        <v>0</v>
      </c>
    </row>
    <row r="105" spans="1:16" s="36" customFormat="1">
      <c r="A105" s="52" t="s">
        <v>193</v>
      </c>
      <c r="B105" s="52">
        <v>5147</v>
      </c>
      <c r="C105" s="53" t="s">
        <v>3229</v>
      </c>
      <c r="D105" s="53">
        <v>1</v>
      </c>
      <c r="E105" s="52">
        <v>0</v>
      </c>
      <c r="F105" s="52">
        <v>0</v>
      </c>
      <c r="G105" s="52">
        <v>0</v>
      </c>
      <c r="H105" s="52">
        <v>0</v>
      </c>
      <c r="I105" s="52">
        <v>0</v>
      </c>
      <c r="J105" s="52">
        <v>0</v>
      </c>
      <c r="K105" s="52">
        <v>0</v>
      </c>
      <c r="L105" s="52">
        <v>1</v>
      </c>
      <c r="M105" s="52">
        <v>0</v>
      </c>
      <c r="N105" s="52">
        <v>0</v>
      </c>
      <c r="O105" s="52">
        <v>0</v>
      </c>
      <c r="P105" s="52">
        <v>0</v>
      </c>
    </row>
    <row r="106" spans="1:16" s="36" customFormat="1">
      <c r="A106" s="52" t="s">
        <v>193</v>
      </c>
      <c r="B106" s="52">
        <v>5147</v>
      </c>
      <c r="C106" s="53" t="s">
        <v>3222</v>
      </c>
      <c r="D106" s="53">
        <v>2</v>
      </c>
      <c r="E106" s="52">
        <v>0</v>
      </c>
      <c r="F106" s="52">
        <v>1</v>
      </c>
      <c r="G106" s="52">
        <v>0</v>
      </c>
      <c r="H106" s="52">
        <v>0</v>
      </c>
      <c r="I106" s="52">
        <v>0</v>
      </c>
      <c r="J106" s="52">
        <v>0</v>
      </c>
      <c r="K106" s="52">
        <v>0</v>
      </c>
      <c r="L106" s="52">
        <v>1</v>
      </c>
      <c r="M106" s="52">
        <v>1</v>
      </c>
      <c r="N106" s="52">
        <v>0</v>
      </c>
      <c r="O106" s="52">
        <v>0</v>
      </c>
      <c r="P106" s="52">
        <v>0</v>
      </c>
    </row>
    <row r="107" spans="1:16" s="36" customFormat="1">
      <c r="A107" s="52" t="s">
        <v>3419</v>
      </c>
      <c r="B107" s="52">
        <v>5148</v>
      </c>
      <c r="C107" s="53" t="s">
        <v>3257</v>
      </c>
      <c r="D107" s="53">
        <v>1</v>
      </c>
      <c r="E107" s="52">
        <v>0</v>
      </c>
      <c r="F107" s="52">
        <v>0</v>
      </c>
      <c r="G107" s="52">
        <v>0</v>
      </c>
      <c r="H107" s="52">
        <v>0</v>
      </c>
      <c r="I107" s="52">
        <v>0</v>
      </c>
      <c r="J107" s="52">
        <v>0</v>
      </c>
      <c r="K107" s="52">
        <v>0</v>
      </c>
      <c r="L107" s="52">
        <v>1</v>
      </c>
      <c r="M107" s="52">
        <v>0</v>
      </c>
      <c r="N107" s="52">
        <v>0</v>
      </c>
      <c r="O107" s="52">
        <v>0</v>
      </c>
      <c r="P107" s="52">
        <v>0</v>
      </c>
    </row>
    <row r="108" spans="1:16" s="36" customFormat="1">
      <c r="A108" s="52" t="s">
        <v>3419</v>
      </c>
      <c r="B108" s="52">
        <v>5148</v>
      </c>
      <c r="C108" s="53" t="s">
        <v>3420</v>
      </c>
      <c r="D108" s="53">
        <v>2</v>
      </c>
      <c r="E108" s="52">
        <v>0</v>
      </c>
      <c r="F108" s="52">
        <v>0</v>
      </c>
      <c r="G108" s="52">
        <v>1</v>
      </c>
      <c r="H108" s="52">
        <v>0</v>
      </c>
      <c r="I108" s="52">
        <v>0</v>
      </c>
      <c r="J108" s="52">
        <v>0</v>
      </c>
      <c r="K108" s="52">
        <v>0</v>
      </c>
      <c r="L108" s="52">
        <v>1</v>
      </c>
      <c r="M108" s="154">
        <v>1</v>
      </c>
      <c r="N108" s="52">
        <v>0</v>
      </c>
      <c r="O108" s="52">
        <v>0</v>
      </c>
      <c r="P108" s="52">
        <v>0</v>
      </c>
    </row>
    <row r="109" spans="1:16" s="36" customFormat="1">
      <c r="A109" s="52" t="s">
        <v>86</v>
      </c>
      <c r="B109" s="52">
        <v>5164</v>
      </c>
      <c r="C109" s="53" t="s">
        <v>3229</v>
      </c>
      <c r="D109" s="53">
        <v>1</v>
      </c>
      <c r="E109" s="52">
        <v>0</v>
      </c>
      <c r="F109" s="52">
        <v>0</v>
      </c>
      <c r="G109" s="52">
        <v>0</v>
      </c>
      <c r="H109" s="52">
        <v>0</v>
      </c>
      <c r="I109" s="52">
        <v>0</v>
      </c>
      <c r="J109" s="52">
        <v>0</v>
      </c>
      <c r="K109" s="52">
        <v>0</v>
      </c>
      <c r="L109" s="52">
        <v>0</v>
      </c>
      <c r="M109" s="52">
        <v>0</v>
      </c>
      <c r="N109" s="52">
        <v>0</v>
      </c>
      <c r="O109" s="52">
        <v>0</v>
      </c>
      <c r="P109" s="52">
        <v>0</v>
      </c>
    </row>
    <row r="110" spans="1:16" s="36" customFormat="1">
      <c r="A110" s="52" t="s">
        <v>86</v>
      </c>
      <c r="B110" s="52">
        <v>5164</v>
      </c>
      <c r="C110" s="53" t="s">
        <v>3222</v>
      </c>
      <c r="D110" s="53">
        <v>2</v>
      </c>
      <c r="E110" s="52">
        <v>1</v>
      </c>
      <c r="F110" s="52">
        <v>0</v>
      </c>
      <c r="G110" s="52">
        <v>0</v>
      </c>
      <c r="H110" s="52">
        <v>0</v>
      </c>
      <c r="I110" s="52">
        <v>1</v>
      </c>
      <c r="J110" s="52">
        <v>0</v>
      </c>
      <c r="K110" s="52">
        <v>0</v>
      </c>
      <c r="L110" s="52">
        <v>0</v>
      </c>
      <c r="M110" s="52">
        <v>0</v>
      </c>
      <c r="N110" s="52">
        <v>0</v>
      </c>
      <c r="O110" s="52">
        <v>0</v>
      </c>
      <c r="P110" s="52">
        <v>0</v>
      </c>
    </row>
    <row r="111" spans="1:16" s="36" customFormat="1">
      <c r="A111" s="52" t="s">
        <v>195</v>
      </c>
      <c r="B111" s="52">
        <v>5177</v>
      </c>
      <c r="C111" s="53" t="s">
        <v>3421</v>
      </c>
      <c r="D111" s="53">
        <v>1</v>
      </c>
      <c r="E111" s="52">
        <v>0</v>
      </c>
      <c r="F111" s="52">
        <v>0</v>
      </c>
      <c r="G111" s="52">
        <v>0</v>
      </c>
      <c r="H111" s="52">
        <v>0</v>
      </c>
      <c r="I111" s="52">
        <v>0</v>
      </c>
      <c r="J111" s="52">
        <v>0</v>
      </c>
      <c r="K111" s="52">
        <v>0</v>
      </c>
      <c r="L111" s="52">
        <v>1</v>
      </c>
      <c r="M111" s="52">
        <v>0</v>
      </c>
      <c r="N111" s="52">
        <v>0</v>
      </c>
      <c r="O111" s="52">
        <v>0</v>
      </c>
      <c r="P111" s="52">
        <v>0</v>
      </c>
    </row>
    <row r="112" spans="1:16" s="36" customFormat="1">
      <c r="A112" s="52" t="s">
        <v>195</v>
      </c>
      <c r="B112" s="52">
        <v>5177</v>
      </c>
      <c r="C112" s="53" t="s">
        <v>3222</v>
      </c>
      <c r="D112" s="53">
        <v>2</v>
      </c>
      <c r="E112" s="52">
        <v>0</v>
      </c>
      <c r="F112" s="52">
        <v>0</v>
      </c>
      <c r="G112" s="52">
        <v>1</v>
      </c>
      <c r="H112" s="52">
        <v>0</v>
      </c>
      <c r="I112" s="52">
        <v>0</v>
      </c>
      <c r="J112" s="52">
        <v>0</v>
      </c>
      <c r="K112" s="52">
        <v>1</v>
      </c>
      <c r="L112" s="52">
        <v>1</v>
      </c>
      <c r="M112" s="52">
        <v>1</v>
      </c>
      <c r="N112" s="52">
        <v>0</v>
      </c>
      <c r="O112" s="52">
        <v>0</v>
      </c>
      <c r="P112" s="52">
        <v>0</v>
      </c>
    </row>
    <row r="113" spans="1:16" s="148" customFormat="1">
      <c r="A113" s="52" t="s">
        <v>196</v>
      </c>
      <c r="B113" s="52">
        <v>5190</v>
      </c>
      <c r="C113" s="53" t="s">
        <v>3229</v>
      </c>
      <c r="D113" s="53">
        <v>1</v>
      </c>
      <c r="E113" s="52">
        <v>0</v>
      </c>
      <c r="F113" s="52">
        <v>0</v>
      </c>
      <c r="G113" s="52">
        <v>0</v>
      </c>
      <c r="H113" s="52">
        <v>0</v>
      </c>
      <c r="I113" s="52">
        <v>0</v>
      </c>
      <c r="J113" s="52">
        <v>0</v>
      </c>
      <c r="K113" s="52">
        <v>0</v>
      </c>
      <c r="L113" s="52">
        <v>0</v>
      </c>
      <c r="M113" s="52">
        <v>0</v>
      </c>
      <c r="N113" s="52">
        <v>0</v>
      </c>
      <c r="O113" s="52">
        <v>0</v>
      </c>
      <c r="P113" s="52">
        <v>0</v>
      </c>
    </row>
    <row r="114" spans="1:16" s="148" customFormat="1">
      <c r="A114" s="52" t="s">
        <v>196</v>
      </c>
      <c r="B114" s="52">
        <v>5190</v>
      </c>
      <c r="C114" s="53" t="s">
        <v>3422</v>
      </c>
      <c r="D114" s="53">
        <v>2</v>
      </c>
      <c r="E114" s="52">
        <v>0</v>
      </c>
      <c r="F114" s="154">
        <v>0</v>
      </c>
      <c r="G114" s="154">
        <v>1</v>
      </c>
      <c r="H114" s="52">
        <v>0</v>
      </c>
      <c r="I114" s="52">
        <v>0</v>
      </c>
      <c r="J114" s="52">
        <v>0</v>
      </c>
      <c r="K114" s="52">
        <v>0</v>
      </c>
      <c r="L114" s="52">
        <v>1</v>
      </c>
      <c r="M114" s="52">
        <v>0</v>
      </c>
      <c r="N114" s="52">
        <v>1</v>
      </c>
      <c r="O114" s="52">
        <v>0</v>
      </c>
      <c r="P114" s="52">
        <v>0</v>
      </c>
    </row>
    <row r="115" spans="1:16" s="36" customFormat="1">
      <c r="A115" s="52" t="s">
        <v>89</v>
      </c>
      <c r="B115" s="52">
        <v>5221</v>
      </c>
      <c r="C115" s="53" t="s">
        <v>3423</v>
      </c>
      <c r="D115" s="53">
        <v>1</v>
      </c>
      <c r="E115" s="52">
        <v>0</v>
      </c>
      <c r="F115" s="52">
        <v>0</v>
      </c>
      <c r="G115" s="52">
        <v>0</v>
      </c>
      <c r="H115" s="52">
        <v>0</v>
      </c>
      <c r="I115" s="52">
        <v>0</v>
      </c>
      <c r="J115" s="52">
        <v>0</v>
      </c>
      <c r="K115" s="52">
        <v>0</v>
      </c>
      <c r="L115" s="52">
        <v>0</v>
      </c>
      <c r="M115" s="52">
        <v>0</v>
      </c>
      <c r="N115" s="52">
        <v>0</v>
      </c>
      <c r="O115" s="52">
        <v>0</v>
      </c>
      <c r="P115" s="52">
        <v>0</v>
      </c>
    </row>
    <row r="116" spans="1:16" s="36" customFormat="1">
      <c r="A116" s="52" t="s">
        <v>89</v>
      </c>
      <c r="B116" s="52">
        <v>5221</v>
      </c>
      <c r="C116" s="53" t="s">
        <v>3424</v>
      </c>
      <c r="D116" s="53">
        <v>2</v>
      </c>
      <c r="E116" s="52">
        <v>0</v>
      </c>
      <c r="F116" s="52">
        <v>0</v>
      </c>
      <c r="G116" s="52">
        <v>0</v>
      </c>
      <c r="H116" s="52">
        <v>1</v>
      </c>
      <c r="I116" s="52">
        <v>0</v>
      </c>
      <c r="J116" s="52">
        <v>0</v>
      </c>
      <c r="K116" s="52">
        <v>1</v>
      </c>
      <c r="L116" s="154">
        <v>0</v>
      </c>
      <c r="M116" s="52">
        <v>1</v>
      </c>
      <c r="N116" s="52">
        <v>0</v>
      </c>
      <c r="O116" s="52">
        <v>0</v>
      </c>
      <c r="P116" s="52">
        <v>0</v>
      </c>
    </row>
    <row r="117" spans="1:16" s="36" customFormat="1">
      <c r="A117" s="52" t="s">
        <v>90</v>
      </c>
      <c r="B117" s="52">
        <v>5254</v>
      </c>
      <c r="C117" s="53" t="s">
        <v>3425</v>
      </c>
      <c r="D117" s="53">
        <v>1</v>
      </c>
      <c r="E117" s="52">
        <v>0</v>
      </c>
      <c r="F117" s="52">
        <v>0</v>
      </c>
      <c r="G117" s="52">
        <v>0</v>
      </c>
      <c r="H117" s="52">
        <v>0</v>
      </c>
      <c r="I117" s="52">
        <v>1</v>
      </c>
      <c r="J117" s="52">
        <v>0</v>
      </c>
      <c r="K117" s="52">
        <v>0</v>
      </c>
      <c r="L117" s="52">
        <v>0</v>
      </c>
      <c r="M117" s="52">
        <v>0</v>
      </c>
      <c r="N117" s="52">
        <v>0</v>
      </c>
      <c r="O117" s="52">
        <v>0</v>
      </c>
      <c r="P117" s="52">
        <v>0</v>
      </c>
    </row>
    <row r="118" spans="1:16" s="36" customFormat="1">
      <c r="A118" s="52" t="s">
        <v>90</v>
      </c>
      <c r="B118" s="52">
        <v>5254</v>
      </c>
      <c r="C118" s="53" t="s">
        <v>3426</v>
      </c>
      <c r="D118" s="53">
        <v>2</v>
      </c>
      <c r="E118" s="52">
        <v>0</v>
      </c>
      <c r="F118" s="52">
        <v>0</v>
      </c>
      <c r="G118" s="52">
        <v>0</v>
      </c>
      <c r="H118" s="52">
        <v>1</v>
      </c>
      <c r="I118" s="52">
        <v>1</v>
      </c>
      <c r="J118" s="52">
        <v>1</v>
      </c>
      <c r="K118" s="52">
        <v>0</v>
      </c>
      <c r="L118" s="52">
        <v>0</v>
      </c>
      <c r="M118" s="52">
        <v>0</v>
      </c>
      <c r="N118" s="52">
        <v>0</v>
      </c>
      <c r="O118" s="52">
        <v>0</v>
      </c>
      <c r="P118" s="52">
        <v>0</v>
      </c>
    </row>
    <row r="119" spans="1:16" s="36" customFormat="1">
      <c r="A119" s="52" t="s">
        <v>197</v>
      </c>
      <c r="B119" s="52">
        <v>5292</v>
      </c>
      <c r="C119" s="53" t="s">
        <v>3229</v>
      </c>
      <c r="D119" s="53">
        <v>1</v>
      </c>
      <c r="E119" s="52">
        <v>0</v>
      </c>
      <c r="F119" s="52">
        <v>0</v>
      </c>
      <c r="G119" s="52">
        <v>0</v>
      </c>
      <c r="H119" s="52">
        <v>0</v>
      </c>
      <c r="I119" s="52">
        <v>0</v>
      </c>
      <c r="J119" s="52">
        <v>0</v>
      </c>
      <c r="K119" s="52">
        <v>0</v>
      </c>
      <c r="L119" s="52">
        <v>0</v>
      </c>
      <c r="M119" s="52">
        <v>1</v>
      </c>
      <c r="N119" s="52">
        <v>0</v>
      </c>
      <c r="O119" s="52">
        <v>0</v>
      </c>
      <c r="P119" s="52">
        <v>0</v>
      </c>
    </row>
    <row r="120" spans="1:16" s="36" customFormat="1">
      <c r="A120" s="52" t="s">
        <v>197</v>
      </c>
      <c r="B120" s="52">
        <v>5292</v>
      </c>
      <c r="C120" s="53" t="s">
        <v>3222</v>
      </c>
      <c r="D120" s="53">
        <v>2</v>
      </c>
      <c r="E120" s="52">
        <v>0</v>
      </c>
      <c r="F120" s="52">
        <v>0</v>
      </c>
      <c r="G120" s="52">
        <v>0</v>
      </c>
      <c r="H120" s="154">
        <v>0</v>
      </c>
      <c r="I120" s="52">
        <v>0</v>
      </c>
      <c r="J120" s="52">
        <v>1</v>
      </c>
      <c r="K120" s="52">
        <v>1</v>
      </c>
      <c r="L120" s="52">
        <v>0</v>
      </c>
      <c r="M120" s="52">
        <v>1</v>
      </c>
      <c r="N120" s="52">
        <v>1</v>
      </c>
      <c r="O120" s="52">
        <v>0</v>
      </c>
      <c r="P120" s="52">
        <v>0</v>
      </c>
    </row>
    <row r="121" spans="1:16" s="36" customFormat="1">
      <c r="A121" s="52" t="s">
        <v>1741</v>
      </c>
      <c r="B121" s="52">
        <v>5326</v>
      </c>
      <c r="C121" s="53" t="s">
        <v>3427</v>
      </c>
      <c r="D121" s="53">
        <v>1</v>
      </c>
      <c r="E121" s="52">
        <v>0</v>
      </c>
      <c r="F121" s="52">
        <v>0</v>
      </c>
      <c r="G121" s="52">
        <v>0</v>
      </c>
      <c r="H121" s="52">
        <v>1</v>
      </c>
      <c r="I121" s="52">
        <v>0</v>
      </c>
      <c r="J121" s="52">
        <v>1</v>
      </c>
      <c r="K121" s="52">
        <v>0</v>
      </c>
      <c r="L121" s="52">
        <v>0</v>
      </c>
      <c r="M121" s="52">
        <v>0</v>
      </c>
      <c r="N121" s="52">
        <v>0</v>
      </c>
      <c r="O121" s="52">
        <v>0</v>
      </c>
      <c r="P121" s="52">
        <v>0</v>
      </c>
    </row>
    <row r="122" spans="1:16" s="36" customFormat="1">
      <c r="A122" s="52" t="s">
        <v>1741</v>
      </c>
      <c r="B122" s="52">
        <v>5326</v>
      </c>
      <c r="C122" s="53" t="s">
        <v>3428</v>
      </c>
      <c r="D122" s="53">
        <v>2</v>
      </c>
      <c r="E122" s="52">
        <v>0</v>
      </c>
      <c r="F122" s="52">
        <v>0</v>
      </c>
      <c r="G122" s="154">
        <v>0</v>
      </c>
      <c r="H122" s="52">
        <v>1</v>
      </c>
      <c r="I122" s="52">
        <v>0</v>
      </c>
      <c r="J122" s="52">
        <v>1</v>
      </c>
      <c r="K122" s="52">
        <v>0</v>
      </c>
      <c r="L122" s="52">
        <v>1</v>
      </c>
      <c r="M122" s="52">
        <v>0</v>
      </c>
      <c r="N122" s="154">
        <v>1</v>
      </c>
      <c r="O122" s="52">
        <v>0</v>
      </c>
      <c r="P122" s="52">
        <v>0</v>
      </c>
    </row>
    <row r="123" spans="1:16" s="36" customFormat="1">
      <c r="A123" s="52" t="s">
        <v>198</v>
      </c>
      <c r="B123" s="52">
        <v>5357</v>
      </c>
      <c r="C123" s="53" t="s">
        <v>3429</v>
      </c>
      <c r="D123" s="53">
        <v>1</v>
      </c>
      <c r="E123" s="52">
        <v>0</v>
      </c>
      <c r="F123" s="52">
        <v>0</v>
      </c>
      <c r="G123" s="52">
        <v>0</v>
      </c>
      <c r="H123" s="52">
        <v>0</v>
      </c>
      <c r="I123" s="52">
        <v>0</v>
      </c>
      <c r="J123" s="52">
        <v>0</v>
      </c>
      <c r="K123" s="52">
        <v>0</v>
      </c>
      <c r="L123" s="52">
        <v>0</v>
      </c>
      <c r="M123" s="52">
        <v>0</v>
      </c>
      <c r="N123" s="52">
        <v>0</v>
      </c>
      <c r="O123" s="52">
        <v>0</v>
      </c>
      <c r="P123" s="52">
        <v>0</v>
      </c>
    </row>
    <row r="124" spans="1:16" s="36" customFormat="1">
      <c r="A124" s="52" t="s">
        <v>198</v>
      </c>
      <c r="B124" s="52">
        <v>5357</v>
      </c>
      <c r="C124" s="53" t="s">
        <v>3430</v>
      </c>
      <c r="D124" s="53">
        <v>2</v>
      </c>
      <c r="E124" s="52">
        <v>0</v>
      </c>
      <c r="F124" s="52">
        <v>0</v>
      </c>
      <c r="G124" s="52">
        <v>1</v>
      </c>
      <c r="H124" s="52">
        <v>0</v>
      </c>
      <c r="I124" s="52">
        <v>0</v>
      </c>
      <c r="J124" s="52">
        <v>0</v>
      </c>
      <c r="K124" s="52">
        <v>0</v>
      </c>
      <c r="L124" s="154">
        <v>0</v>
      </c>
      <c r="M124" s="52">
        <v>0</v>
      </c>
      <c r="N124" s="52">
        <v>0</v>
      </c>
      <c r="O124" s="52">
        <v>0</v>
      </c>
      <c r="P124" s="52">
        <v>0</v>
      </c>
    </row>
    <row r="125" spans="1:16" s="36" customFormat="1">
      <c r="A125" s="52" t="s">
        <v>199</v>
      </c>
      <c r="B125" s="52">
        <v>5360</v>
      </c>
      <c r="C125" s="53" t="s">
        <v>3229</v>
      </c>
      <c r="D125" s="53">
        <v>1</v>
      </c>
      <c r="E125" s="52">
        <v>0</v>
      </c>
      <c r="F125" s="52">
        <v>0</v>
      </c>
      <c r="G125" s="52">
        <v>0</v>
      </c>
      <c r="H125" s="52">
        <v>0</v>
      </c>
      <c r="I125" s="52">
        <v>0</v>
      </c>
      <c r="J125" s="52">
        <v>0</v>
      </c>
      <c r="K125" s="52">
        <v>0</v>
      </c>
      <c r="L125" s="52">
        <v>0</v>
      </c>
      <c r="M125" s="52">
        <v>0</v>
      </c>
      <c r="N125" s="52">
        <v>0</v>
      </c>
      <c r="O125" s="52">
        <v>0</v>
      </c>
      <c r="P125" s="52">
        <v>0</v>
      </c>
    </row>
    <row r="126" spans="1:16" s="36" customFormat="1">
      <c r="A126" s="52" t="s">
        <v>199</v>
      </c>
      <c r="B126" s="52">
        <v>5360</v>
      </c>
      <c r="C126" s="53" t="s">
        <v>3222</v>
      </c>
      <c r="D126" s="53">
        <v>2</v>
      </c>
      <c r="E126" s="52">
        <v>0</v>
      </c>
      <c r="F126" s="52">
        <v>1</v>
      </c>
      <c r="G126" s="52">
        <v>1</v>
      </c>
      <c r="H126" s="52">
        <v>1</v>
      </c>
      <c r="I126" s="52">
        <v>0</v>
      </c>
      <c r="J126" s="52">
        <v>0</v>
      </c>
      <c r="K126" s="52">
        <v>1</v>
      </c>
      <c r="L126" s="52">
        <v>1</v>
      </c>
      <c r="M126" s="52">
        <v>1</v>
      </c>
      <c r="N126" s="52">
        <v>1</v>
      </c>
      <c r="O126" s="52">
        <v>0</v>
      </c>
      <c r="P126" s="52">
        <v>0</v>
      </c>
    </row>
    <row r="127" spans="1:16" s="36" customFormat="1">
      <c r="A127" s="52" t="s">
        <v>200</v>
      </c>
      <c r="B127" s="52">
        <v>5362</v>
      </c>
      <c r="C127" s="53" t="s">
        <v>3229</v>
      </c>
      <c r="D127" s="52">
        <v>1</v>
      </c>
      <c r="E127" s="52">
        <v>0</v>
      </c>
      <c r="F127" s="52">
        <v>0</v>
      </c>
      <c r="G127" s="52">
        <v>0</v>
      </c>
      <c r="H127" s="52">
        <v>0</v>
      </c>
      <c r="I127" s="52">
        <v>0</v>
      </c>
      <c r="J127" s="52">
        <v>0</v>
      </c>
      <c r="K127" s="52">
        <v>0</v>
      </c>
      <c r="L127" s="52">
        <v>1</v>
      </c>
      <c r="M127" s="52">
        <v>0</v>
      </c>
      <c r="N127" s="52">
        <v>0</v>
      </c>
      <c r="O127" s="52">
        <v>0</v>
      </c>
      <c r="P127" s="52">
        <v>0</v>
      </c>
    </row>
    <row r="128" spans="1:16" s="36" customFormat="1">
      <c r="A128" s="52" t="s">
        <v>200</v>
      </c>
      <c r="B128" s="52">
        <v>5362</v>
      </c>
      <c r="C128" s="53" t="s">
        <v>3222</v>
      </c>
      <c r="D128" s="52">
        <v>2</v>
      </c>
      <c r="E128" s="52">
        <v>0</v>
      </c>
      <c r="F128" s="52">
        <v>0</v>
      </c>
      <c r="G128" s="52">
        <v>0</v>
      </c>
      <c r="H128" s="52">
        <v>0</v>
      </c>
      <c r="I128" s="154">
        <v>0</v>
      </c>
      <c r="J128" s="154">
        <v>1</v>
      </c>
      <c r="K128" s="154">
        <v>1</v>
      </c>
      <c r="L128" s="52">
        <v>1</v>
      </c>
      <c r="M128" s="52">
        <v>1</v>
      </c>
      <c r="N128" s="52">
        <v>0</v>
      </c>
      <c r="O128" s="52">
        <v>0</v>
      </c>
      <c r="P128" s="52">
        <v>0</v>
      </c>
    </row>
    <row r="129" spans="1:16" s="36" customFormat="1">
      <c r="A129" s="52" t="s">
        <v>1762</v>
      </c>
      <c r="B129" s="52">
        <v>5368</v>
      </c>
      <c r="C129" s="53" t="s">
        <v>3229</v>
      </c>
      <c r="D129" s="53">
        <v>1</v>
      </c>
      <c r="E129" s="52">
        <v>0</v>
      </c>
      <c r="F129" s="52">
        <v>0</v>
      </c>
      <c r="G129" s="52">
        <v>0</v>
      </c>
      <c r="H129" s="52">
        <v>0</v>
      </c>
      <c r="I129" s="52">
        <v>0</v>
      </c>
      <c r="J129" s="52">
        <v>0</v>
      </c>
      <c r="K129" s="52">
        <v>0</v>
      </c>
      <c r="L129" s="52">
        <v>0</v>
      </c>
      <c r="M129" s="52">
        <v>0</v>
      </c>
      <c r="N129" s="52">
        <v>0</v>
      </c>
      <c r="O129" s="52">
        <v>0</v>
      </c>
      <c r="P129" s="52">
        <v>0</v>
      </c>
    </row>
    <row r="130" spans="1:16" s="36" customFormat="1">
      <c r="A130" s="52" t="s">
        <v>1762</v>
      </c>
      <c r="B130" s="52">
        <v>5368</v>
      </c>
      <c r="C130" s="53" t="s">
        <v>3222</v>
      </c>
      <c r="D130" s="53">
        <v>2</v>
      </c>
      <c r="E130" s="52">
        <v>1</v>
      </c>
      <c r="F130" s="52">
        <v>0</v>
      </c>
      <c r="G130" s="52">
        <v>0</v>
      </c>
      <c r="H130" s="52">
        <v>0</v>
      </c>
      <c r="I130" s="52">
        <v>1</v>
      </c>
      <c r="J130" s="52">
        <v>0</v>
      </c>
      <c r="K130" s="52">
        <v>1</v>
      </c>
      <c r="L130" s="52">
        <v>0</v>
      </c>
      <c r="M130" s="52">
        <v>0</v>
      </c>
      <c r="N130" s="52">
        <v>0</v>
      </c>
      <c r="O130" s="52">
        <v>0</v>
      </c>
      <c r="P130" s="52">
        <v>0</v>
      </c>
    </row>
    <row r="131" spans="1:16" s="36" customFormat="1">
      <c r="A131" s="52" t="s">
        <v>96</v>
      </c>
      <c r="B131" s="52">
        <v>5417</v>
      </c>
      <c r="C131" s="53" t="s">
        <v>3229</v>
      </c>
      <c r="D131" s="53">
        <v>1</v>
      </c>
      <c r="E131" s="52">
        <v>0</v>
      </c>
      <c r="F131" s="52">
        <v>0</v>
      </c>
      <c r="G131" s="52">
        <v>0</v>
      </c>
      <c r="H131" s="52">
        <v>0</v>
      </c>
      <c r="I131" s="154">
        <v>1</v>
      </c>
      <c r="J131" s="52">
        <v>0</v>
      </c>
      <c r="K131" s="52">
        <v>0</v>
      </c>
      <c r="L131" s="52">
        <v>0</v>
      </c>
      <c r="M131" s="52">
        <v>0</v>
      </c>
      <c r="N131" s="52">
        <v>0</v>
      </c>
      <c r="O131" s="52">
        <v>0</v>
      </c>
      <c r="P131" s="52">
        <v>0</v>
      </c>
    </row>
    <row r="132" spans="1:16" s="36" customFormat="1">
      <c r="A132" s="52" t="s">
        <v>96</v>
      </c>
      <c r="B132" s="52">
        <v>5417</v>
      </c>
      <c r="C132" s="53" t="s">
        <v>3222</v>
      </c>
      <c r="D132" s="53">
        <v>2</v>
      </c>
      <c r="E132" s="52">
        <v>1</v>
      </c>
      <c r="F132" s="52">
        <v>0</v>
      </c>
      <c r="G132" s="52">
        <v>0</v>
      </c>
      <c r="H132" s="52">
        <v>1</v>
      </c>
      <c r="I132" s="154">
        <v>1</v>
      </c>
      <c r="J132" s="52">
        <v>0</v>
      </c>
      <c r="K132" s="52">
        <v>0</v>
      </c>
      <c r="L132" s="52">
        <v>0</v>
      </c>
      <c r="M132" s="52">
        <v>0</v>
      </c>
      <c r="N132" s="52">
        <v>1</v>
      </c>
      <c r="O132" s="52">
        <v>0</v>
      </c>
      <c r="P132" s="52">
        <v>0</v>
      </c>
    </row>
    <row r="133" spans="1:16" s="36" customFormat="1">
      <c r="A133" s="52" t="s">
        <v>201</v>
      </c>
      <c r="B133" s="52">
        <v>5508</v>
      </c>
      <c r="C133" s="53" t="s">
        <v>3431</v>
      </c>
      <c r="D133" s="53">
        <v>1</v>
      </c>
      <c r="E133" s="52">
        <v>0</v>
      </c>
      <c r="F133" s="52">
        <v>0</v>
      </c>
      <c r="G133" s="52">
        <v>0</v>
      </c>
      <c r="H133" s="52">
        <v>1</v>
      </c>
      <c r="I133" s="52">
        <v>0</v>
      </c>
      <c r="J133" s="52">
        <v>0</v>
      </c>
      <c r="K133" s="52">
        <v>1</v>
      </c>
      <c r="L133" s="52">
        <v>0</v>
      </c>
      <c r="M133" s="52">
        <v>1</v>
      </c>
      <c r="N133" s="52">
        <v>0</v>
      </c>
      <c r="O133" s="52">
        <v>0</v>
      </c>
      <c r="P133" s="52">
        <v>0</v>
      </c>
    </row>
    <row r="134" spans="1:16" s="36" customFormat="1">
      <c r="A134" s="52" t="s">
        <v>201</v>
      </c>
      <c r="B134" s="52">
        <v>5508</v>
      </c>
      <c r="C134" s="53" t="s">
        <v>3432</v>
      </c>
      <c r="D134" s="53">
        <v>2</v>
      </c>
      <c r="E134" s="52">
        <v>0</v>
      </c>
      <c r="F134" s="52">
        <v>0</v>
      </c>
      <c r="G134" s="52">
        <v>0</v>
      </c>
      <c r="H134" s="52">
        <v>1</v>
      </c>
      <c r="I134" s="52">
        <v>0</v>
      </c>
      <c r="J134" s="52">
        <v>1</v>
      </c>
      <c r="K134" s="52">
        <v>1</v>
      </c>
      <c r="L134" s="52">
        <v>0</v>
      </c>
      <c r="M134" s="52">
        <v>1</v>
      </c>
      <c r="N134" s="52">
        <v>0</v>
      </c>
      <c r="O134" s="52">
        <v>0</v>
      </c>
      <c r="P134" s="52">
        <v>0</v>
      </c>
    </row>
    <row r="135" spans="1:16" s="36" customFormat="1">
      <c r="A135" s="52" t="s">
        <v>202</v>
      </c>
      <c r="B135" s="52">
        <v>5515</v>
      </c>
      <c r="C135" s="53" t="s">
        <v>3433</v>
      </c>
      <c r="D135" s="53">
        <v>1</v>
      </c>
      <c r="E135" s="52">
        <v>0</v>
      </c>
      <c r="F135" s="52">
        <v>0</v>
      </c>
      <c r="G135" s="52">
        <v>0</v>
      </c>
      <c r="H135" s="52">
        <v>0</v>
      </c>
      <c r="I135" s="52">
        <v>0</v>
      </c>
      <c r="J135" s="52">
        <v>0</v>
      </c>
      <c r="K135" s="52">
        <v>0</v>
      </c>
      <c r="L135" s="52">
        <v>0</v>
      </c>
      <c r="M135" s="52">
        <v>0</v>
      </c>
      <c r="N135" s="52">
        <v>0</v>
      </c>
      <c r="O135" s="52">
        <v>0</v>
      </c>
      <c r="P135" s="52">
        <v>0</v>
      </c>
    </row>
    <row r="136" spans="1:16" s="36" customFormat="1">
      <c r="A136" s="52" t="s">
        <v>202</v>
      </c>
      <c r="B136" s="52">
        <v>5515</v>
      </c>
      <c r="C136" s="53" t="s">
        <v>3434</v>
      </c>
      <c r="D136" s="53">
        <v>2</v>
      </c>
      <c r="E136" s="52">
        <v>0</v>
      </c>
      <c r="F136" s="52">
        <v>1</v>
      </c>
      <c r="G136" s="154">
        <v>1</v>
      </c>
      <c r="H136" s="52">
        <v>0</v>
      </c>
      <c r="I136" s="52">
        <v>0</v>
      </c>
      <c r="J136" s="52">
        <v>0</v>
      </c>
      <c r="K136" s="52">
        <v>0</v>
      </c>
      <c r="L136" s="52">
        <v>0</v>
      </c>
      <c r="M136" s="52">
        <v>1</v>
      </c>
      <c r="N136" s="52">
        <v>0</v>
      </c>
      <c r="O136" s="52">
        <v>0</v>
      </c>
      <c r="P136" s="52">
        <v>0</v>
      </c>
    </row>
    <row r="137" spans="1:16" s="36" customFormat="1">
      <c r="A137" s="52" t="s">
        <v>3435</v>
      </c>
      <c r="B137" s="52">
        <v>5518</v>
      </c>
      <c r="C137" s="53" t="s">
        <v>3436</v>
      </c>
      <c r="D137" s="53">
        <v>1</v>
      </c>
      <c r="E137" s="52">
        <v>0</v>
      </c>
      <c r="F137" s="52">
        <v>0</v>
      </c>
      <c r="G137" s="52">
        <v>0</v>
      </c>
      <c r="H137" s="52">
        <v>0</v>
      </c>
      <c r="I137" s="52">
        <v>0</v>
      </c>
      <c r="J137" s="52">
        <v>0</v>
      </c>
      <c r="K137" s="52">
        <v>0</v>
      </c>
      <c r="L137" s="52">
        <v>0</v>
      </c>
      <c r="M137" s="52">
        <v>0</v>
      </c>
      <c r="N137" s="52">
        <v>0</v>
      </c>
      <c r="O137" s="52">
        <v>0</v>
      </c>
      <c r="P137" s="52">
        <v>0</v>
      </c>
    </row>
    <row r="138" spans="1:16" s="36" customFormat="1">
      <c r="A138" s="52" t="s">
        <v>3435</v>
      </c>
      <c r="B138" s="52">
        <v>5518</v>
      </c>
      <c r="C138" s="53" t="s">
        <v>3437</v>
      </c>
      <c r="D138" s="53">
        <v>2</v>
      </c>
      <c r="E138" s="52">
        <v>0</v>
      </c>
      <c r="F138" s="52">
        <v>0</v>
      </c>
      <c r="G138" s="52">
        <v>0</v>
      </c>
      <c r="H138" s="52">
        <v>1</v>
      </c>
      <c r="I138" s="52">
        <v>0</v>
      </c>
      <c r="J138" s="52">
        <v>0</v>
      </c>
      <c r="K138" s="52">
        <v>1</v>
      </c>
      <c r="L138" s="52">
        <v>0</v>
      </c>
      <c r="M138" s="52">
        <v>1</v>
      </c>
      <c r="N138" s="52">
        <v>0</v>
      </c>
      <c r="O138" s="52">
        <v>0</v>
      </c>
      <c r="P138" s="52">
        <v>0</v>
      </c>
    </row>
    <row r="139" spans="1:16" s="36" customFormat="1">
      <c r="A139" s="52" t="s">
        <v>204</v>
      </c>
      <c r="B139" s="52">
        <v>5558</v>
      </c>
      <c r="C139" s="53" t="s">
        <v>3401</v>
      </c>
      <c r="D139" s="53">
        <v>1</v>
      </c>
      <c r="E139" s="52">
        <v>0</v>
      </c>
      <c r="F139" s="52">
        <v>0</v>
      </c>
      <c r="G139" s="52">
        <v>0</v>
      </c>
      <c r="H139" s="52">
        <v>0</v>
      </c>
      <c r="I139" s="52">
        <v>0</v>
      </c>
      <c r="J139" s="52">
        <v>0</v>
      </c>
      <c r="K139" s="52">
        <v>0</v>
      </c>
      <c r="L139" s="52">
        <v>0</v>
      </c>
      <c r="M139" s="52">
        <v>0</v>
      </c>
      <c r="N139" s="52">
        <v>0</v>
      </c>
      <c r="O139" s="52">
        <v>0</v>
      </c>
      <c r="P139" s="52">
        <v>0</v>
      </c>
    </row>
    <row r="140" spans="1:16" s="36" customFormat="1">
      <c r="A140" s="52" t="s">
        <v>204</v>
      </c>
      <c r="B140" s="52">
        <v>5558</v>
      </c>
      <c r="C140" s="53" t="s">
        <v>3438</v>
      </c>
      <c r="D140" s="53">
        <v>2</v>
      </c>
      <c r="E140" s="52">
        <v>0</v>
      </c>
      <c r="F140" s="52">
        <v>0</v>
      </c>
      <c r="G140" s="52">
        <v>1</v>
      </c>
      <c r="H140" s="52">
        <v>0</v>
      </c>
      <c r="I140" s="52">
        <v>0</v>
      </c>
      <c r="J140" s="52">
        <v>0</v>
      </c>
      <c r="K140" s="52">
        <v>0</v>
      </c>
      <c r="L140" s="52">
        <v>1</v>
      </c>
      <c r="M140" s="52">
        <v>0</v>
      </c>
      <c r="N140" s="52">
        <v>0</v>
      </c>
      <c r="O140" s="52">
        <v>0</v>
      </c>
      <c r="P140" s="52">
        <v>0</v>
      </c>
    </row>
    <row r="141" spans="1:16" s="36" customFormat="1">
      <c r="A141" s="52" t="s">
        <v>205</v>
      </c>
      <c r="B141" s="52">
        <v>5573</v>
      </c>
      <c r="C141" s="53" t="s">
        <v>3439</v>
      </c>
      <c r="D141" s="53">
        <v>1</v>
      </c>
      <c r="E141" s="52">
        <v>0</v>
      </c>
      <c r="F141" s="52">
        <v>0</v>
      </c>
      <c r="G141" s="52">
        <v>0</v>
      </c>
      <c r="H141" s="52">
        <v>0</v>
      </c>
      <c r="I141" s="52">
        <v>0</v>
      </c>
      <c r="J141" s="52">
        <v>0</v>
      </c>
      <c r="K141" s="52">
        <v>0</v>
      </c>
      <c r="L141" s="52">
        <v>1</v>
      </c>
      <c r="M141" s="154">
        <v>1</v>
      </c>
      <c r="N141" s="52">
        <v>0</v>
      </c>
      <c r="O141" s="52">
        <v>0</v>
      </c>
      <c r="P141" s="52">
        <v>0</v>
      </c>
    </row>
    <row r="142" spans="1:16" s="36" customFormat="1">
      <c r="A142" s="52" t="s">
        <v>205</v>
      </c>
      <c r="B142" s="52">
        <v>5573</v>
      </c>
      <c r="C142" s="53" t="s">
        <v>3440</v>
      </c>
      <c r="D142" s="53">
        <v>2</v>
      </c>
      <c r="E142" s="52">
        <v>0</v>
      </c>
      <c r="F142" s="52">
        <v>0</v>
      </c>
      <c r="G142" s="52">
        <v>1</v>
      </c>
      <c r="H142" s="52">
        <v>0</v>
      </c>
      <c r="I142" s="52">
        <v>0</v>
      </c>
      <c r="J142" s="52">
        <v>0</v>
      </c>
      <c r="K142" s="52">
        <v>0</v>
      </c>
      <c r="L142" s="52">
        <v>1</v>
      </c>
      <c r="M142" s="52">
        <v>1</v>
      </c>
      <c r="N142" s="52">
        <v>0</v>
      </c>
      <c r="O142" s="52">
        <v>0</v>
      </c>
      <c r="P142" s="52">
        <v>0</v>
      </c>
    </row>
    <row r="143" spans="1:16" s="36" customFormat="1">
      <c r="A143" s="52" t="s">
        <v>206</v>
      </c>
      <c r="B143" s="52">
        <v>5579</v>
      </c>
      <c r="C143" s="53" t="s">
        <v>3229</v>
      </c>
      <c r="D143" s="53">
        <v>1</v>
      </c>
      <c r="E143" s="52">
        <v>0</v>
      </c>
      <c r="F143" s="52">
        <v>0</v>
      </c>
      <c r="G143" s="52">
        <v>0</v>
      </c>
      <c r="H143" s="52">
        <v>0</v>
      </c>
      <c r="I143" s="52">
        <v>0</v>
      </c>
      <c r="J143" s="52">
        <v>0</v>
      </c>
      <c r="K143" s="52">
        <v>0</v>
      </c>
      <c r="L143" s="52">
        <v>0</v>
      </c>
      <c r="M143" s="52">
        <v>0</v>
      </c>
      <c r="N143" s="52">
        <v>0</v>
      </c>
      <c r="O143" s="52">
        <v>0</v>
      </c>
      <c r="P143" s="52">
        <v>0</v>
      </c>
    </row>
    <row r="144" spans="1:16" s="36" customFormat="1">
      <c r="A144" s="52" t="s">
        <v>206</v>
      </c>
      <c r="B144" s="52">
        <v>5579</v>
      </c>
      <c r="C144" s="53" t="s">
        <v>3277</v>
      </c>
      <c r="D144" s="53">
        <v>2</v>
      </c>
      <c r="E144" s="52">
        <v>0</v>
      </c>
      <c r="F144" s="52">
        <v>1</v>
      </c>
      <c r="G144" s="52">
        <v>0</v>
      </c>
      <c r="H144" s="52">
        <v>1</v>
      </c>
      <c r="I144" s="52">
        <v>0</v>
      </c>
      <c r="J144" s="52">
        <v>0</v>
      </c>
      <c r="K144" s="154">
        <v>1</v>
      </c>
      <c r="L144" s="52">
        <v>1</v>
      </c>
      <c r="M144" s="52">
        <v>1</v>
      </c>
      <c r="N144" s="52">
        <v>0</v>
      </c>
      <c r="O144" s="52">
        <v>0</v>
      </c>
      <c r="P144" s="52">
        <v>0</v>
      </c>
    </row>
    <row r="145" spans="1:16" s="36" customFormat="1">
      <c r="A145" s="52" t="s">
        <v>207</v>
      </c>
      <c r="B145" s="52">
        <v>5637</v>
      </c>
      <c r="C145" s="53" t="s">
        <v>3229</v>
      </c>
      <c r="D145" s="53">
        <v>1</v>
      </c>
      <c r="E145" s="52">
        <v>0</v>
      </c>
      <c r="F145" s="52">
        <v>0</v>
      </c>
      <c r="G145" s="52">
        <v>0</v>
      </c>
      <c r="H145" s="52">
        <v>0</v>
      </c>
      <c r="I145" s="52">
        <v>0</v>
      </c>
      <c r="J145" s="52">
        <v>0</v>
      </c>
      <c r="K145" s="52">
        <v>0</v>
      </c>
      <c r="L145" s="52">
        <v>1</v>
      </c>
      <c r="M145" s="52">
        <v>0</v>
      </c>
      <c r="N145" s="52">
        <v>0</v>
      </c>
      <c r="O145" s="52">
        <v>0</v>
      </c>
      <c r="P145" s="52">
        <v>0</v>
      </c>
    </row>
    <row r="146" spans="1:16" s="36" customFormat="1">
      <c r="A146" s="52" t="s">
        <v>207</v>
      </c>
      <c r="B146" s="52">
        <v>5637</v>
      </c>
      <c r="C146" s="53" t="s">
        <v>3222</v>
      </c>
      <c r="D146" s="53">
        <v>2</v>
      </c>
      <c r="E146" s="52">
        <v>0</v>
      </c>
      <c r="F146" s="52">
        <v>0</v>
      </c>
      <c r="G146" s="154">
        <v>0</v>
      </c>
      <c r="H146" s="52">
        <v>1</v>
      </c>
      <c r="I146" s="52">
        <v>0</v>
      </c>
      <c r="J146" s="52">
        <v>0</v>
      </c>
      <c r="K146" s="52">
        <v>1</v>
      </c>
      <c r="L146" s="52">
        <v>1</v>
      </c>
      <c r="M146" s="52">
        <v>1</v>
      </c>
      <c r="N146" s="52">
        <v>0</v>
      </c>
      <c r="O146" s="52">
        <v>0</v>
      </c>
      <c r="P146" s="52">
        <v>0</v>
      </c>
    </row>
    <row r="147" spans="1:16" s="36" customFormat="1">
      <c r="A147" s="52" t="s">
        <v>3441</v>
      </c>
      <c r="B147" s="52">
        <v>5683</v>
      </c>
      <c r="C147" s="53" t="s">
        <v>3442</v>
      </c>
      <c r="D147" s="53">
        <v>1</v>
      </c>
      <c r="E147" s="52">
        <v>0</v>
      </c>
      <c r="F147" s="52">
        <v>0</v>
      </c>
      <c r="G147" s="52">
        <v>0</v>
      </c>
      <c r="H147" s="52">
        <v>0</v>
      </c>
      <c r="I147" s="52">
        <v>0</v>
      </c>
      <c r="J147" s="52">
        <v>0</v>
      </c>
      <c r="K147" s="52">
        <v>0</v>
      </c>
      <c r="L147" s="52">
        <v>0</v>
      </c>
      <c r="M147" s="52">
        <v>1</v>
      </c>
      <c r="N147" s="52">
        <v>0</v>
      </c>
      <c r="O147" s="52">
        <v>0</v>
      </c>
      <c r="P147" s="52">
        <v>0</v>
      </c>
    </row>
    <row r="148" spans="1:16" s="36" customFormat="1">
      <c r="A148" s="52" t="s">
        <v>3441</v>
      </c>
      <c r="B148" s="52">
        <v>5683</v>
      </c>
      <c r="C148" s="53" t="s">
        <v>3443</v>
      </c>
      <c r="D148" s="53">
        <v>2</v>
      </c>
      <c r="E148" s="52">
        <v>0</v>
      </c>
      <c r="F148" s="52">
        <v>0</v>
      </c>
      <c r="G148" s="52">
        <v>0</v>
      </c>
      <c r="H148" s="52">
        <v>0</v>
      </c>
      <c r="I148" s="52">
        <v>0</v>
      </c>
      <c r="J148" s="52">
        <v>0</v>
      </c>
      <c r="K148" s="52">
        <v>1</v>
      </c>
      <c r="L148" s="52">
        <v>0</v>
      </c>
      <c r="M148" s="52">
        <v>1</v>
      </c>
      <c r="N148" s="52">
        <v>0</v>
      </c>
      <c r="O148" s="52">
        <v>0</v>
      </c>
      <c r="P148" s="52">
        <v>0</v>
      </c>
    </row>
    <row r="149" spans="1:16" s="36" customFormat="1">
      <c r="A149" s="52" t="s">
        <v>209</v>
      </c>
      <c r="B149" s="52">
        <v>5700</v>
      </c>
      <c r="C149" s="53" t="s">
        <v>3257</v>
      </c>
      <c r="D149" s="53">
        <v>1</v>
      </c>
      <c r="E149" s="52">
        <v>0</v>
      </c>
      <c r="F149" s="52">
        <v>0</v>
      </c>
      <c r="G149" s="52">
        <v>0</v>
      </c>
      <c r="H149" s="52">
        <v>0</v>
      </c>
      <c r="I149" s="52">
        <v>0</v>
      </c>
      <c r="J149" s="52">
        <v>0</v>
      </c>
      <c r="K149" s="52">
        <v>0</v>
      </c>
      <c r="L149" s="52">
        <v>0</v>
      </c>
      <c r="M149" s="52">
        <v>0</v>
      </c>
      <c r="N149" s="52">
        <v>0</v>
      </c>
      <c r="O149" s="52">
        <v>0</v>
      </c>
      <c r="P149" s="52">
        <v>0</v>
      </c>
    </row>
    <row r="150" spans="1:16" s="36" customFormat="1">
      <c r="A150" s="52" t="s">
        <v>209</v>
      </c>
      <c r="B150" s="52">
        <v>5700</v>
      </c>
      <c r="C150" s="53" t="s">
        <v>3422</v>
      </c>
      <c r="D150" s="53">
        <v>2</v>
      </c>
      <c r="E150" s="52">
        <v>0</v>
      </c>
      <c r="F150" s="154">
        <v>0</v>
      </c>
      <c r="G150" s="52">
        <v>0</v>
      </c>
      <c r="H150" s="52">
        <v>1</v>
      </c>
      <c r="I150" s="52">
        <v>0</v>
      </c>
      <c r="J150" s="52">
        <v>0</v>
      </c>
      <c r="K150" s="52">
        <v>1</v>
      </c>
      <c r="L150" s="52">
        <v>0</v>
      </c>
      <c r="M150" s="52">
        <v>1</v>
      </c>
      <c r="N150" s="52">
        <v>0</v>
      </c>
      <c r="O150" s="52">
        <v>0</v>
      </c>
      <c r="P150" s="52">
        <v>0</v>
      </c>
    </row>
    <row r="151" spans="1:16" s="36" customFormat="1">
      <c r="A151" s="52" t="s">
        <v>98</v>
      </c>
      <c r="B151" s="156">
        <v>5774</v>
      </c>
      <c r="C151" s="53" t="s">
        <v>3444</v>
      </c>
      <c r="D151" s="53">
        <v>1</v>
      </c>
      <c r="E151" s="52">
        <v>1</v>
      </c>
      <c r="F151" s="52">
        <v>0</v>
      </c>
      <c r="G151" s="52">
        <v>0</v>
      </c>
      <c r="H151" s="52">
        <v>0</v>
      </c>
      <c r="I151" s="154">
        <v>1</v>
      </c>
      <c r="J151" s="52">
        <v>0</v>
      </c>
      <c r="K151" s="52">
        <v>0</v>
      </c>
      <c r="L151" s="52">
        <v>0</v>
      </c>
      <c r="M151" s="52">
        <v>0</v>
      </c>
      <c r="N151" s="52">
        <v>0</v>
      </c>
      <c r="O151" s="52">
        <v>0</v>
      </c>
      <c r="P151" s="52">
        <v>0</v>
      </c>
    </row>
    <row r="152" spans="1:16" s="36" customFormat="1">
      <c r="A152" s="52" t="s">
        <v>98</v>
      </c>
      <c r="B152" s="156">
        <v>5774</v>
      </c>
      <c r="C152" s="53" t="s">
        <v>3445</v>
      </c>
      <c r="D152" s="53">
        <v>2</v>
      </c>
      <c r="E152" s="52">
        <v>1</v>
      </c>
      <c r="F152" s="52">
        <v>0</v>
      </c>
      <c r="G152" s="52">
        <v>0</v>
      </c>
      <c r="H152" s="52">
        <v>0</v>
      </c>
      <c r="I152" s="52">
        <v>1</v>
      </c>
      <c r="J152" s="52">
        <v>0</v>
      </c>
      <c r="K152" s="52">
        <v>0</v>
      </c>
      <c r="L152" s="52">
        <v>0</v>
      </c>
      <c r="M152" s="52">
        <v>0</v>
      </c>
      <c r="N152" s="52">
        <v>0</v>
      </c>
      <c r="O152" s="52">
        <v>0</v>
      </c>
      <c r="P152" s="52">
        <v>0</v>
      </c>
    </row>
    <row r="153" spans="1:16" s="36" customFormat="1">
      <c r="A153" s="52" t="s">
        <v>98</v>
      </c>
      <c r="B153" s="156">
        <v>5774</v>
      </c>
      <c r="C153" s="53" t="s">
        <v>3446</v>
      </c>
      <c r="D153" s="53">
        <v>3</v>
      </c>
      <c r="E153" s="52">
        <v>1</v>
      </c>
      <c r="F153" s="52">
        <v>0</v>
      </c>
      <c r="G153" s="52">
        <v>0</v>
      </c>
      <c r="H153" s="52">
        <v>0</v>
      </c>
      <c r="I153" s="52">
        <v>1</v>
      </c>
      <c r="J153" s="52">
        <v>0</v>
      </c>
      <c r="K153" s="52">
        <v>0</v>
      </c>
      <c r="L153" s="52">
        <v>1</v>
      </c>
      <c r="M153" s="52">
        <v>1</v>
      </c>
      <c r="N153" s="52">
        <v>0</v>
      </c>
      <c r="O153" s="52">
        <v>0</v>
      </c>
      <c r="P153" s="52">
        <v>0</v>
      </c>
    </row>
    <row r="154" spans="1:16" s="36" customFormat="1">
      <c r="A154" s="52" t="s">
        <v>210</v>
      </c>
      <c r="B154" s="52">
        <v>5809</v>
      </c>
      <c r="C154" s="53" t="s">
        <v>3229</v>
      </c>
      <c r="D154" s="53">
        <v>1</v>
      </c>
      <c r="E154" s="52">
        <v>0</v>
      </c>
      <c r="F154" s="52">
        <v>0</v>
      </c>
      <c r="G154" s="52">
        <v>0</v>
      </c>
      <c r="H154" s="52">
        <v>0</v>
      </c>
      <c r="I154" s="52">
        <v>0</v>
      </c>
      <c r="J154" s="52">
        <v>0</v>
      </c>
      <c r="K154" s="52">
        <v>0</v>
      </c>
      <c r="L154" s="52">
        <v>0</v>
      </c>
      <c r="M154" s="52">
        <v>0</v>
      </c>
      <c r="N154" s="52">
        <v>0</v>
      </c>
      <c r="O154" s="52">
        <v>0</v>
      </c>
      <c r="P154" s="52">
        <v>0</v>
      </c>
    </row>
    <row r="155" spans="1:16" s="36" customFormat="1">
      <c r="A155" s="52" t="s">
        <v>210</v>
      </c>
      <c r="B155" s="52">
        <v>5809</v>
      </c>
      <c r="C155" s="53" t="s">
        <v>3447</v>
      </c>
      <c r="D155" s="53">
        <v>2</v>
      </c>
      <c r="E155" s="52">
        <v>0</v>
      </c>
      <c r="F155" s="52">
        <v>1</v>
      </c>
      <c r="G155" s="52">
        <v>0</v>
      </c>
      <c r="H155" s="52">
        <v>0</v>
      </c>
      <c r="I155" s="52">
        <v>0</v>
      </c>
      <c r="J155" s="52">
        <v>0</v>
      </c>
      <c r="K155" s="52">
        <v>0</v>
      </c>
      <c r="L155" s="52">
        <v>1</v>
      </c>
      <c r="M155" s="52">
        <v>1</v>
      </c>
      <c r="N155" s="52">
        <v>0</v>
      </c>
      <c r="O155" s="52">
        <v>0</v>
      </c>
      <c r="P155" s="52">
        <v>0</v>
      </c>
    </row>
    <row r="156" spans="1:16" s="36" customFormat="1">
      <c r="A156" s="52" t="s">
        <v>3448</v>
      </c>
      <c r="B156" s="52">
        <v>5852</v>
      </c>
      <c r="C156" s="53" t="s">
        <v>3229</v>
      </c>
      <c r="D156" s="53">
        <v>1</v>
      </c>
      <c r="E156" s="52">
        <v>0</v>
      </c>
      <c r="F156" s="52">
        <v>0</v>
      </c>
      <c r="G156" s="52">
        <v>0</v>
      </c>
      <c r="H156" s="52">
        <v>0</v>
      </c>
      <c r="I156" s="52">
        <v>0</v>
      </c>
      <c r="J156" s="52">
        <v>0</v>
      </c>
      <c r="K156" s="52">
        <v>0</v>
      </c>
      <c r="L156" s="52">
        <v>0</v>
      </c>
      <c r="M156" s="52">
        <v>1</v>
      </c>
      <c r="N156" s="52">
        <v>0</v>
      </c>
      <c r="O156" s="52">
        <v>0</v>
      </c>
      <c r="P156" s="52">
        <v>0</v>
      </c>
    </row>
    <row r="157" spans="1:16" s="36" customFormat="1">
      <c r="A157" s="52" t="s">
        <v>3448</v>
      </c>
      <c r="B157" s="52">
        <v>5852</v>
      </c>
      <c r="C157" s="53" t="s">
        <v>3222</v>
      </c>
      <c r="D157" s="53">
        <v>2</v>
      </c>
      <c r="E157" s="52">
        <v>0</v>
      </c>
      <c r="F157" s="52">
        <v>1</v>
      </c>
      <c r="G157" s="52">
        <v>0</v>
      </c>
      <c r="H157" s="52">
        <v>1</v>
      </c>
      <c r="I157" s="52">
        <v>0</v>
      </c>
      <c r="J157" s="52">
        <v>0</v>
      </c>
      <c r="K157" s="52">
        <v>1</v>
      </c>
      <c r="L157" s="52">
        <v>0</v>
      </c>
      <c r="M157" s="52">
        <v>1</v>
      </c>
      <c r="N157" s="52">
        <v>0</v>
      </c>
      <c r="O157" s="52">
        <v>0</v>
      </c>
      <c r="P157" s="52">
        <v>0</v>
      </c>
    </row>
    <row r="158" spans="1:16" s="36" customFormat="1">
      <c r="A158" s="52" t="s">
        <v>103</v>
      </c>
      <c r="B158" s="156">
        <v>5870</v>
      </c>
      <c r="C158" s="53" t="s">
        <v>3229</v>
      </c>
      <c r="D158" s="53">
        <v>1</v>
      </c>
      <c r="E158" s="52">
        <v>0</v>
      </c>
      <c r="F158" s="52">
        <v>0</v>
      </c>
      <c r="G158" s="52">
        <v>0</v>
      </c>
      <c r="H158" s="52">
        <v>0</v>
      </c>
      <c r="I158" s="52">
        <v>0</v>
      </c>
      <c r="J158" s="52">
        <v>0</v>
      </c>
      <c r="K158" s="52">
        <v>0</v>
      </c>
      <c r="L158" s="52">
        <v>0</v>
      </c>
      <c r="M158" s="52">
        <v>0</v>
      </c>
      <c r="N158" s="52">
        <v>0</v>
      </c>
      <c r="O158" s="52">
        <v>0</v>
      </c>
      <c r="P158" s="52">
        <v>0</v>
      </c>
    </row>
    <row r="159" spans="1:16" s="36" customFormat="1">
      <c r="A159" s="52" t="s">
        <v>103</v>
      </c>
      <c r="B159" s="156">
        <v>5870</v>
      </c>
      <c r="C159" s="53" t="s">
        <v>3449</v>
      </c>
      <c r="D159" s="53">
        <v>2</v>
      </c>
      <c r="E159" s="52">
        <v>0</v>
      </c>
      <c r="F159" s="52">
        <v>0</v>
      </c>
      <c r="G159" s="52">
        <v>0</v>
      </c>
      <c r="H159" s="52">
        <v>0</v>
      </c>
      <c r="I159" s="52">
        <v>1</v>
      </c>
      <c r="J159" s="52">
        <v>1</v>
      </c>
      <c r="K159" s="52">
        <v>0</v>
      </c>
      <c r="L159" s="52">
        <v>0</v>
      </c>
      <c r="M159" s="52">
        <v>0</v>
      </c>
      <c r="N159" s="52">
        <v>0</v>
      </c>
      <c r="O159" s="52">
        <v>0</v>
      </c>
      <c r="P159" s="52">
        <v>0</v>
      </c>
    </row>
    <row r="160" spans="1:16" s="36" customFormat="1">
      <c r="A160" s="52" t="s">
        <v>103</v>
      </c>
      <c r="B160" s="156">
        <v>5870</v>
      </c>
      <c r="C160" s="53" t="s">
        <v>3450</v>
      </c>
      <c r="D160" s="53">
        <v>3</v>
      </c>
      <c r="E160" s="52">
        <v>1</v>
      </c>
      <c r="F160" s="52">
        <v>0</v>
      </c>
      <c r="G160" s="52">
        <v>0</v>
      </c>
      <c r="H160" s="52">
        <v>0</v>
      </c>
      <c r="I160" s="52">
        <v>1</v>
      </c>
      <c r="J160" s="52">
        <v>0</v>
      </c>
      <c r="K160" s="52">
        <v>0</v>
      </c>
      <c r="L160" s="52">
        <v>0</v>
      </c>
      <c r="M160" s="52">
        <v>0</v>
      </c>
      <c r="N160" s="52">
        <v>0</v>
      </c>
      <c r="O160" s="52">
        <v>0</v>
      </c>
      <c r="P160" s="52">
        <v>0</v>
      </c>
    </row>
    <row r="161" spans="1:16" s="36" customFormat="1">
      <c r="A161" s="52" t="s">
        <v>103</v>
      </c>
      <c r="B161" s="156">
        <v>5870</v>
      </c>
      <c r="C161" s="53" t="s">
        <v>3451</v>
      </c>
      <c r="D161" s="53">
        <v>4</v>
      </c>
      <c r="E161" s="52">
        <v>1</v>
      </c>
      <c r="F161" s="52">
        <v>0</v>
      </c>
      <c r="G161" s="52">
        <v>0</v>
      </c>
      <c r="H161" s="52">
        <v>0</v>
      </c>
      <c r="I161" s="52">
        <v>1</v>
      </c>
      <c r="J161" s="52">
        <v>1</v>
      </c>
      <c r="K161" s="52">
        <v>0</v>
      </c>
      <c r="L161" s="52">
        <v>0</v>
      </c>
      <c r="M161" s="52">
        <v>0</v>
      </c>
      <c r="N161" s="52">
        <v>0</v>
      </c>
      <c r="O161" s="52">
        <v>0</v>
      </c>
      <c r="P161" s="52">
        <v>0</v>
      </c>
    </row>
    <row r="162" spans="1:16" s="36" customFormat="1">
      <c r="A162" s="52" t="s">
        <v>110</v>
      </c>
      <c r="B162" s="52">
        <v>5895</v>
      </c>
      <c r="C162" s="53" t="s">
        <v>3229</v>
      </c>
      <c r="D162" s="53">
        <v>1</v>
      </c>
      <c r="E162" s="52">
        <v>0</v>
      </c>
      <c r="F162" s="52">
        <v>0</v>
      </c>
      <c r="G162" s="52">
        <v>0</v>
      </c>
      <c r="H162" s="52">
        <v>0</v>
      </c>
      <c r="I162" s="52">
        <v>0</v>
      </c>
      <c r="J162" s="52">
        <v>0</v>
      </c>
      <c r="K162" s="52">
        <v>0</v>
      </c>
      <c r="L162" s="52">
        <v>0</v>
      </c>
      <c r="M162" s="52">
        <v>0</v>
      </c>
      <c r="N162" s="52">
        <v>0</v>
      </c>
      <c r="O162" s="52">
        <v>0</v>
      </c>
      <c r="P162" s="52">
        <v>0</v>
      </c>
    </row>
    <row r="163" spans="1:16" s="36" customFormat="1">
      <c r="A163" s="52" t="s">
        <v>110</v>
      </c>
      <c r="B163" s="52">
        <v>5895</v>
      </c>
      <c r="C163" s="53" t="s">
        <v>3222</v>
      </c>
      <c r="D163" s="53">
        <v>2</v>
      </c>
      <c r="E163" s="52">
        <v>0</v>
      </c>
      <c r="F163" s="52">
        <v>0</v>
      </c>
      <c r="G163" s="52">
        <v>0</v>
      </c>
      <c r="H163" s="52">
        <v>0</v>
      </c>
      <c r="I163" s="52">
        <v>1</v>
      </c>
      <c r="J163" s="52">
        <v>0</v>
      </c>
      <c r="K163" s="52">
        <v>0</v>
      </c>
      <c r="L163" s="52">
        <v>0</v>
      </c>
      <c r="M163" s="52">
        <v>0</v>
      </c>
      <c r="N163" s="52">
        <v>0</v>
      </c>
      <c r="O163" s="52">
        <v>0</v>
      </c>
      <c r="P163" s="52">
        <v>0</v>
      </c>
    </row>
    <row r="164" spans="1:16" s="36" customFormat="1">
      <c r="A164" s="52" t="s">
        <v>113</v>
      </c>
      <c r="B164" s="52">
        <v>5899</v>
      </c>
      <c r="C164" s="53" t="s">
        <v>3416</v>
      </c>
      <c r="D164" s="53">
        <v>1</v>
      </c>
      <c r="E164" s="52">
        <v>0</v>
      </c>
      <c r="F164" s="52">
        <v>0</v>
      </c>
      <c r="G164" s="52">
        <v>0</v>
      </c>
      <c r="H164" s="52">
        <v>0</v>
      </c>
      <c r="I164" s="52">
        <v>0</v>
      </c>
      <c r="J164" s="52">
        <v>0</v>
      </c>
      <c r="K164" s="52">
        <v>0</v>
      </c>
      <c r="L164" s="52">
        <v>0</v>
      </c>
      <c r="M164" s="52">
        <v>0</v>
      </c>
      <c r="N164" s="52">
        <v>0</v>
      </c>
      <c r="O164" s="52">
        <v>0</v>
      </c>
      <c r="P164" s="52">
        <v>0</v>
      </c>
    </row>
    <row r="165" spans="1:16" s="36" customFormat="1">
      <c r="A165" s="52" t="s">
        <v>113</v>
      </c>
      <c r="B165" s="52">
        <v>5899</v>
      </c>
      <c r="C165" s="53" t="s">
        <v>3417</v>
      </c>
      <c r="D165" s="53">
        <v>2</v>
      </c>
      <c r="E165" s="52">
        <v>1</v>
      </c>
      <c r="F165" s="52">
        <v>0</v>
      </c>
      <c r="G165" s="52">
        <v>0</v>
      </c>
      <c r="H165" s="154">
        <v>0</v>
      </c>
      <c r="I165" s="52">
        <v>1</v>
      </c>
      <c r="J165" s="52">
        <v>0</v>
      </c>
      <c r="K165" s="52">
        <v>0</v>
      </c>
      <c r="L165" s="52">
        <v>0</v>
      </c>
      <c r="M165" s="52">
        <v>0</v>
      </c>
      <c r="N165" s="52">
        <v>0</v>
      </c>
      <c r="O165" s="52">
        <v>1</v>
      </c>
      <c r="P165" s="52">
        <v>0</v>
      </c>
    </row>
    <row r="166" spans="1:16" s="36" customFormat="1">
      <c r="A166" s="52" t="s">
        <v>213</v>
      </c>
      <c r="B166" s="52">
        <v>5914</v>
      </c>
      <c r="C166" s="53" t="s">
        <v>3452</v>
      </c>
      <c r="D166" s="53">
        <v>1</v>
      </c>
      <c r="E166" s="52">
        <v>0</v>
      </c>
      <c r="F166" s="52">
        <v>0</v>
      </c>
      <c r="G166" s="52">
        <v>0</v>
      </c>
      <c r="H166" s="52">
        <v>0</v>
      </c>
      <c r="I166" s="52">
        <v>0</v>
      </c>
      <c r="J166" s="52">
        <v>0</v>
      </c>
      <c r="K166" s="52">
        <v>0</v>
      </c>
      <c r="L166" s="154">
        <v>1</v>
      </c>
      <c r="M166" s="52">
        <v>0</v>
      </c>
      <c r="N166" s="52">
        <v>0</v>
      </c>
      <c r="O166" s="52">
        <v>0</v>
      </c>
      <c r="P166" s="52">
        <v>0</v>
      </c>
    </row>
    <row r="167" spans="1:16" s="36" customFormat="1">
      <c r="A167" s="52" t="s">
        <v>213</v>
      </c>
      <c r="B167" s="52">
        <v>5914</v>
      </c>
      <c r="C167" s="53" t="s">
        <v>3453</v>
      </c>
      <c r="D167" s="53">
        <v>2</v>
      </c>
      <c r="E167" s="52">
        <v>0</v>
      </c>
      <c r="F167" s="52">
        <v>1</v>
      </c>
      <c r="G167" s="52">
        <v>0</v>
      </c>
      <c r="H167" s="52">
        <v>0</v>
      </c>
      <c r="I167" s="52">
        <v>0</v>
      </c>
      <c r="J167" s="52">
        <v>0</v>
      </c>
      <c r="K167" s="154">
        <v>1</v>
      </c>
      <c r="L167" s="52">
        <v>1</v>
      </c>
      <c r="M167" s="52">
        <v>1</v>
      </c>
      <c r="N167" s="52">
        <v>1</v>
      </c>
      <c r="O167" s="52">
        <v>0</v>
      </c>
      <c r="P167" s="52">
        <v>0</v>
      </c>
    </row>
    <row r="168" spans="1:16" s="36" customFormat="1">
      <c r="A168" s="52" t="s">
        <v>116</v>
      </c>
      <c r="B168" s="52">
        <v>5941</v>
      </c>
      <c r="C168" s="53" t="s">
        <v>3229</v>
      </c>
      <c r="D168" s="53">
        <v>1</v>
      </c>
      <c r="E168" s="52">
        <v>0</v>
      </c>
      <c r="F168" s="52">
        <v>0</v>
      </c>
      <c r="G168" s="52">
        <v>0</v>
      </c>
      <c r="H168" s="52">
        <v>0</v>
      </c>
      <c r="I168" s="52">
        <v>0</v>
      </c>
      <c r="J168" s="52">
        <v>0</v>
      </c>
      <c r="K168" s="52">
        <v>0</v>
      </c>
      <c r="L168" s="52">
        <v>0</v>
      </c>
      <c r="M168" s="52">
        <v>0</v>
      </c>
      <c r="N168" s="52">
        <v>0</v>
      </c>
      <c r="O168" s="52">
        <v>0</v>
      </c>
      <c r="P168" s="52">
        <v>0</v>
      </c>
    </row>
    <row r="169" spans="1:16" s="36" customFormat="1">
      <c r="A169" s="52" t="s">
        <v>116</v>
      </c>
      <c r="B169" s="52">
        <v>5941</v>
      </c>
      <c r="C169" s="53" t="s">
        <v>3222</v>
      </c>
      <c r="D169" s="53">
        <v>2</v>
      </c>
      <c r="E169" s="52">
        <v>1</v>
      </c>
      <c r="F169" s="52">
        <v>0</v>
      </c>
      <c r="G169" s="52">
        <v>0</v>
      </c>
      <c r="H169" s="52">
        <v>0</v>
      </c>
      <c r="I169" s="52">
        <v>1</v>
      </c>
      <c r="J169" s="52">
        <v>0</v>
      </c>
      <c r="K169" s="52">
        <v>1</v>
      </c>
      <c r="L169" s="52">
        <v>1</v>
      </c>
      <c r="M169" s="52">
        <v>0</v>
      </c>
      <c r="N169" s="52">
        <v>0</v>
      </c>
      <c r="O169" s="52">
        <v>0</v>
      </c>
      <c r="P169" s="52">
        <v>0</v>
      </c>
    </row>
    <row r="170" spans="1:16" s="36" customFormat="1">
      <c r="A170" s="155" t="s">
        <v>214</v>
      </c>
      <c r="B170" s="52">
        <v>5943</v>
      </c>
      <c r="C170" s="53" t="s">
        <v>3454</v>
      </c>
      <c r="D170" s="53">
        <v>1</v>
      </c>
      <c r="E170" s="52">
        <v>0</v>
      </c>
      <c r="F170" s="52">
        <v>1</v>
      </c>
      <c r="G170" s="52">
        <v>1</v>
      </c>
      <c r="H170" s="52">
        <v>0</v>
      </c>
      <c r="I170" s="52">
        <v>0</v>
      </c>
      <c r="J170" s="52">
        <v>0</v>
      </c>
      <c r="K170" s="52">
        <v>1</v>
      </c>
      <c r="L170" s="52">
        <v>0</v>
      </c>
      <c r="M170" s="52">
        <v>1</v>
      </c>
      <c r="N170" s="52">
        <v>0</v>
      </c>
      <c r="O170" s="52">
        <v>0</v>
      </c>
      <c r="P170" s="52">
        <v>0</v>
      </c>
    </row>
    <row r="171" spans="1:16" s="36" customFormat="1">
      <c r="A171" s="155" t="s">
        <v>214</v>
      </c>
      <c r="B171" s="52">
        <v>5943</v>
      </c>
      <c r="C171" s="53" t="s">
        <v>3455</v>
      </c>
      <c r="D171" s="53">
        <v>2</v>
      </c>
      <c r="E171" s="52">
        <v>0</v>
      </c>
      <c r="F171" s="52">
        <v>1</v>
      </c>
      <c r="G171" s="52">
        <v>1</v>
      </c>
      <c r="H171" s="154">
        <v>0</v>
      </c>
      <c r="I171" s="52">
        <v>0</v>
      </c>
      <c r="J171" s="52">
        <v>0</v>
      </c>
      <c r="K171" s="52">
        <v>1</v>
      </c>
      <c r="L171" s="52">
        <v>0</v>
      </c>
      <c r="M171" s="52">
        <v>1</v>
      </c>
      <c r="N171" s="52">
        <v>0</v>
      </c>
      <c r="O171" s="52">
        <v>0</v>
      </c>
      <c r="P171" s="52">
        <v>0</v>
      </c>
    </row>
    <row r="172" spans="1:16" s="36" customFormat="1">
      <c r="A172" s="52" t="s">
        <v>3456</v>
      </c>
      <c r="B172" s="52">
        <v>5948</v>
      </c>
      <c r="C172" s="53" t="s">
        <v>3229</v>
      </c>
      <c r="D172" s="53">
        <v>1</v>
      </c>
      <c r="E172" s="52">
        <v>0</v>
      </c>
      <c r="F172" s="52">
        <v>0</v>
      </c>
      <c r="G172" s="52">
        <v>0</v>
      </c>
      <c r="H172" s="52">
        <v>0</v>
      </c>
      <c r="I172" s="52">
        <v>0</v>
      </c>
      <c r="J172" s="52">
        <v>0</v>
      </c>
      <c r="K172" s="52">
        <v>0</v>
      </c>
      <c r="L172" s="154">
        <v>1</v>
      </c>
      <c r="M172" s="52">
        <v>0</v>
      </c>
      <c r="N172" s="52">
        <v>0</v>
      </c>
      <c r="O172" s="52">
        <v>0</v>
      </c>
      <c r="P172" s="52">
        <v>0</v>
      </c>
    </row>
    <row r="173" spans="1:16" s="36" customFormat="1">
      <c r="A173" s="52" t="s">
        <v>215</v>
      </c>
      <c r="B173" s="52">
        <v>5948</v>
      </c>
      <c r="C173" s="53" t="s">
        <v>3222</v>
      </c>
      <c r="D173" s="53">
        <v>2</v>
      </c>
      <c r="E173" s="52">
        <v>0</v>
      </c>
      <c r="F173" s="52">
        <v>1</v>
      </c>
      <c r="G173" s="52">
        <v>1</v>
      </c>
      <c r="H173" s="52">
        <v>0</v>
      </c>
      <c r="I173" s="52">
        <v>0</v>
      </c>
      <c r="J173" s="52">
        <v>0</v>
      </c>
      <c r="K173" s="52">
        <v>1</v>
      </c>
      <c r="L173" s="52">
        <v>1</v>
      </c>
      <c r="M173" s="52">
        <v>1</v>
      </c>
      <c r="N173" s="52">
        <v>0</v>
      </c>
      <c r="O173" s="52">
        <v>0</v>
      </c>
      <c r="P173" s="52">
        <v>0</v>
      </c>
    </row>
    <row r="174" spans="1:16" s="36" customFormat="1">
      <c r="A174" s="52" t="s">
        <v>216</v>
      </c>
      <c r="B174" s="52">
        <v>5949</v>
      </c>
      <c r="C174" s="53" t="s">
        <v>3229</v>
      </c>
      <c r="D174" s="53">
        <v>1</v>
      </c>
      <c r="E174" s="52">
        <v>0</v>
      </c>
      <c r="F174" s="52">
        <v>0</v>
      </c>
      <c r="G174" s="52">
        <v>0</v>
      </c>
      <c r="H174" s="52">
        <v>0</v>
      </c>
      <c r="I174" s="52">
        <v>0</v>
      </c>
      <c r="J174" s="52">
        <v>0</v>
      </c>
      <c r="K174" s="52">
        <v>0</v>
      </c>
      <c r="L174" s="52">
        <v>0</v>
      </c>
      <c r="M174" s="52">
        <v>0</v>
      </c>
      <c r="N174" s="52">
        <v>0</v>
      </c>
      <c r="O174" s="52">
        <v>0</v>
      </c>
      <c r="P174" s="52">
        <v>0</v>
      </c>
    </row>
    <row r="175" spans="1:16" s="36" customFormat="1">
      <c r="A175" s="52" t="s">
        <v>216</v>
      </c>
      <c r="B175" s="52">
        <v>5949</v>
      </c>
      <c r="C175" s="53" t="s">
        <v>3222</v>
      </c>
      <c r="D175" s="53">
        <v>2</v>
      </c>
      <c r="E175" s="52">
        <v>0</v>
      </c>
      <c r="F175" s="52">
        <v>1</v>
      </c>
      <c r="G175" s="52">
        <v>1</v>
      </c>
      <c r="H175" s="52">
        <v>0</v>
      </c>
      <c r="I175" s="52">
        <v>0</v>
      </c>
      <c r="J175" s="52">
        <v>0</v>
      </c>
      <c r="K175" s="52">
        <v>0</v>
      </c>
      <c r="L175" s="52">
        <v>1</v>
      </c>
      <c r="M175" s="154">
        <v>1</v>
      </c>
      <c r="N175" s="52">
        <v>0</v>
      </c>
      <c r="O175" s="52">
        <v>0</v>
      </c>
      <c r="P175" s="52">
        <v>0</v>
      </c>
    </row>
    <row r="176" spans="1:16" s="36" customFormat="1">
      <c r="A176" s="52" t="s">
        <v>3457</v>
      </c>
      <c r="B176" s="52">
        <v>5972</v>
      </c>
      <c r="C176" s="53" t="s">
        <v>3229</v>
      </c>
      <c r="D176" s="53">
        <v>1</v>
      </c>
      <c r="E176" s="52">
        <v>0</v>
      </c>
      <c r="F176" s="52">
        <v>0</v>
      </c>
      <c r="G176" s="52">
        <v>0</v>
      </c>
      <c r="H176" s="52">
        <v>0</v>
      </c>
      <c r="I176" s="52">
        <v>1</v>
      </c>
      <c r="J176" s="52">
        <v>0</v>
      </c>
      <c r="K176" s="52">
        <v>0</v>
      </c>
      <c r="L176" s="154">
        <v>1</v>
      </c>
      <c r="M176" s="52">
        <v>0</v>
      </c>
      <c r="N176" s="52">
        <v>0</v>
      </c>
      <c r="O176" s="52">
        <v>0</v>
      </c>
      <c r="P176" s="52">
        <v>0</v>
      </c>
    </row>
    <row r="177" spans="1:16" s="36" customFormat="1">
      <c r="A177" s="52" t="s">
        <v>3457</v>
      </c>
      <c r="B177" s="52">
        <v>5972</v>
      </c>
      <c r="C177" s="53" t="s">
        <v>3222</v>
      </c>
      <c r="D177" s="53">
        <v>2</v>
      </c>
      <c r="E177" s="52">
        <v>0</v>
      </c>
      <c r="F177" s="52">
        <v>1</v>
      </c>
      <c r="G177" s="52">
        <v>1</v>
      </c>
      <c r="H177" s="52">
        <v>1</v>
      </c>
      <c r="I177" s="154">
        <v>1</v>
      </c>
      <c r="J177" s="52">
        <v>0</v>
      </c>
      <c r="K177" s="52">
        <v>0</v>
      </c>
      <c r="L177" s="52">
        <v>1</v>
      </c>
      <c r="M177" s="52">
        <v>0</v>
      </c>
      <c r="N177" s="52">
        <v>1</v>
      </c>
      <c r="O177" s="52">
        <v>0</v>
      </c>
      <c r="P177" s="52">
        <v>0</v>
      </c>
    </row>
    <row r="178" spans="1:16" s="36" customFormat="1">
      <c r="A178" s="52" t="s">
        <v>219</v>
      </c>
      <c r="B178" s="52">
        <v>5978</v>
      </c>
      <c r="C178" s="53" t="s">
        <v>3229</v>
      </c>
      <c r="D178" s="53">
        <v>1</v>
      </c>
      <c r="E178" s="52">
        <v>0</v>
      </c>
      <c r="F178" s="52">
        <v>0</v>
      </c>
      <c r="G178" s="52">
        <v>0</v>
      </c>
      <c r="H178" s="52">
        <v>0</v>
      </c>
      <c r="I178" s="52">
        <v>0</v>
      </c>
      <c r="J178" s="52">
        <v>0</v>
      </c>
      <c r="K178" s="52">
        <v>0</v>
      </c>
      <c r="L178" s="52">
        <v>0</v>
      </c>
      <c r="M178" s="52">
        <v>0</v>
      </c>
      <c r="N178" s="52">
        <v>0</v>
      </c>
      <c r="O178" s="52">
        <v>0</v>
      </c>
      <c r="P178" s="52">
        <v>0</v>
      </c>
    </row>
    <row r="179" spans="1:16" s="36" customFormat="1">
      <c r="A179" s="52" t="s">
        <v>219</v>
      </c>
      <c r="B179" s="52">
        <v>5978</v>
      </c>
      <c r="C179" s="53" t="s">
        <v>3222</v>
      </c>
      <c r="D179" s="53">
        <v>2</v>
      </c>
      <c r="E179" s="52">
        <v>0</v>
      </c>
      <c r="F179" s="52">
        <v>1</v>
      </c>
      <c r="G179" s="52">
        <v>1</v>
      </c>
      <c r="H179" s="52">
        <v>0</v>
      </c>
      <c r="I179" s="52">
        <v>0</v>
      </c>
      <c r="J179" s="52">
        <v>0</v>
      </c>
      <c r="K179" s="52">
        <v>0</v>
      </c>
      <c r="L179" s="52">
        <v>1</v>
      </c>
      <c r="M179" s="52">
        <v>1</v>
      </c>
      <c r="N179" s="52">
        <v>0</v>
      </c>
      <c r="O179" s="52">
        <v>0</v>
      </c>
      <c r="P179" s="52">
        <v>0</v>
      </c>
    </row>
    <row r="180" spans="1:16" s="36" customFormat="1">
      <c r="A180" s="52" t="s">
        <v>220</v>
      </c>
      <c r="B180" s="52">
        <v>5981</v>
      </c>
      <c r="C180" s="53" t="s">
        <v>3229</v>
      </c>
      <c r="D180" s="53">
        <v>1</v>
      </c>
      <c r="E180" s="52">
        <v>0</v>
      </c>
      <c r="F180" s="52">
        <v>0</v>
      </c>
      <c r="G180" s="52">
        <v>1</v>
      </c>
      <c r="H180" s="52">
        <v>0</v>
      </c>
      <c r="I180" s="52">
        <v>0</v>
      </c>
      <c r="J180" s="52">
        <v>0</v>
      </c>
      <c r="K180" s="52">
        <v>0</v>
      </c>
      <c r="L180" s="52">
        <v>1</v>
      </c>
      <c r="M180" s="52">
        <v>1</v>
      </c>
      <c r="N180" s="52">
        <v>0</v>
      </c>
      <c r="O180" s="52">
        <v>0</v>
      </c>
      <c r="P180" s="52">
        <v>0</v>
      </c>
    </row>
    <row r="181" spans="1:16" s="36" customFormat="1">
      <c r="A181" s="52" t="s">
        <v>220</v>
      </c>
      <c r="B181" s="52">
        <v>5981</v>
      </c>
      <c r="C181" s="53" t="s">
        <v>3454</v>
      </c>
      <c r="D181" s="53">
        <v>2</v>
      </c>
      <c r="E181" s="52">
        <v>0</v>
      </c>
      <c r="F181" s="52">
        <v>1</v>
      </c>
      <c r="G181" s="52">
        <v>1</v>
      </c>
      <c r="H181" s="52">
        <v>0</v>
      </c>
      <c r="I181" s="52">
        <v>0</v>
      </c>
      <c r="J181" s="52">
        <v>0</v>
      </c>
      <c r="K181" s="52">
        <v>0</v>
      </c>
      <c r="L181" s="52">
        <v>1</v>
      </c>
      <c r="M181" s="52">
        <v>1</v>
      </c>
      <c r="N181" s="52">
        <v>0</v>
      </c>
      <c r="O181" s="52">
        <v>0</v>
      </c>
      <c r="P181" s="52">
        <v>0</v>
      </c>
    </row>
    <row r="182" spans="1:16" s="36" customFormat="1">
      <c r="A182" s="52" t="s">
        <v>120</v>
      </c>
      <c r="B182" s="52">
        <v>5996</v>
      </c>
      <c r="C182" s="53" t="s">
        <v>3229</v>
      </c>
      <c r="D182" s="53">
        <v>1</v>
      </c>
      <c r="E182" s="52">
        <v>0</v>
      </c>
      <c r="F182" s="52">
        <v>0</v>
      </c>
      <c r="G182" s="52">
        <v>0</v>
      </c>
      <c r="H182" s="52">
        <v>0</v>
      </c>
      <c r="I182" s="52">
        <v>0</v>
      </c>
      <c r="J182" s="52">
        <v>0</v>
      </c>
      <c r="K182" s="52">
        <v>0</v>
      </c>
      <c r="L182" s="52">
        <v>1</v>
      </c>
      <c r="M182" s="52">
        <v>0</v>
      </c>
      <c r="N182" s="52">
        <v>0</v>
      </c>
      <c r="O182" s="52">
        <v>0</v>
      </c>
      <c r="P182" s="52">
        <v>0</v>
      </c>
    </row>
    <row r="183" spans="1:16" s="36" customFormat="1">
      <c r="A183" s="52" t="s">
        <v>120</v>
      </c>
      <c r="B183" s="52">
        <v>5996</v>
      </c>
      <c r="C183" s="53" t="s">
        <v>3222</v>
      </c>
      <c r="D183" s="53">
        <v>2</v>
      </c>
      <c r="E183" s="52">
        <v>0</v>
      </c>
      <c r="F183" s="52">
        <v>1</v>
      </c>
      <c r="G183" s="52">
        <v>0</v>
      </c>
      <c r="H183" s="52">
        <v>0</v>
      </c>
      <c r="I183" s="52">
        <v>0</v>
      </c>
      <c r="J183" s="52">
        <v>0</v>
      </c>
      <c r="K183" s="52">
        <v>1</v>
      </c>
      <c r="L183" s="52">
        <v>1</v>
      </c>
      <c r="M183" s="52">
        <v>1</v>
      </c>
      <c r="N183" s="52">
        <v>0</v>
      </c>
      <c r="O183" s="52">
        <v>0</v>
      </c>
      <c r="P183" s="52">
        <v>0</v>
      </c>
    </row>
    <row r="184" spans="1:16" s="36" customFormat="1">
      <c r="A184" s="52" t="s">
        <v>221</v>
      </c>
      <c r="B184" s="52">
        <v>6006</v>
      </c>
      <c r="C184" s="53" t="s">
        <v>3229</v>
      </c>
      <c r="D184" s="53">
        <v>1</v>
      </c>
      <c r="E184" s="52">
        <v>0</v>
      </c>
      <c r="F184" s="52">
        <v>0</v>
      </c>
      <c r="G184" s="52">
        <v>0</v>
      </c>
      <c r="H184" s="52">
        <v>0</v>
      </c>
      <c r="I184" s="52">
        <v>0</v>
      </c>
      <c r="J184" s="52">
        <v>0</v>
      </c>
      <c r="K184" s="52">
        <v>0</v>
      </c>
      <c r="L184" s="52">
        <v>0</v>
      </c>
      <c r="M184" s="52">
        <v>0</v>
      </c>
      <c r="N184" s="52">
        <v>0</v>
      </c>
      <c r="O184" s="52">
        <v>0</v>
      </c>
      <c r="P184" s="52">
        <v>0</v>
      </c>
    </row>
    <row r="185" spans="1:16" s="36" customFormat="1">
      <c r="A185" s="52" t="s">
        <v>221</v>
      </c>
      <c r="B185" s="52">
        <v>6006</v>
      </c>
      <c r="C185" s="53" t="s">
        <v>3222</v>
      </c>
      <c r="D185" s="53">
        <v>2</v>
      </c>
      <c r="E185" s="52">
        <v>0</v>
      </c>
      <c r="F185" s="52">
        <v>1</v>
      </c>
      <c r="G185" s="154">
        <v>1</v>
      </c>
      <c r="H185" s="52">
        <v>0</v>
      </c>
      <c r="I185" s="52">
        <v>0</v>
      </c>
      <c r="J185" s="52">
        <v>0</v>
      </c>
      <c r="K185" s="52">
        <v>0</v>
      </c>
      <c r="L185" s="52">
        <v>1</v>
      </c>
      <c r="M185" s="52">
        <v>1</v>
      </c>
      <c r="N185" s="52">
        <v>0</v>
      </c>
      <c r="O185" s="52">
        <v>0</v>
      </c>
      <c r="P185" s="52">
        <v>0</v>
      </c>
    </row>
    <row r="186" spans="1:16" s="36" customFormat="1">
      <c r="A186" s="52" t="s">
        <v>3458</v>
      </c>
      <c r="B186" s="52">
        <v>6032</v>
      </c>
      <c r="C186" s="53" t="s">
        <v>3444</v>
      </c>
      <c r="D186" s="53">
        <v>1</v>
      </c>
      <c r="E186" s="52">
        <v>0</v>
      </c>
      <c r="F186" s="52">
        <v>0</v>
      </c>
      <c r="G186" s="52">
        <v>0</v>
      </c>
      <c r="H186" s="52">
        <v>0</v>
      </c>
      <c r="I186" s="52">
        <v>0</v>
      </c>
      <c r="J186" s="52">
        <v>0</v>
      </c>
      <c r="K186" s="52">
        <v>0</v>
      </c>
      <c r="L186" s="52">
        <v>0</v>
      </c>
      <c r="M186" s="52">
        <v>0</v>
      </c>
      <c r="N186" s="52">
        <v>0</v>
      </c>
      <c r="O186" s="52">
        <v>0</v>
      </c>
      <c r="P186" s="52">
        <v>0</v>
      </c>
    </row>
    <row r="187" spans="1:16" s="36" customFormat="1">
      <c r="A187" s="52" t="s">
        <v>3458</v>
      </c>
      <c r="B187" s="52">
        <v>6032</v>
      </c>
      <c r="C187" s="53" t="s">
        <v>3459</v>
      </c>
      <c r="D187" s="53">
        <v>2</v>
      </c>
      <c r="E187" s="52">
        <v>0</v>
      </c>
      <c r="F187" s="52">
        <v>0</v>
      </c>
      <c r="G187" s="52">
        <v>0</v>
      </c>
      <c r="H187" s="52">
        <v>0</v>
      </c>
      <c r="I187" s="52">
        <v>0</v>
      </c>
      <c r="J187" s="52">
        <v>1</v>
      </c>
      <c r="K187" s="52">
        <v>0</v>
      </c>
      <c r="L187" s="52">
        <v>1</v>
      </c>
      <c r="M187" s="52">
        <v>1</v>
      </c>
      <c r="N187" s="52">
        <v>0</v>
      </c>
      <c r="O187" s="52">
        <v>0</v>
      </c>
      <c r="P187" s="52">
        <v>0</v>
      </c>
    </row>
    <row r="188" spans="1:16" s="36" customFormat="1">
      <c r="A188" s="52" t="s">
        <v>2393</v>
      </c>
      <c r="B188" s="52">
        <v>6097</v>
      </c>
      <c r="C188" s="53" t="s">
        <v>3229</v>
      </c>
      <c r="D188" s="53">
        <v>1</v>
      </c>
      <c r="E188" s="52">
        <v>0</v>
      </c>
      <c r="F188" s="52">
        <v>0</v>
      </c>
      <c r="G188" s="52">
        <v>0</v>
      </c>
      <c r="H188" s="52">
        <v>0</v>
      </c>
      <c r="I188" s="52">
        <v>0</v>
      </c>
      <c r="J188" s="52">
        <v>0</v>
      </c>
      <c r="K188" s="52">
        <v>0</v>
      </c>
      <c r="L188" s="52">
        <v>0</v>
      </c>
      <c r="M188" s="52">
        <v>0</v>
      </c>
      <c r="N188" s="52">
        <v>0</v>
      </c>
      <c r="O188" s="52">
        <v>0</v>
      </c>
      <c r="P188" s="52">
        <v>0</v>
      </c>
    </row>
    <row r="189" spans="1:16" s="36" customFormat="1">
      <c r="A189" s="52" t="s">
        <v>2393</v>
      </c>
      <c r="B189" s="52">
        <v>6097</v>
      </c>
      <c r="C189" s="53" t="s">
        <v>3460</v>
      </c>
      <c r="D189" s="53">
        <v>2</v>
      </c>
      <c r="E189" s="52">
        <v>1</v>
      </c>
      <c r="F189" s="154">
        <v>0</v>
      </c>
      <c r="G189" s="52">
        <v>0</v>
      </c>
      <c r="H189" s="52">
        <v>0</v>
      </c>
      <c r="I189" s="52">
        <v>1</v>
      </c>
      <c r="J189" s="154">
        <v>0</v>
      </c>
      <c r="K189" s="52">
        <v>0</v>
      </c>
      <c r="L189" s="52">
        <v>1</v>
      </c>
      <c r="M189" s="52">
        <v>0</v>
      </c>
      <c r="N189" s="52">
        <v>0</v>
      </c>
      <c r="O189" s="52">
        <v>0</v>
      </c>
      <c r="P189" s="52">
        <v>0</v>
      </c>
    </row>
    <row r="190" spans="1:16" s="36" customFormat="1">
      <c r="A190" s="52" t="s">
        <v>224</v>
      </c>
      <c r="B190" s="52">
        <v>6102</v>
      </c>
      <c r="C190" s="53" t="s">
        <v>3229</v>
      </c>
      <c r="D190" s="52">
        <v>1</v>
      </c>
      <c r="E190" s="52">
        <v>0</v>
      </c>
      <c r="F190" s="52">
        <v>0</v>
      </c>
      <c r="G190" s="52">
        <v>0</v>
      </c>
      <c r="H190" s="52">
        <v>0</v>
      </c>
      <c r="I190" s="52">
        <v>0</v>
      </c>
      <c r="J190" s="52">
        <v>0</v>
      </c>
      <c r="K190" s="52">
        <v>0</v>
      </c>
      <c r="L190" s="52">
        <v>1</v>
      </c>
      <c r="M190" s="52">
        <v>1</v>
      </c>
      <c r="N190" s="52">
        <v>0</v>
      </c>
      <c r="O190" s="52">
        <v>0</v>
      </c>
      <c r="P190" s="52">
        <v>0</v>
      </c>
    </row>
    <row r="191" spans="1:16" s="36" customFormat="1">
      <c r="A191" s="52" t="s">
        <v>224</v>
      </c>
      <c r="B191" s="52">
        <v>6102</v>
      </c>
      <c r="C191" s="53" t="s">
        <v>3461</v>
      </c>
      <c r="D191" s="52">
        <v>2</v>
      </c>
      <c r="E191" s="52">
        <v>0</v>
      </c>
      <c r="F191" s="52">
        <v>1</v>
      </c>
      <c r="G191" s="52">
        <v>0</v>
      </c>
      <c r="H191" s="52">
        <v>0</v>
      </c>
      <c r="I191" s="52">
        <v>0</v>
      </c>
      <c r="J191" s="52">
        <v>0</v>
      </c>
      <c r="K191" s="52">
        <v>0</v>
      </c>
      <c r="L191" s="52">
        <v>1</v>
      </c>
      <c r="M191" s="52">
        <v>1</v>
      </c>
      <c r="N191" s="52">
        <v>1</v>
      </c>
      <c r="O191" s="52">
        <v>0</v>
      </c>
      <c r="P191" s="52">
        <v>0</v>
      </c>
    </row>
    <row r="192" spans="1:16" s="36" customFormat="1">
      <c r="A192" s="52" t="s">
        <v>3462</v>
      </c>
      <c r="B192" s="52">
        <v>6106</v>
      </c>
      <c r="C192" s="53" t="s">
        <v>3229</v>
      </c>
      <c r="D192" s="53">
        <v>1</v>
      </c>
      <c r="E192" s="52">
        <v>0</v>
      </c>
      <c r="F192" s="52">
        <v>0</v>
      </c>
      <c r="G192" s="52">
        <v>0</v>
      </c>
      <c r="H192" s="52">
        <v>0</v>
      </c>
      <c r="I192" s="52">
        <v>0</v>
      </c>
      <c r="J192" s="52">
        <v>0</v>
      </c>
      <c r="K192" s="52">
        <v>0</v>
      </c>
      <c r="L192" s="52">
        <v>0</v>
      </c>
      <c r="M192" s="154">
        <v>1</v>
      </c>
      <c r="N192" s="52">
        <v>0</v>
      </c>
      <c r="O192" s="52">
        <v>0</v>
      </c>
      <c r="P192" s="52">
        <v>0</v>
      </c>
    </row>
    <row r="193" spans="1:16" s="36" customFormat="1">
      <c r="A193" s="52" t="s">
        <v>3462</v>
      </c>
      <c r="B193" s="52">
        <v>6106</v>
      </c>
      <c r="C193" s="53" t="s">
        <v>3222</v>
      </c>
      <c r="D193" s="53">
        <v>2</v>
      </c>
      <c r="E193" s="52">
        <v>0</v>
      </c>
      <c r="F193" s="52">
        <v>1</v>
      </c>
      <c r="G193" s="52">
        <v>0</v>
      </c>
      <c r="H193" s="52">
        <v>0</v>
      </c>
      <c r="I193" s="52">
        <v>0</v>
      </c>
      <c r="J193" s="52">
        <v>0</v>
      </c>
      <c r="K193" s="52">
        <v>1</v>
      </c>
      <c r="L193" s="52">
        <v>0</v>
      </c>
      <c r="M193" s="52">
        <v>1</v>
      </c>
      <c r="N193" s="52">
        <v>0</v>
      </c>
      <c r="O193" s="52">
        <v>0</v>
      </c>
      <c r="P193" s="52">
        <v>0</v>
      </c>
    </row>
    <row r="194" spans="1:16" s="36" customFormat="1">
      <c r="A194" s="52" t="s">
        <v>123</v>
      </c>
      <c r="B194" s="52">
        <v>6136</v>
      </c>
      <c r="C194" s="53" t="s">
        <v>3229</v>
      </c>
      <c r="D194" s="53">
        <v>1</v>
      </c>
      <c r="E194" s="52">
        <v>0</v>
      </c>
      <c r="F194" s="52">
        <v>0</v>
      </c>
      <c r="G194" s="52">
        <v>0</v>
      </c>
      <c r="H194" s="52">
        <v>0</v>
      </c>
      <c r="I194" s="52">
        <v>0</v>
      </c>
      <c r="J194" s="52">
        <v>0</v>
      </c>
      <c r="K194" s="52">
        <v>0</v>
      </c>
      <c r="L194" s="52">
        <v>0</v>
      </c>
      <c r="M194" s="52">
        <v>0</v>
      </c>
      <c r="N194" s="52">
        <v>0</v>
      </c>
      <c r="O194" s="52">
        <v>0</v>
      </c>
      <c r="P194" s="52">
        <v>0</v>
      </c>
    </row>
    <row r="195" spans="1:16" s="36" customFormat="1">
      <c r="A195" s="52" t="s">
        <v>123</v>
      </c>
      <c r="B195" s="52">
        <v>6136</v>
      </c>
      <c r="C195" s="53" t="s">
        <v>3222</v>
      </c>
      <c r="D195" s="53">
        <v>2</v>
      </c>
      <c r="E195" s="52">
        <v>0</v>
      </c>
      <c r="F195" s="52">
        <v>0</v>
      </c>
      <c r="G195" s="52">
        <v>1</v>
      </c>
      <c r="H195" s="52">
        <v>0</v>
      </c>
      <c r="I195" s="52">
        <v>1</v>
      </c>
      <c r="J195" s="52">
        <v>0</v>
      </c>
      <c r="K195" s="52">
        <v>0</v>
      </c>
      <c r="L195" s="52">
        <v>0</v>
      </c>
      <c r="M195" s="52">
        <v>0</v>
      </c>
      <c r="N195" s="52">
        <v>0</v>
      </c>
      <c r="O195" s="52">
        <v>0</v>
      </c>
      <c r="P195" s="52">
        <v>0</v>
      </c>
    </row>
    <row r="196" spans="1:16" s="36" customFormat="1">
      <c r="A196" s="52" t="s">
        <v>226</v>
      </c>
      <c r="B196" s="52">
        <v>6140</v>
      </c>
      <c r="C196" s="53" t="s">
        <v>3229</v>
      </c>
      <c r="D196" s="53">
        <v>1</v>
      </c>
      <c r="E196" s="52">
        <v>0</v>
      </c>
      <c r="F196" s="52">
        <v>0</v>
      </c>
      <c r="G196" s="52">
        <v>0</v>
      </c>
      <c r="H196" s="52">
        <v>0</v>
      </c>
      <c r="I196" s="52">
        <v>0</v>
      </c>
      <c r="J196" s="52">
        <v>0</v>
      </c>
      <c r="K196" s="52">
        <v>0</v>
      </c>
      <c r="L196" s="52">
        <v>0</v>
      </c>
      <c r="M196" s="52">
        <v>0</v>
      </c>
      <c r="N196" s="52">
        <v>0</v>
      </c>
      <c r="O196" s="52">
        <v>0</v>
      </c>
      <c r="P196" s="52">
        <v>0</v>
      </c>
    </row>
    <row r="197" spans="1:16" s="148" customFormat="1">
      <c r="A197" s="52" t="s">
        <v>226</v>
      </c>
      <c r="B197" s="52">
        <v>6140</v>
      </c>
      <c r="C197" s="53" t="s">
        <v>3222</v>
      </c>
      <c r="D197" s="53">
        <v>2</v>
      </c>
      <c r="E197" s="52">
        <v>0</v>
      </c>
      <c r="F197" s="52">
        <v>0</v>
      </c>
      <c r="G197" s="52">
        <v>1</v>
      </c>
      <c r="H197" s="52">
        <v>1</v>
      </c>
      <c r="I197" s="52">
        <v>0</v>
      </c>
      <c r="J197" s="52">
        <v>0</v>
      </c>
      <c r="K197" s="52">
        <v>1</v>
      </c>
      <c r="L197" s="52">
        <v>0</v>
      </c>
      <c r="M197" s="52">
        <v>0</v>
      </c>
      <c r="N197" s="52">
        <v>1</v>
      </c>
      <c r="O197" s="52">
        <v>0</v>
      </c>
      <c r="P197" s="52">
        <v>0</v>
      </c>
    </row>
    <row r="198" spans="1:16" s="148" customFormat="1">
      <c r="A198" s="52" t="s">
        <v>227</v>
      </c>
      <c r="B198" s="52">
        <v>6152</v>
      </c>
      <c r="C198" s="53" t="s">
        <v>3229</v>
      </c>
      <c r="D198" s="53">
        <v>1</v>
      </c>
      <c r="E198" s="52">
        <v>0</v>
      </c>
      <c r="F198" s="52">
        <v>0</v>
      </c>
      <c r="G198" s="52">
        <v>0</v>
      </c>
      <c r="H198" s="52">
        <v>0</v>
      </c>
      <c r="I198" s="52">
        <v>0</v>
      </c>
      <c r="J198" s="52">
        <v>0</v>
      </c>
      <c r="K198" s="52">
        <v>0</v>
      </c>
      <c r="L198" s="52">
        <v>0</v>
      </c>
      <c r="M198" s="52">
        <v>0</v>
      </c>
      <c r="N198" s="52">
        <v>0</v>
      </c>
      <c r="O198" s="52">
        <v>0</v>
      </c>
      <c r="P198" s="52">
        <v>0</v>
      </c>
    </row>
    <row r="199" spans="1:16" s="148" customFormat="1">
      <c r="A199" s="52" t="s">
        <v>227</v>
      </c>
      <c r="B199" s="52">
        <v>6152</v>
      </c>
      <c r="C199" s="53" t="s">
        <v>3222</v>
      </c>
      <c r="D199" s="53">
        <v>2</v>
      </c>
      <c r="E199" s="52">
        <v>0</v>
      </c>
      <c r="F199" s="52">
        <v>1</v>
      </c>
      <c r="G199" s="52">
        <v>1</v>
      </c>
      <c r="H199" s="52">
        <v>0</v>
      </c>
      <c r="I199" s="52">
        <v>0</v>
      </c>
      <c r="J199" s="52">
        <v>0</v>
      </c>
      <c r="K199" s="52">
        <v>0</v>
      </c>
      <c r="L199" s="52">
        <v>1</v>
      </c>
      <c r="M199" s="52">
        <v>1</v>
      </c>
      <c r="N199" s="52">
        <v>0</v>
      </c>
      <c r="O199" s="52">
        <v>0</v>
      </c>
      <c r="P199" s="52">
        <v>0</v>
      </c>
    </row>
    <row r="200" spans="1:16" s="36" customFormat="1">
      <c r="A200" s="52" t="s">
        <v>1944</v>
      </c>
      <c r="B200" s="52">
        <v>6169</v>
      </c>
      <c r="C200" s="53" t="s">
        <v>3207</v>
      </c>
      <c r="D200" s="53">
        <v>1</v>
      </c>
      <c r="E200" s="52">
        <v>0</v>
      </c>
      <c r="F200" s="52">
        <v>0</v>
      </c>
      <c r="G200" s="52">
        <v>0</v>
      </c>
      <c r="H200" s="52">
        <v>0</v>
      </c>
      <c r="I200" s="52">
        <v>0</v>
      </c>
      <c r="J200" s="52">
        <v>0</v>
      </c>
      <c r="K200" s="52">
        <v>0</v>
      </c>
      <c r="L200" s="52">
        <v>1</v>
      </c>
      <c r="M200" s="52">
        <v>0</v>
      </c>
      <c r="N200" s="52">
        <v>0</v>
      </c>
      <c r="O200" s="52">
        <v>0</v>
      </c>
      <c r="P200" s="52">
        <v>0</v>
      </c>
    </row>
    <row r="201" spans="1:16" s="36" customFormat="1">
      <c r="A201" s="52" t="s">
        <v>1944</v>
      </c>
      <c r="B201" s="52">
        <v>6169</v>
      </c>
      <c r="C201" s="53" t="s">
        <v>3222</v>
      </c>
      <c r="D201" s="53">
        <v>2</v>
      </c>
      <c r="E201" s="52">
        <v>1</v>
      </c>
      <c r="F201" s="52">
        <v>0</v>
      </c>
      <c r="G201" s="52">
        <v>0</v>
      </c>
      <c r="H201" s="52">
        <v>0</v>
      </c>
      <c r="I201" s="52">
        <v>1</v>
      </c>
      <c r="J201" s="52">
        <v>0</v>
      </c>
      <c r="K201" s="52">
        <v>0</v>
      </c>
      <c r="L201" s="52">
        <v>1</v>
      </c>
      <c r="M201" s="52">
        <v>0</v>
      </c>
      <c r="N201" s="52">
        <v>0</v>
      </c>
      <c r="O201" s="52">
        <v>0</v>
      </c>
      <c r="P201" s="52">
        <v>0</v>
      </c>
    </row>
    <row r="202" spans="1:16" s="36" customFormat="1">
      <c r="A202" s="52" t="s">
        <v>228</v>
      </c>
      <c r="B202" s="52">
        <v>6191</v>
      </c>
      <c r="C202" s="53" t="s">
        <v>3463</v>
      </c>
      <c r="D202" s="53">
        <v>1</v>
      </c>
      <c r="E202" s="52">
        <v>0</v>
      </c>
      <c r="F202" s="52">
        <v>0</v>
      </c>
      <c r="G202" s="52">
        <v>0</v>
      </c>
      <c r="H202" s="52">
        <v>0</v>
      </c>
      <c r="I202" s="52">
        <v>0</v>
      </c>
      <c r="J202" s="52">
        <v>0</v>
      </c>
      <c r="K202" s="52">
        <v>0</v>
      </c>
      <c r="L202" s="52">
        <v>1</v>
      </c>
      <c r="M202" s="52">
        <v>0</v>
      </c>
      <c r="N202" s="52">
        <v>0</v>
      </c>
      <c r="O202" s="52">
        <v>0</v>
      </c>
      <c r="P202" s="52">
        <v>0</v>
      </c>
    </row>
    <row r="203" spans="1:16" s="36" customFormat="1">
      <c r="A203" s="52" t="s">
        <v>228</v>
      </c>
      <c r="B203" s="52">
        <v>6191</v>
      </c>
      <c r="C203" s="53" t="s">
        <v>3464</v>
      </c>
      <c r="D203" s="53">
        <v>2</v>
      </c>
      <c r="E203" s="52">
        <v>0</v>
      </c>
      <c r="F203" s="52">
        <v>1</v>
      </c>
      <c r="G203" s="52">
        <v>1</v>
      </c>
      <c r="H203" s="52">
        <v>0</v>
      </c>
      <c r="I203" s="52">
        <v>0</v>
      </c>
      <c r="J203" s="52">
        <v>0</v>
      </c>
      <c r="K203" s="52">
        <v>0</v>
      </c>
      <c r="L203" s="52">
        <v>1</v>
      </c>
      <c r="M203" s="52">
        <v>1</v>
      </c>
      <c r="N203" s="52">
        <v>0</v>
      </c>
      <c r="O203" s="52">
        <v>0</v>
      </c>
      <c r="P203" s="52">
        <v>0</v>
      </c>
    </row>
    <row r="204" spans="1:16" s="36" customFormat="1">
      <c r="A204" s="52" t="s">
        <v>1956</v>
      </c>
      <c r="B204" s="52">
        <v>6205</v>
      </c>
      <c r="C204" s="53" t="s">
        <v>3465</v>
      </c>
      <c r="D204" s="53">
        <v>1</v>
      </c>
      <c r="E204" s="52">
        <v>0</v>
      </c>
      <c r="F204" s="52">
        <v>0</v>
      </c>
      <c r="G204" s="52">
        <v>0</v>
      </c>
      <c r="H204" s="52">
        <v>0</v>
      </c>
      <c r="I204" s="52">
        <v>0</v>
      </c>
      <c r="J204" s="52">
        <v>0</v>
      </c>
      <c r="K204" s="52">
        <v>0</v>
      </c>
      <c r="L204" s="52">
        <v>0</v>
      </c>
      <c r="M204" s="52">
        <v>0</v>
      </c>
      <c r="N204" s="52">
        <v>0</v>
      </c>
      <c r="O204" s="52">
        <v>0</v>
      </c>
      <c r="P204" s="52">
        <v>0</v>
      </c>
    </row>
    <row r="205" spans="1:16" s="36" customFormat="1">
      <c r="A205" s="52" t="s">
        <v>1956</v>
      </c>
      <c r="B205" s="52">
        <v>6205</v>
      </c>
      <c r="C205" s="53" t="s">
        <v>3466</v>
      </c>
      <c r="D205" s="53">
        <v>2</v>
      </c>
      <c r="E205" s="52">
        <v>0</v>
      </c>
      <c r="F205" s="52">
        <v>0</v>
      </c>
      <c r="G205" s="52">
        <v>0</v>
      </c>
      <c r="H205" s="154">
        <v>0</v>
      </c>
      <c r="I205" s="52">
        <v>0</v>
      </c>
      <c r="J205" s="52">
        <v>1</v>
      </c>
      <c r="K205" s="52">
        <v>0</v>
      </c>
      <c r="L205" s="52">
        <v>1</v>
      </c>
      <c r="M205" s="52">
        <v>0</v>
      </c>
      <c r="N205" s="52">
        <v>0</v>
      </c>
      <c r="O205" s="52">
        <v>0</v>
      </c>
      <c r="P205" s="52">
        <v>0</v>
      </c>
    </row>
    <row r="206" spans="1:16" s="36" customFormat="1">
      <c r="A206" s="52" t="s">
        <v>1963</v>
      </c>
      <c r="B206" s="52">
        <v>6230</v>
      </c>
      <c r="C206" s="53" t="s">
        <v>3229</v>
      </c>
      <c r="D206" s="53">
        <v>1</v>
      </c>
      <c r="E206" s="52">
        <v>0</v>
      </c>
      <c r="F206" s="52">
        <v>0</v>
      </c>
      <c r="G206" s="52">
        <v>0</v>
      </c>
      <c r="H206" s="52">
        <v>0</v>
      </c>
      <c r="I206" s="52">
        <v>0</v>
      </c>
      <c r="J206" s="52">
        <v>0</v>
      </c>
      <c r="K206" s="52">
        <v>0</v>
      </c>
      <c r="L206" s="52">
        <v>0</v>
      </c>
      <c r="M206" s="52">
        <v>0</v>
      </c>
      <c r="N206" s="52">
        <v>0</v>
      </c>
      <c r="O206" s="52">
        <v>0</v>
      </c>
      <c r="P206" s="52">
        <v>0</v>
      </c>
    </row>
    <row r="207" spans="1:16" s="36" customFormat="1">
      <c r="A207" s="52" t="s">
        <v>1963</v>
      </c>
      <c r="B207" s="52">
        <v>6230</v>
      </c>
      <c r="C207" s="52" t="s">
        <v>3467</v>
      </c>
      <c r="D207" s="52">
        <v>2</v>
      </c>
      <c r="E207" s="52">
        <v>0</v>
      </c>
      <c r="F207" s="52">
        <v>0</v>
      </c>
      <c r="G207" s="52">
        <v>0</v>
      </c>
      <c r="H207" s="52">
        <v>0</v>
      </c>
      <c r="I207" s="52">
        <v>0</v>
      </c>
      <c r="J207" s="52">
        <v>0</v>
      </c>
      <c r="K207" s="52">
        <v>1</v>
      </c>
      <c r="L207" s="52">
        <v>0</v>
      </c>
      <c r="M207" s="52">
        <v>0</v>
      </c>
      <c r="N207" s="52">
        <v>0</v>
      </c>
      <c r="O207" s="52">
        <v>0</v>
      </c>
      <c r="P207" s="52">
        <v>0</v>
      </c>
    </row>
    <row r="208" spans="1:16" s="36" customFormat="1">
      <c r="A208" s="52" t="s">
        <v>230</v>
      </c>
      <c r="B208" s="52">
        <v>6241</v>
      </c>
      <c r="C208" s="53" t="s">
        <v>3468</v>
      </c>
      <c r="D208" s="53">
        <v>1</v>
      </c>
      <c r="E208" s="52">
        <v>0</v>
      </c>
      <c r="F208" s="52">
        <v>0</v>
      </c>
      <c r="G208" s="52">
        <v>0</v>
      </c>
      <c r="H208" s="52">
        <v>0</v>
      </c>
      <c r="I208" s="52">
        <v>0</v>
      </c>
      <c r="J208" s="52">
        <v>0</v>
      </c>
      <c r="K208" s="52">
        <v>0</v>
      </c>
      <c r="L208" s="52">
        <v>0</v>
      </c>
      <c r="M208" s="52">
        <v>0</v>
      </c>
      <c r="N208" s="52">
        <v>0</v>
      </c>
      <c r="O208" s="52">
        <v>0</v>
      </c>
      <c r="P208" s="52">
        <v>0</v>
      </c>
    </row>
    <row r="209" spans="1:16" s="36" customFormat="1">
      <c r="A209" s="52" t="s">
        <v>230</v>
      </c>
      <c r="B209" s="52">
        <v>6241</v>
      </c>
      <c r="C209" s="53" t="s">
        <v>3469</v>
      </c>
      <c r="D209" s="53">
        <v>2</v>
      </c>
      <c r="E209" s="52">
        <v>0</v>
      </c>
      <c r="F209" s="52">
        <v>1</v>
      </c>
      <c r="G209" s="52">
        <v>1</v>
      </c>
      <c r="H209" s="52">
        <v>0</v>
      </c>
      <c r="I209" s="52">
        <v>0</v>
      </c>
      <c r="J209" s="52">
        <v>0</v>
      </c>
      <c r="K209" s="52">
        <v>0</v>
      </c>
      <c r="L209" s="52">
        <v>1</v>
      </c>
      <c r="M209" s="154">
        <v>1</v>
      </c>
      <c r="N209" s="52">
        <v>0</v>
      </c>
      <c r="O209" s="52">
        <v>0</v>
      </c>
      <c r="P209" s="52">
        <v>0</v>
      </c>
    </row>
    <row r="210" spans="1:16" s="36" customFormat="1">
      <c r="A210" s="52" t="s">
        <v>231</v>
      </c>
      <c r="B210" s="156">
        <v>6253</v>
      </c>
      <c r="C210" s="53" t="s">
        <v>3245</v>
      </c>
      <c r="D210" s="53">
        <v>1</v>
      </c>
      <c r="E210" s="52">
        <v>0</v>
      </c>
      <c r="F210" s="52">
        <v>0</v>
      </c>
      <c r="G210" s="52">
        <v>0</v>
      </c>
      <c r="H210" s="52">
        <v>0</v>
      </c>
      <c r="I210" s="52">
        <v>0</v>
      </c>
      <c r="J210" s="52">
        <v>0</v>
      </c>
      <c r="K210" s="52">
        <v>0</v>
      </c>
      <c r="L210" s="52">
        <v>1</v>
      </c>
      <c r="M210" s="52">
        <v>0</v>
      </c>
      <c r="N210" s="52">
        <v>0</v>
      </c>
      <c r="O210" s="52">
        <v>0</v>
      </c>
      <c r="P210" s="52">
        <v>0</v>
      </c>
    </row>
    <row r="211" spans="1:16" s="36" customFormat="1">
      <c r="A211" s="52" t="s">
        <v>231</v>
      </c>
      <c r="B211" s="156">
        <v>6253</v>
      </c>
      <c r="C211" s="52" t="s">
        <v>3470</v>
      </c>
      <c r="D211" s="52">
        <v>2</v>
      </c>
      <c r="E211" s="52">
        <v>0</v>
      </c>
      <c r="F211" s="52">
        <v>1</v>
      </c>
      <c r="G211" s="43">
        <v>0</v>
      </c>
      <c r="H211" s="52">
        <v>0</v>
      </c>
      <c r="I211" s="52">
        <v>0</v>
      </c>
      <c r="J211" s="52">
        <v>0</v>
      </c>
      <c r="K211" s="52">
        <v>0</v>
      </c>
      <c r="L211" s="52">
        <v>1</v>
      </c>
      <c r="M211" s="52">
        <v>0</v>
      </c>
      <c r="N211" s="52">
        <v>0</v>
      </c>
      <c r="O211" s="52">
        <v>0</v>
      </c>
      <c r="P211" s="52">
        <v>0</v>
      </c>
    </row>
    <row r="212" spans="1:16" s="36" customFormat="1">
      <c r="A212" s="52" t="s">
        <v>231</v>
      </c>
      <c r="B212" s="156">
        <v>6253</v>
      </c>
      <c r="C212" s="52" t="s">
        <v>3471</v>
      </c>
      <c r="D212" s="52">
        <v>3</v>
      </c>
      <c r="E212" s="52">
        <v>0</v>
      </c>
      <c r="F212" s="52">
        <v>1</v>
      </c>
      <c r="G212" s="43">
        <v>0</v>
      </c>
      <c r="H212" s="52">
        <v>0</v>
      </c>
      <c r="I212" s="52">
        <v>0</v>
      </c>
      <c r="J212" s="52">
        <v>0</v>
      </c>
      <c r="K212" s="52">
        <v>0</v>
      </c>
      <c r="L212" s="52">
        <v>1</v>
      </c>
      <c r="M212" s="52">
        <v>0</v>
      </c>
      <c r="N212" s="52">
        <v>0</v>
      </c>
      <c r="O212" s="52">
        <v>0</v>
      </c>
      <c r="P212" s="52">
        <v>0</v>
      </c>
    </row>
    <row r="213" spans="1:16" s="36" customFormat="1">
      <c r="A213" s="52" t="s">
        <v>231</v>
      </c>
      <c r="B213" s="156">
        <v>6253</v>
      </c>
      <c r="C213" s="53" t="s">
        <v>3472</v>
      </c>
      <c r="D213" s="53">
        <v>4</v>
      </c>
      <c r="E213" s="52">
        <v>0</v>
      </c>
      <c r="F213" s="52">
        <v>1</v>
      </c>
      <c r="G213" s="52">
        <v>1</v>
      </c>
      <c r="H213" s="52">
        <v>0</v>
      </c>
      <c r="I213" s="52">
        <v>0</v>
      </c>
      <c r="J213" s="52">
        <v>0</v>
      </c>
      <c r="K213" s="52">
        <v>0</v>
      </c>
      <c r="L213" s="52">
        <v>1</v>
      </c>
      <c r="M213" s="52">
        <v>0</v>
      </c>
      <c r="N213" s="52">
        <v>0</v>
      </c>
      <c r="O213" s="52">
        <v>0</v>
      </c>
      <c r="P213" s="52">
        <v>0</v>
      </c>
    </row>
    <row r="214" spans="1:16" s="36" customFormat="1">
      <c r="A214" s="52" t="s">
        <v>234</v>
      </c>
      <c r="B214" s="52">
        <v>6287</v>
      </c>
      <c r="C214" s="53" t="s">
        <v>3245</v>
      </c>
      <c r="D214" s="53">
        <v>1</v>
      </c>
      <c r="E214" s="52">
        <v>0</v>
      </c>
      <c r="F214" s="52">
        <v>0</v>
      </c>
      <c r="G214" s="52">
        <v>0</v>
      </c>
      <c r="H214" s="52">
        <v>0</v>
      </c>
      <c r="I214" s="52">
        <v>0</v>
      </c>
      <c r="J214" s="52">
        <v>0</v>
      </c>
      <c r="K214" s="52">
        <v>0</v>
      </c>
      <c r="L214" s="52">
        <v>1</v>
      </c>
      <c r="M214" s="52">
        <v>0</v>
      </c>
      <c r="N214" s="52">
        <v>0</v>
      </c>
      <c r="O214" s="52">
        <v>0</v>
      </c>
      <c r="P214" s="52">
        <v>0</v>
      </c>
    </row>
    <row r="215" spans="1:16" s="36" customFormat="1">
      <c r="A215" s="52" t="s">
        <v>234</v>
      </c>
      <c r="B215" s="52">
        <v>6287</v>
      </c>
      <c r="C215" s="53" t="s">
        <v>3222</v>
      </c>
      <c r="D215" s="53">
        <v>2</v>
      </c>
      <c r="E215" s="52">
        <v>0</v>
      </c>
      <c r="F215" s="52">
        <v>1</v>
      </c>
      <c r="G215" s="52">
        <v>1</v>
      </c>
      <c r="H215" s="52">
        <v>0</v>
      </c>
      <c r="I215" s="52">
        <v>0</v>
      </c>
      <c r="J215" s="52">
        <v>0</v>
      </c>
      <c r="K215" s="52">
        <v>0</v>
      </c>
      <c r="L215" s="52">
        <v>1</v>
      </c>
      <c r="M215" s="52">
        <v>1</v>
      </c>
      <c r="N215" s="52">
        <v>0</v>
      </c>
      <c r="O215" s="52">
        <v>0</v>
      </c>
      <c r="P215" s="52">
        <v>0</v>
      </c>
    </row>
    <row r="216" spans="1:16" s="36" customFormat="1">
      <c r="A216" s="52" t="s">
        <v>1985</v>
      </c>
      <c r="B216" s="52">
        <v>6324</v>
      </c>
      <c r="C216" s="53" t="s">
        <v>3473</v>
      </c>
      <c r="D216" s="53">
        <v>1</v>
      </c>
      <c r="E216" s="52">
        <v>0</v>
      </c>
      <c r="F216" s="52">
        <v>0</v>
      </c>
      <c r="G216" s="52">
        <v>0</v>
      </c>
      <c r="H216" s="52">
        <v>0</v>
      </c>
      <c r="I216" s="52">
        <v>0</v>
      </c>
      <c r="J216" s="52">
        <v>0</v>
      </c>
      <c r="K216" s="52">
        <v>0</v>
      </c>
      <c r="L216" s="52">
        <v>0</v>
      </c>
      <c r="M216" s="52">
        <v>0</v>
      </c>
      <c r="N216" s="52">
        <v>0</v>
      </c>
      <c r="O216" s="52">
        <v>0</v>
      </c>
      <c r="P216" s="52">
        <v>0</v>
      </c>
    </row>
    <row r="217" spans="1:16" s="36" customFormat="1">
      <c r="A217" s="52" t="s">
        <v>1985</v>
      </c>
      <c r="B217" s="52">
        <v>6324</v>
      </c>
      <c r="C217" s="53" t="s">
        <v>3424</v>
      </c>
      <c r="D217" s="53">
        <v>2</v>
      </c>
      <c r="E217" s="52">
        <v>0</v>
      </c>
      <c r="F217" s="52">
        <v>0</v>
      </c>
      <c r="G217" s="52">
        <v>0</v>
      </c>
      <c r="H217" s="52">
        <v>0</v>
      </c>
      <c r="I217" s="52">
        <v>1</v>
      </c>
      <c r="J217" s="52">
        <v>0</v>
      </c>
      <c r="K217" s="52">
        <v>0</v>
      </c>
      <c r="L217" s="52">
        <v>0</v>
      </c>
      <c r="M217" s="52">
        <v>0</v>
      </c>
      <c r="N217" s="52">
        <v>0</v>
      </c>
      <c r="O217" s="52">
        <v>0</v>
      </c>
      <c r="P217" s="52">
        <v>0</v>
      </c>
    </row>
    <row r="218" spans="1:16" s="36" customFormat="1" ht="14.25" customHeight="1">
      <c r="A218" s="52" t="s">
        <v>1992</v>
      </c>
      <c r="B218" s="52">
        <v>6326</v>
      </c>
      <c r="C218" s="53" t="s">
        <v>3229</v>
      </c>
      <c r="D218" s="53">
        <v>1</v>
      </c>
      <c r="E218" s="52">
        <v>0</v>
      </c>
      <c r="F218" s="52">
        <v>0</v>
      </c>
      <c r="G218" s="52">
        <v>0</v>
      </c>
      <c r="H218" s="52">
        <v>0</v>
      </c>
      <c r="I218" s="52">
        <v>1</v>
      </c>
      <c r="J218" s="52">
        <v>0</v>
      </c>
      <c r="K218" s="52">
        <v>0</v>
      </c>
      <c r="L218" s="52">
        <v>0</v>
      </c>
      <c r="M218" s="52">
        <v>0</v>
      </c>
      <c r="N218" s="52">
        <v>0</v>
      </c>
      <c r="O218" s="52">
        <v>0</v>
      </c>
      <c r="P218" s="52">
        <v>0</v>
      </c>
    </row>
    <row r="219" spans="1:16" s="36" customFormat="1">
      <c r="A219" s="52" t="s">
        <v>1992</v>
      </c>
      <c r="B219" s="52">
        <v>6326</v>
      </c>
      <c r="C219" s="53" t="s">
        <v>3222</v>
      </c>
      <c r="D219" s="53">
        <v>2</v>
      </c>
      <c r="E219" s="52">
        <v>0</v>
      </c>
      <c r="F219" s="52">
        <v>0</v>
      </c>
      <c r="G219" s="52">
        <v>1</v>
      </c>
      <c r="H219" s="52">
        <v>0</v>
      </c>
      <c r="I219" s="52">
        <v>1</v>
      </c>
      <c r="J219" s="52">
        <v>0</v>
      </c>
      <c r="K219" s="52">
        <v>0</v>
      </c>
      <c r="L219" s="52">
        <v>1</v>
      </c>
      <c r="M219" s="52">
        <v>0</v>
      </c>
      <c r="N219" s="52">
        <v>0</v>
      </c>
      <c r="O219" s="52">
        <v>0</v>
      </c>
      <c r="P219" s="52">
        <v>0</v>
      </c>
    </row>
    <row r="220" spans="1:16" s="36" customFormat="1">
      <c r="A220" s="52" t="s">
        <v>235</v>
      </c>
      <c r="B220" s="52">
        <v>6366</v>
      </c>
      <c r="C220" s="53" t="s">
        <v>3245</v>
      </c>
      <c r="D220" s="53">
        <v>1</v>
      </c>
      <c r="E220" s="52">
        <v>0</v>
      </c>
      <c r="F220" s="52">
        <v>0</v>
      </c>
      <c r="G220" s="52">
        <v>0</v>
      </c>
      <c r="H220" s="52">
        <v>0</v>
      </c>
      <c r="I220" s="52">
        <v>0</v>
      </c>
      <c r="J220" s="52">
        <v>0</v>
      </c>
      <c r="K220" s="52">
        <v>0</v>
      </c>
      <c r="L220" s="52">
        <v>0</v>
      </c>
      <c r="M220" s="52">
        <v>0</v>
      </c>
      <c r="N220" s="52">
        <v>0</v>
      </c>
      <c r="O220" s="52">
        <v>0</v>
      </c>
      <c r="P220" s="52">
        <v>0</v>
      </c>
    </row>
    <row r="221" spans="1:16" s="36" customFormat="1">
      <c r="A221" s="52" t="s">
        <v>235</v>
      </c>
      <c r="B221" s="52">
        <v>6366</v>
      </c>
      <c r="C221" s="53" t="s">
        <v>3474</v>
      </c>
      <c r="D221" s="53">
        <v>2</v>
      </c>
      <c r="E221" s="52">
        <v>0</v>
      </c>
      <c r="F221" s="52">
        <v>1</v>
      </c>
      <c r="G221" s="154">
        <v>0</v>
      </c>
      <c r="H221" s="52">
        <v>0</v>
      </c>
      <c r="I221" s="52">
        <v>0</v>
      </c>
      <c r="J221" s="52">
        <v>0</v>
      </c>
      <c r="K221" s="52">
        <v>0</v>
      </c>
      <c r="L221" s="52">
        <v>1</v>
      </c>
      <c r="M221" s="52">
        <v>1</v>
      </c>
      <c r="N221" s="52">
        <v>0</v>
      </c>
      <c r="O221" s="52">
        <v>0</v>
      </c>
      <c r="P221" s="52">
        <v>0</v>
      </c>
    </row>
    <row r="222" spans="1:16" s="36" customFormat="1">
      <c r="A222" s="52" t="s">
        <v>238</v>
      </c>
      <c r="B222" s="52">
        <v>6407</v>
      </c>
      <c r="C222" s="53" t="s">
        <v>3229</v>
      </c>
      <c r="D222" s="53">
        <v>1</v>
      </c>
      <c r="E222" s="52">
        <v>0</v>
      </c>
      <c r="F222" s="52">
        <v>0</v>
      </c>
      <c r="G222" s="52">
        <v>0</v>
      </c>
      <c r="H222" s="52">
        <v>0</v>
      </c>
      <c r="I222" s="52">
        <v>0</v>
      </c>
      <c r="J222" s="52">
        <v>0</v>
      </c>
      <c r="K222" s="52">
        <v>0</v>
      </c>
      <c r="L222" s="52">
        <v>0</v>
      </c>
      <c r="M222" s="52">
        <v>0</v>
      </c>
      <c r="N222" s="52">
        <v>0</v>
      </c>
      <c r="O222" s="52">
        <v>0</v>
      </c>
      <c r="P222" s="52">
        <v>0</v>
      </c>
    </row>
    <row r="223" spans="1:16" s="36" customFormat="1">
      <c r="A223" s="52" t="s">
        <v>238</v>
      </c>
      <c r="B223" s="52">
        <v>6407</v>
      </c>
      <c r="C223" s="53" t="s">
        <v>3222</v>
      </c>
      <c r="D223" s="53">
        <v>2</v>
      </c>
      <c r="E223" s="52">
        <v>0</v>
      </c>
      <c r="F223" s="52">
        <v>1</v>
      </c>
      <c r="G223" s="52">
        <v>0</v>
      </c>
      <c r="H223" s="52">
        <v>0</v>
      </c>
      <c r="I223" s="52">
        <v>0</v>
      </c>
      <c r="J223" s="52">
        <v>0</v>
      </c>
      <c r="K223" s="52">
        <v>0</v>
      </c>
      <c r="L223" s="52">
        <v>1</v>
      </c>
      <c r="M223" s="52">
        <v>0</v>
      </c>
      <c r="N223" s="52">
        <v>0</v>
      </c>
      <c r="O223" s="52">
        <v>0</v>
      </c>
      <c r="P223" s="52">
        <v>0</v>
      </c>
    </row>
    <row r="224" spans="1:16" s="36" customFormat="1">
      <c r="A224" s="52" t="s">
        <v>239</v>
      </c>
      <c r="B224" s="52">
        <v>6459</v>
      </c>
      <c r="C224" s="53" t="s">
        <v>3397</v>
      </c>
      <c r="D224" s="53">
        <v>1</v>
      </c>
      <c r="E224" s="52">
        <v>0</v>
      </c>
      <c r="F224" s="52">
        <v>0</v>
      </c>
      <c r="G224" s="52">
        <v>0</v>
      </c>
      <c r="H224" s="52">
        <v>0</v>
      </c>
      <c r="I224" s="52">
        <v>0</v>
      </c>
      <c r="J224" s="52">
        <v>0</v>
      </c>
      <c r="K224" s="52">
        <v>0</v>
      </c>
      <c r="L224" s="52">
        <v>0</v>
      </c>
      <c r="M224" s="52">
        <v>0</v>
      </c>
      <c r="N224" s="52">
        <v>0</v>
      </c>
      <c r="O224" s="52">
        <v>0</v>
      </c>
      <c r="P224" s="52">
        <v>0</v>
      </c>
    </row>
    <row r="225" spans="1:16" s="36" customFormat="1">
      <c r="A225" s="52" t="s">
        <v>239</v>
      </c>
      <c r="B225" s="52">
        <v>6459</v>
      </c>
      <c r="C225" s="53" t="s">
        <v>3375</v>
      </c>
      <c r="D225" s="53">
        <v>2</v>
      </c>
      <c r="E225" s="52">
        <v>0</v>
      </c>
      <c r="F225" s="52">
        <v>0</v>
      </c>
      <c r="G225" s="52">
        <v>1</v>
      </c>
      <c r="H225" s="52">
        <v>0</v>
      </c>
      <c r="I225" s="52">
        <v>0</v>
      </c>
      <c r="J225" s="52">
        <v>0</v>
      </c>
      <c r="K225" s="52">
        <v>0</v>
      </c>
      <c r="L225" s="52">
        <v>1</v>
      </c>
      <c r="M225" s="52">
        <v>0</v>
      </c>
      <c r="N225" s="52">
        <v>0</v>
      </c>
      <c r="O225" s="52">
        <v>0</v>
      </c>
      <c r="P225" s="154">
        <v>1</v>
      </c>
    </row>
    <row r="226" spans="1:16" s="36" customFormat="1">
      <c r="A226" s="52" t="s">
        <v>124</v>
      </c>
      <c r="B226" s="52">
        <v>6485</v>
      </c>
      <c r="C226" s="53" t="s">
        <v>3229</v>
      </c>
      <c r="D226" s="53">
        <v>1</v>
      </c>
      <c r="E226" s="52">
        <v>0</v>
      </c>
      <c r="F226" s="52">
        <v>0</v>
      </c>
      <c r="G226" s="52">
        <v>0</v>
      </c>
      <c r="H226" s="52">
        <v>0</v>
      </c>
      <c r="I226" s="52">
        <v>0</v>
      </c>
      <c r="J226" s="52">
        <v>0</v>
      </c>
      <c r="K226" s="52">
        <v>0</v>
      </c>
      <c r="L226" s="52">
        <v>0</v>
      </c>
      <c r="M226" s="52">
        <v>0</v>
      </c>
      <c r="N226" s="52">
        <v>0</v>
      </c>
      <c r="O226" s="52">
        <v>0</v>
      </c>
      <c r="P226" s="52">
        <v>0</v>
      </c>
    </row>
    <row r="227" spans="1:16" s="36" customFormat="1">
      <c r="A227" s="52" t="s">
        <v>124</v>
      </c>
      <c r="B227" s="52">
        <v>6485</v>
      </c>
      <c r="C227" s="53" t="s">
        <v>3222</v>
      </c>
      <c r="D227" s="53">
        <v>2</v>
      </c>
      <c r="E227" s="52">
        <v>0</v>
      </c>
      <c r="F227" s="52">
        <v>1</v>
      </c>
      <c r="G227" s="52">
        <v>0</v>
      </c>
      <c r="H227" s="52">
        <v>0</v>
      </c>
      <c r="I227" s="52">
        <v>1</v>
      </c>
      <c r="J227" s="52">
        <v>0</v>
      </c>
      <c r="K227" s="52">
        <v>0</v>
      </c>
      <c r="L227" s="52">
        <v>1</v>
      </c>
      <c r="M227" s="52">
        <v>1</v>
      </c>
      <c r="N227" s="52">
        <v>0</v>
      </c>
      <c r="O227" s="52">
        <v>0</v>
      </c>
      <c r="P227" s="157">
        <v>1</v>
      </c>
    </row>
    <row r="228" spans="1:16" s="36" customFormat="1">
      <c r="A228" s="52" t="s">
        <v>2018</v>
      </c>
      <c r="B228" s="52">
        <v>6516</v>
      </c>
      <c r="C228" s="53" t="s">
        <v>3245</v>
      </c>
      <c r="D228" s="53">
        <v>1</v>
      </c>
      <c r="E228" s="52">
        <v>0</v>
      </c>
      <c r="F228" s="52">
        <v>0</v>
      </c>
      <c r="G228" s="52">
        <v>0</v>
      </c>
      <c r="H228" s="52">
        <v>0</v>
      </c>
      <c r="I228" s="52">
        <v>0</v>
      </c>
      <c r="J228" s="52">
        <v>0</v>
      </c>
      <c r="K228" s="52">
        <v>0</v>
      </c>
      <c r="L228" s="52">
        <v>1</v>
      </c>
      <c r="M228" s="52">
        <v>0</v>
      </c>
      <c r="N228" s="52">
        <v>0</v>
      </c>
      <c r="O228" s="52">
        <v>0</v>
      </c>
      <c r="P228" s="52">
        <v>0</v>
      </c>
    </row>
    <row r="229" spans="1:16" s="36" customFormat="1">
      <c r="A229" s="52" t="s">
        <v>2018</v>
      </c>
      <c r="B229" s="52">
        <v>6516</v>
      </c>
      <c r="C229" s="53" t="s">
        <v>3222</v>
      </c>
      <c r="D229" s="53">
        <v>2</v>
      </c>
      <c r="E229" s="52">
        <v>0</v>
      </c>
      <c r="F229" s="52">
        <v>1</v>
      </c>
      <c r="G229" s="52">
        <v>1</v>
      </c>
      <c r="H229" s="52">
        <v>0</v>
      </c>
      <c r="I229" s="52">
        <v>1</v>
      </c>
      <c r="J229" s="52">
        <v>0</v>
      </c>
      <c r="K229" s="52">
        <v>0</v>
      </c>
      <c r="L229" s="52">
        <v>1</v>
      </c>
      <c r="M229" s="52">
        <v>0</v>
      </c>
      <c r="N229" s="52">
        <v>0</v>
      </c>
      <c r="O229" s="52">
        <v>0</v>
      </c>
      <c r="P229" s="52">
        <v>0</v>
      </c>
    </row>
    <row r="230" spans="1:16" s="36" customFormat="1">
      <c r="A230" s="52" t="s">
        <v>125</v>
      </c>
      <c r="B230" s="52">
        <v>6534</v>
      </c>
      <c r="C230" s="53" t="s">
        <v>3229</v>
      </c>
      <c r="D230" s="53">
        <v>1</v>
      </c>
      <c r="E230" s="52">
        <v>0</v>
      </c>
      <c r="F230" s="52">
        <v>0</v>
      </c>
      <c r="G230" s="52">
        <v>0</v>
      </c>
      <c r="H230" s="52">
        <v>0</v>
      </c>
      <c r="I230" s="52">
        <v>1</v>
      </c>
      <c r="J230" s="52">
        <v>0</v>
      </c>
      <c r="K230" s="52">
        <v>0</v>
      </c>
      <c r="L230" s="52">
        <v>0</v>
      </c>
      <c r="M230" s="52">
        <v>0</v>
      </c>
      <c r="N230" s="52">
        <v>0</v>
      </c>
      <c r="O230" s="52">
        <v>0</v>
      </c>
      <c r="P230" s="52">
        <v>0</v>
      </c>
    </row>
    <row r="231" spans="1:16" s="36" customFormat="1">
      <c r="A231" s="52" t="s">
        <v>125</v>
      </c>
      <c r="B231" s="52">
        <v>6534</v>
      </c>
      <c r="C231" s="53" t="s">
        <v>3222</v>
      </c>
      <c r="D231" s="53">
        <v>2</v>
      </c>
      <c r="E231" s="52">
        <v>0</v>
      </c>
      <c r="F231" s="52">
        <v>0</v>
      </c>
      <c r="G231" s="52">
        <v>1</v>
      </c>
      <c r="H231" s="52">
        <v>0</v>
      </c>
      <c r="I231" s="52">
        <v>1</v>
      </c>
      <c r="J231" s="52">
        <v>0</v>
      </c>
      <c r="K231" s="52">
        <v>0</v>
      </c>
      <c r="L231" s="52">
        <v>1</v>
      </c>
      <c r="M231" s="52">
        <v>0</v>
      </c>
      <c r="N231" s="52">
        <v>1</v>
      </c>
      <c r="O231" s="52">
        <v>0</v>
      </c>
      <c r="P231" s="52">
        <v>0</v>
      </c>
    </row>
    <row r="232" spans="1:16" s="36" customFormat="1">
      <c r="A232" s="52" t="s">
        <v>3475</v>
      </c>
      <c r="B232" s="156">
        <v>6546</v>
      </c>
      <c r="C232" s="43" t="s">
        <v>3229</v>
      </c>
      <c r="D232" s="53">
        <v>1</v>
      </c>
      <c r="E232" s="52">
        <v>0</v>
      </c>
      <c r="F232" s="52">
        <v>0</v>
      </c>
      <c r="G232" s="52">
        <v>0</v>
      </c>
      <c r="H232" s="52">
        <v>0</v>
      </c>
      <c r="I232" s="52">
        <v>0</v>
      </c>
      <c r="J232" s="52">
        <v>0</v>
      </c>
      <c r="K232" s="52">
        <v>0</v>
      </c>
      <c r="L232" s="52">
        <v>0</v>
      </c>
      <c r="M232" s="52">
        <v>0</v>
      </c>
      <c r="N232" s="52">
        <v>0</v>
      </c>
      <c r="O232" s="52">
        <v>0</v>
      </c>
      <c r="P232" s="52">
        <v>0</v>
      </c>
    </row>
    <row r="233" spans="1:16" s="36" customFormat="1">
      <c r="A233" s="52" t="s">
        <v>3475</v>
      </c>
      <c r="B233" s="156">
        <v>6546</v>
      </c>
      <c r="C233" s="43" t="s">
        <v>3476</v>
      </c>
      <c r="D233" s="53">
        <v>2</v>
      </c>
      <c r="E233" s="52">
        <v>0</v>
      </c>
      <c r="F233" s="52">
        <v>0</v>
      </c>
      <c r="G233" s="52">
        <v>0</v>
      </c>
      <c r="H233" s="52">
        <v>0</v>
      </c>
      <c r="I233" s="52">
        <v>1</v>
      </c>
      <c r="J233" s="52">
        <v>0</v>
      </c>
      <c r="K233" s="52">
        <v>0</v>
      </c>
      <c r="L233" s="52">
        <v>0</v>
      </c>
      <c r="M233" s="52">
        <v>0</v>
      </c>
      <c r="N233" s="52">
        <v>0</v>
      </c>
      <c r="O233" s="52">
        <v>0</v>
      </c>
      <c r="P233" s="52">
        <v>0</v>
      </c>
    </row>
    <row r="234" spans="1:16" s="36" customFormat="1">
      <c r="A234" s="52" t="s">
        <v>3475</v>
      </c>
      <c r="B234" s="156">
        <v>6546</v>
      </c>
      <c r="C234" s="43" t="s">
        <v>3477</v>
      </c>
      <c r="D234" s="53">
        <v>3</v>
      </c>
      <c r="E234" s="52">
        <v>0</v>
      </c>
      <c r="F234" s="52">
        <v>0</v>
      </c>
      <c r="G234" s="52">
        <v>0</v>
      </c>
      <c r="H234" s="52">
        <v>0</v>
      </c>
      <c r="I234" s="52">
        <v>1</v>
      </c>
      <c r="J234" s="52">
        <v>0</v>
      </c>
      <c r="K234" s="52">
        <v>0</v>
      </c>
      <c r="L234" s="52">
        <v>0</v>
      </c>
      <c r="M234" s="52">
        <v>0</v>
      </c>
      <c r="N234" s="52">
        <v>0</v>
      </c>
      <c r="O234" s="52">
        <v>0</v>
      </c>
      <c r="P234" s="52">
        <v>0</v>
      </c>
    </row>
    <row r="235" spans="1:16" s="36" customFormat="1">
      <c r="A235" s="52" t="s">
        <v>240</v>
      </c>
      <c r="B235" s="52">
        <v>6559</v>
      </c>
      <c r="C235" s="53" t="s">
        <v>3229</v>
      </c>
      <c r="D235" s="53">
        <v>1</v>
      </c>
      <c r="E235" s="52">
        <v>0</v>
      </c>
      <c r="F235" s="52">
        <v>0</v>
      </c>
      <c r="G235" s="52">
        <v>0</v>
      </c>
      <c r="H235" s="52">
        <v>0</v>
      </c>
      <c r="I235" s="52">
        <v>0</v>
      </c>
      <c r="J235" s="52">
        <v>0</v>
      </c>
      <c r="K235" s="52">
        <v>0</v>
      </c>
      <c r="L235" s="52">
        <v>0</v>
      </c>
      <c r="M235" s="52">
        <v>0</v>
      </c>
      <c r="N235" s="52">
        <v>0</v>
      </c>
      <c r="O235" s="52">
        <v>0</v>
      </c>
      <c r="P235" s="52">
        <v>0</v>
      </c>
    </row>
    <row r="236" spans="1:16" s="36" customFormat="1">
      <c r="A236" s="52" t="s">
        <v>240</v>
      </c>
      <c r="B236" s="52">
        <v>6559</v>
      </c>
      <c r="C236" s="53" t="s">
        <v>3222</v>
      </c>
      <c r="D236" s="53">
        <v>2</v>
      </c>
      <c r="E236" s="52">
        <v>0</v>
      </c>
      <c r="F236" s="52">
        <v>0</v>
      </c>
      <c r="G236" s="52">
        <v>0</v>
      </c>
      <c r="H236" s="52">
        <v>1</v>
      </c>
      <c r="I236" s="52">
        <v>0</v>
      </c>
      <c r="J236" s="52">
        <v>0</v>
      </c>
      <c r="K236" s="52">
        <v>1</v>
      </c>
      <c r="L236" s="52">
        <v>1</v>
      </c>
      <c r="M236" s="52">
        <v>1</v>
      </c>
      <c r="N236" s="52">
        <v>0</v>
      </c>
      <c r="O236" s="52">
        <v>0</v>
      </c>
      <c r="P236" s="52">
        <v>0</v>
      </c>
    </row>
    <row r="237" spans="1:16" s="36" customFormat="1">
      <c r="A237" s="52" t="s">
        <v>2045</v>
      </c>
      <c r="B237" s="52">
        <v>6563</v>
      </c>
      <c r="C237" s="53" t="s">
        <v>3229</v>
      </c>
      <c r="D237" s="53">
        <v>1</v>
      </c>
      <c r="E237" s="52">
        <v>0</v>
      </c>
      <c r="F237" s="52">
        <v>0</v>
      </c>
      <c r="G237" s="52">
        <v>0</v>
      </c>
      <c r="H237" s="52">
        <v>0</v>
      </c>
      <c r="I237" s="52">
        <v>0</v>
      </c>
      <c r="J237" s="52">
        <v>0</v>
      </c>
      <c r="K237" s="52">
        <v>0</v>
      </c>
      <c r="L237" s="52">
        <v>0</v>
      </c>
      <c r="M237" s="52">
        <v>0</v>
      </c>
      <c r="N237" s="52">
        <v>0</v>
      </c>
      <c r="O237" s="52">
        <v>0</v>
      </c>
      <c r="P237" s="52">
        <v>0</v>
      </c>
    </row>
    <row r="238" spans="1:16" s="36" customFormat="1">
      <c r="A238" s="52" t="s">
        <v>2045</v>
      </c>
      <c r="B238" s="52">
        <v>6563</v>
      </c>
      <c r="C238" s="53" t="s">
        <v>3222</v>
      </c>
      <c r="D238" s="53">
        <v>2</v>
      </c>
      <c r="E238" s="52">
        <v>0</v>
      </c>
      <c r="F238" s="52">
        <v>0</v>
      </c>
      <c r="G238" s="52">
        <v>0</v>
      </c>
      <c r="H238" s="154">
        <v>0</v>
      </c>
      <c r="I238" s="52">
        <v>1</v>
      </c>
      <c r="J238" s="52">
        <v>0</v>
      </c>
      <c r="K238" s="52">
        <v>1</v>
      </c>
      <c r="L238" s="52">
        <v>0</v>
      </c>
      <c r="M238" s="52">
        <v>0</v>
      </c>
      <c r="N238" s="52">
        <v>0</v>
      </c>
      <c r="O238" s="52">
        <v>0</v>
      </c>
      <c r="P238" s="52">
        <v>0</v>
      </c>
    </row>
    <row r="239" spans="1:16" s="36" customFormat="1">
      <c r="A239" s="52" t="s">
        <v>241</v>
      </c>
      <c r="B239" s="52">
        <v>6575</v>
      </c>
      <c r="C239" s="53" t="s">
        <v>3229</v>
      </c>
      <c r="D239" s="53">
        <v>1</v>
      </c>
      <c r="E239" s="52">
        <v>0</v>
      </c>
      <c r="F239" s="52">
        <v>0</v>
      </c>
      <c r="G239" s="52">
        <v>0</v>
      </c>
      <c r="H239" s="52">
        <v>0</v>
      </c>
      <c r="I239" s="52">
        <v>0</v>
      </c>
      <c r="J239" s="52">
        <v>0</v>
      </c>
      <c r="K239" s="52">
        <v>0</v>
      </c>
      <c r="L239" s="52">
        <v>0</v>
      </c>
      <c r="M239" s="52">
        <v>0</v>
      </c>
      <c r="N239" s="52">
        <v>0</v>
      </c>
      <c r="O239" s="52">
        <v>0</v>
      </c>
      <c r="P239" s="52">
        <v>0</v>
      </c>
    </row>
    <row r="240" spans="1:16" s="36" customFormat="1">
      <c r="A240" s="52" t="s">
        <v>241</v>
      </c>
      <c r="B240" s="52">
        <v>6575</v>
      </c>
      <c r="C240" s="53" t="s">
        <v>3222</v>
      </c>
      <c r="D240" s="53">
        <v>2</v>
      </c>
      <c r="E240" s="52">
        <v>0</v>
      </c>
      <c r="F240" s="52">
        <v>1</v>
      </c>
      <c r="G240" s="52">
        <v>1</v>
      </c>
      <c r="H240" s="52">
        <v>0</v>
      </c>
      <c r="I240" s="52">
        <v>0</v>
      </c>
      <c r="J240" s="52">
        <v>0</v>
      </c>
      <c r="K240" s="52">
        <v>0</v>
      </c>
      <c r="L240" s="52">
        <v>1</v>
      </c>
      <c r="M240" s="52">
        <v>1</v>
      </c>
      <c r="N240" s="52">
        <v>1</v>
      </c>
      <c r="O240" s="52">
        <v>0</v>
      </c>
      <c r="P240" s="52">
        <v>0</v>
      </c>
    </row>
    <row r="241" spans="1:16" s="36" customFormat="1">
      <c r="A241" s="52" t="s">
        <v>242</v>
      </c>
      <c r="B241" s="52">
        <v>6605</v>
      </c>
      <c r="C241" s="53" t="s">
        <v>3229</v>
      </c>
      <c r="D241" s="53">
        <v>1</v>
      </c>
      <c r="E241" s="52">
        <v>0</v>
      </c>
      <c r="F241" s="52">
        <v>1</v>
      </c>
      <c r="G241" s="52">
        <v>0</v>
      </c>
      <c r="H241" s="52">
        <v>0</v>
      </c>
      <c r="I241" s="52">
        <v>1</v>
      </c>
      <c r="J241" s="52">
        <v>0</v>
      </c>
      <c r="K241" s="52">
        <v>0</v>
      </c>
      <c r="L241" s="52">
        <v>1</v>
      </c>
      <c r="M241" s="52">
        <v>0</v>
      </c>
      <c r="N241" s="52">
        <v>0</v>
      </c>
      <c r="O241" s="52">
        <v>0</v>
      </c>
      <c r="P241" s="52">
        <v>0</v>
      </c>
    </row>
    <row r="242" spans="1:16" s="148" customFormat="1">
      <c r="A242" s="52" t="s">
        <v>242</v>
      </c>
      <c r="B242" s="52">
        <v>6605</v>
      </c>
      <c r="C242" s="53" t="s">
        <v>3222</v>
      </c>
      <c r="D242" s="53">
        <v>2</v>
      </c>
      <c r="E242" s="52">
        <v>0</v>
      </c>
      <c r="F242" s="52">
        <v>1</v>
      </c>
      <c r="G242" s="52">
        <v>1</v>
      </c>
      <c r="H242" s="52">
        <v>0</v>
      </c>
      <c r="I242" s="52">
        <v>1</v>
      </c>
      <c r="J242" s="52">
        <v>0</v>
      </c>
      <c r="K242" s="52">
        <v>0</v>
      </c>
      <c r="L242" s="52">
        <v>1</v>
      </c>
      <c r="M242" s="52">
        <v>0</v>
      </c>
      <c r="N242" s="52">
        <v>0</v>
      </c>
      <c r="O242" s="52">
        <v>0</v>
      </c>
      <c r="P242" s="52">
        <v>0</v>
      </c>
    </row>
    <row r="243" spans="1:16" s="148" customFormat="1">
      <c r="A243" s="52" t="s">
        <v>243</v>
      </c>
      <c r="B243" s="52">
        <v>7498</v>
      </c>
      <c r="C243" s="53" t="s">
        <v>3478</v>
      </c>
      <c r="D243" s="53">
        <v>1</v>
      </c>
      <c r="E243" s="52">
        <v>0</v>
      </c>
      <c r="F243" s="52">
        <v>0</v>
      </c>
      <c r="G243" s="52">
        <v>0</v>
      </c>
      <c r="H243" s="52">
        <v>1</v>
      </c>
      <c r="I243" s="52">
        <v>0</v>
      </c>
      <c r="J243" s="52">
        <v>0</v>
      </c>
      <c r="K243" s="52">
        <v>0</v>
      </c>
      <c r="L243" s="52">
        <v>0</v>
      </c>
      <c r="M243" s="52">
        <v>0</v>
      </c>
      <c r="N243" s="52">
        <v>1</v>
      </c>
      <c r="O243" s="52">
        <v>0</v>
      </c>
      <c r="P243" s="52">
        <v>0</v>
      </c>
    </row>
    <row r="244" spans="1:16" s="36" customFormat="1">
      <c r="A244" s="52" t="s">
        <v>243</v>
      </c>
      <c r="B244" s="52">
        <v>7498</v>
      </c>
      <c r="C244" s="53" t="s">
        <v>3479</v>
      </c>
      <c r="D244" s="53">
        <v>2</v>
      </c>
      <c r="E244" s="52">
        <v>0</v>
      </c>
      <c r="F244" s="52">
        <v>0</v>
      </c>
      <c r="G244" s="52">
        <v>0</v>
      </c>
      <c r="H244" s="52">
        <v>1</v>
      </c>
      <c r="I244" s="52">
        <v>1</v>
      </c>
      <c r="J244" s="52">
        <v>1</v>
      </c>
      <c r="K244" s="52">
        <v>0</v>
      </c>
      <c r="L244" s="52">
        <v>0</v>
      </c>
      <c r="M244" s="52">
        <v>0</v>
      </c>
      <c r="N244" s="52">
        <v>1</v>
      </c>
      <c r="O244" s="52">
        <v>0</v>
      </c>
      <c r="P244" s="52">
        <v>0</v>
      </c>
    </row>
    <row r="245" spans="1:16" s="36" customFormat="1">
      <c r="A245" s="52" t="s">
        <v>127</v>
      </c>
      <c r="B245" s="52">
        <v>7500</v>
      </c>
      <c r="C245" s="53" t="s">
        <v>3229</v>
      </c>
      <c r="D245" s="53">
        <v>1</v>
      </c>
      <c r="E245" s="52">
        <v>1</v>
      </c>
      <c r="F245" s="52">
        <v>0</v>
      </c>
      <c r="G245" s="52">
        <v>0</v>
      </c>
      <c r="H245" s="154">
        <v>1</v>
      </c>
      <c r="I245" s="52">
        <v>0</v>
      </c>
      <c r="J245" s="52">
        <v>0</v>
      </c>
      <c r="K245" s="52">
        <v>0</v>
      </c>
      <c r="L245" s="52">
        <v>0</v>
      </c>
      <c r="M245" s="52">
        <v>0</v>
      </c>
      <c r="N245" s="52">
        <v>0</v>
      </c>
      <c r="O245" s="52">
        <v>0</v>
      </c>
      <c r="P245" s="52">
        <v>0</v>
      </c>
    </row>
    <row r="246" spans="1:16" s="36" customFormat="1">
      <c r="A246" s="52" t="s">
        <v>127</v>
      </c>
      <c r="B246" s="52">
        <v>7500</v>
      </c>
      <c r="C246" s="53" t="s">
        <v>3222</v>
      </c>
      <c r="D246" s="53">
        <v>2</v>
      </c>
      <c r="E246" s="52">
        <v>1</v>
      </c>
      <c r="F246" s="52">
        <v>0</v>
      </c>
      <c r="G246" s="52">
        <v>0</v>
      </c>
      <c r="H246" s="52">
        <v>1</v>
      </c>
      <c r="I246" s="52">
        <v>0</v>
      </c>
      <c r="J246" s="52">
        <v>1</v>
      </c>
      <c r="K246" s="52">
        <v>0</v>
      </c>
      <c r="L246" s="52">
        <v>0</v>
      </c>
      <c r="M246" s="52">
        <v>0</v>
      </c>
      <c r="N246" s="52">
        <v>1</v>
      </c>
      <c r="O246" s="52">
        <v>0</v>
      </c>
      <c r="P246" s="52">
        <v>0</v>
      </c>
    </row>
    <row r="247" spans="1:16" s="36" customFormat="1">
      <c r="A247" s="52" t="s">
        <v>131</v>
      </c>
      <c r="B247" s="156">
        <v>7503</v>
      </c>
      <c r="C247" s="53" t="s">
        <v>3229</v>
      </c>
      <c r="D247" s="53">
        <v>1</v>
      </c>
      <c r="E247" s="52">
        <v>0</v>
      </c>
      <c r="F247" s="52">
        <v>0</v>
      </c>
      <c r="G247" s="52">
        <v>0</v>
      </c>
      <c r="H247" s="52">
        <v>0</v>
      </c>
      <c r="I247" s="52">
        <v>0</v>
      </c>
      <c r="J247" s="52">
        <v>0</v>
      </c>
      <c r="K247" s="52">
        <v>0</v>
      </c>
      <c r="L247" s="52">
        <v>0</v>
      </c>
      <c r="M247" s="52">
        <v>0</v>
      </c>
      <c r="N247" s="52">
        <v>0</v>
      </c>
      <c r="O247" s="52">
        <v>0</v>
      </c>
      <c r="P247" s="52">
        <v>0</v>
      </c>
    </row>
    <row r="248" spans="1:16" s="36" customFormat="1">
      <c r="A248" s="52" t="s">
        <v>131</v>
      </c>
      <c r="B248" s="156">
        <v>7503</v>
      </c>
      <c r="C248" s="53" t="s">
        <v>3480</v>
      </c>
      <c r="D248" s="53">
        <v>2</v>
      </c>
      <c r="E248" s="52">
        <v>0</v>
      </c>
      <c r="F248" s="52">
        <v>0</v>
      </c>
      <c r="G248" s="52">
        <v>0</v>
      </c>
      <c r="H248" s="52">
        <v>0</v>
      </c>
      <c r="I248" s="52">
        <v>0</v>
      </c>
      <c r="J248" s="52">
        <v>0</v>
      </c>
      <c r="K248" s="52">
        <v>0</v>
      </c>
      <c r="L248" s="52">
        <v>1</v>
      </c>
      <c r="M248" s="52">
        <v>0</v>
      </c>
      <c r="N248" s="52">
        <v>1</v>
      </c>
      <c r="O248" s="52">
        <v>0</v>
      </c>
      <c r="P248" s="52">
        <v>0</v>
      </c>
    </row>
    <row r="249" spans="1:16" s="36" customFormat="1">
      <c r="A249" s="52" t="s">
        <v>131</v>
      </c>
      <c r="B249" s="156">
        <v>7503</v>
      </c>
      <c r="C249" s="53" t="s">
        <v>3481</v>
      </c>
      <c r="D249" s="53">
        <v>3</v>
      </c>
      <c r="E249" s="52">
        <v>1</v>
      </c>
      <c r="F249" s="52">
        <v>0</v>
      </c>
      <c r="G249" s="52">
        <v>0</v>
      </c>
      <c r="H249" s="52">
        <v>0</v>
      </c>
      <c r="I249" s="52">
        <v>0</v>
      </c>
      <c r="J249" s="52">
        <v>1</v>
      </c>
      <c r="K249" s="52">
        <v>0</v>
      </c>
      <c r="L249" s="52">
        <v>0</v>
      </c>
      <c r="M249" s="52">
        <v>0</v>
      </c>
      <c r="N249" s="52">
        <v>0</v>
      </c>
      <c r="O249" s="52">
        <v>0</v>
      </c>
      <c r="P249" s="52">
        <v>0</v>
      </c>
    </row>
    <row r="250" spans="1:16" s="36" customFormat="1">
      <c r="A250" s="52" t="s">
        <v>131</v>
      </c>
      <c r="B250" s="156">
        <v>7503</v>
      </c>
      <c r="C250" s="53" t="s">
        <v>3482</v>
      </c>
      <c r="D250" s="53">
        <v>4</v>
      </c>
      <c r="E250" s="52">
        <v>1</v>
      </c>
      <c r="F250" s="52">
        <v>0</v>
      </c>
      <c r="G250" s="52">
        <v>0</v>
      </c>
      <c r="H250" s="52">
        <v>0</v>
      </c>
      <c r="I250" s="52">
        <v>0</v>
      </c>
      <c r="J250" s="52">
        <v>1</v>
      </c>
      <c r="K250" s="52">
        <v>0</v>
      </c>
      <c r="L250" s="52">
        <v>1</v>
      </c>
      <c r="M250" s="52">
        <v>0</v>
      </c>
      <c r="N250" s="52">
        <v>1</v>
      </c>
      <c r="O250" s="52">
        <v>0</v>
      </c>
      <c r="P250" s="52">
        <v>0</v>
      </c>
    </row>
    <row r="251" spans="1:16" s="36" customFormat="1">
      <c r="A251" s="52" t="s">
        <v>2282</v>
      </c>
      <c r="B251" s="52">
        <v>8004</v>
      </c>
      <c r="C251" s="53" t="s">
        <v>3483</v>
      </c>
      <c r="D251" s="53">
        <v>1</v>
      </c>
      <c r="E251" s="52">
        <v>1</v>
      </c>
      <c r="F251" s="52">
        <v>0</v>
      </c>
      <c r="G251" s="52">
        <v>0</v>
      </c>
      <c r="H251" s="52">
        <v>0</v>
      </c>
      <c r="I251" s="52">
        <v>1</v>
      </c>
      <c r="J251" s="52">
        <v>0</v>
      </c>
      <c r="K251" s="52">
        <v>0</v>
      </c>
      <c r="L251" s="52">
        <v>1</v>
      </c>
      <c r="M251" s="52">
        <v>0</v>
      </c>
      <c r="N251" s="52">
        <v>0</v>
      </c>
      <c r="O251" s="52">
        <v>0</v>
      </c>
      <c r="P251" s="154">
        <v>0</v>
      </c>
    </row>
    <row r="252" spans="1:16" s="36" customFormat="1">
      <c r="A252" s="52" t="s">
        <v>2282</v>
      </c>
      <c r="B252" s="52">
        <v>8004</v>
      </c>
      <c r="C252" s="53" t="s">
        <v>3484</v>
      </c>
      <c r="D252" s="53">
        <v>2</v>
      </c>
      <c r="E252" s="52">
        <v>1</v>
      </c>
      <c r="F252" s="52">
        <v>0</v>
      </c>
      <c r="G252" s="52">
        <v>1</v>
      </c>
      <c r="H252" s="52">
        <v>0</v>
      </c>
      <c r="I252" s="52">
        <v>1</v>
      </c>
      <c r="J252" s="52">
        <v>1</v>
      </c>
      <c r="K252" s="52">
        <v>0</v>
      </c>
      <c r="L252" s="52">
        <v>1</v>
      </c>
      <c r="M252" s="52">
        <v>1</v>
      </c>
      <c r="N252" s="52">
        <v>0</v>
      </c>
      <c r="O252" s="52">
        <v>0</v>
      </c>
      <c r="P252" s="154">
        <v>0</v>
      </c>
    </row>
    <row r="253" spans="1:16" s="36" customFormat="1">
      <c r="A253" s="52" t="s">
        <v>245</v>
      </c>
      <c r="B253" s="52">
        <v>8008</v>
      </c>
      <c r="C253" s="53" t="s">
        <v>3229</v>
      </c>
      <c r="D253" s="53">
        <v>1</v>
      </c>
      <c r="E253" s="52">
        <v>0</v>
      </c>
      <c r="F253" s="52">
        <v>0</v>
      </c>
      <c r="G253" s="52">
        <v>0</v>
      </c>
      <c r="H253" s="52">
        <v>0</v>
      </c>
      <c r="I253" s="52">
        <v>0</v>
      </c>
      <c r="J253" s="52">
        <v>0</v>
      </c>
      <c r="K253" s="52">
        <v>0</v>
      </c>
      <c r="L253" s="52">
        <v>0</v>
      </c>
      <c r="M253" s="52">
        <v>0</v>
      </c>
      <c r="N253" s="52">
        <v>0</v>
      </c>
      <c r="O253" s="52">
        <v>0</v>
      </c>
      <c r="P253" s="52">
        <v>0</v>
      </c>
    </row>
    <row r="254" spans="1:16" s="36" customFormat="1">
      <c r="A254" s="52" t="s">
        <v>245</v>
      </c>
      <c r="B254" s="52">
        <v>8008</v>
      </c>
      <c r="C254" s="53" t="s">
        <v>3222</v>
      </c>
      <c r="D254" s="53">
        <v>2</v>
      </c>
      <c r="E254" s="52">
        <v>0</v>
      </c>
      <c r="F254" s="52">
        <v>1</v>
      </c>
      <c r="G254" s="52">
        <v>1</v>
      </c>
      <c r="H254" s="52">
        <v>0</v>
      </c>
      <c r="I254" s="52">
        <v>0</v>
      </c>
      <c r="J254" s="52">
        <v>0</v>
      </c>
      <c r="K254" s="52">
        <v>0</v>
      </c>
      <c r="L254" s="52">
        <v>1</v>
      </c>
      <c r="M254" s="154">
        <v>1</v>
      </c>
      <c r="N254" s="52">
        <v>0</v>
      </c>
      <c r="O254" s="52">
        <v>0</v>
      </c>
      <c r="P254" s="52">
        <v>0</v>
      </c>
    </row>
    <row r="255" spans="1:16" s="36" customFormat="1">
      <c r="A255" s="52" t="s">
        <v>247</v>
      </c>
      <c r="B255" s="52">
        <v>8014</v>
      </c>
      <c r="C255" s="53" t="s">
        <v>3245</v>
      </c>
      <c r="D255" s="53">
        <v>1</v>
      </c>
      <c r="E255" s="52">
        <v>0</v>
      </c>
      <c r="F255" s="52">
        <v>0</v>
      </c>
      <c r="G255" s="52">
        <v>0</v>
      </c>
      <c r="H255" s="52">
        <v>0</v>
      </c>
      <c r="I255" s="52">
        <v>0</v>
      </c>
      <c r="J255" s="52">
        <v>0</v>
      </c>
      <c r="K255" s="52">
        <v>0</v>
      </c>
      <c r="L255" s="52">
        <v>0</v>
      </c>
      <c r="M255" s="52">
        <v>0</v>
      </c>
      <c r="N255" s="52">
        <v>0</v>
      </c>
      <c r="O255" s="52">
        <v>0</v>
      </c>
      <c r="P255" s="52">
        <v>0</v>
      </c>
    </row>
    <row r="256" spans="1:16" s="36" customFormat="1">
      <c r="A256" s="52" t="s">
        <v>247</v>
      </c>
      <c r="B256" s="52">
        <v>8014</v>
      </c>
      <c r="C256" s="53" t="s">
        <v>3485</v>
      </c>
      <c r="D256" s="53">
        <v>2</v>
      </c>
      <c r="E256" s="52">
        <v>0</v>
      </c>
      <c r="F256" s="52">
        <v>0</v>
      </c>
      <c r="G256" s="52">
        <v>1</v>
      </c>
      <c r="H256" s="52">
        <v>0</v>
      </c>
      <c r="I256" s="52">
        <v>0</v>
      </c>
      <c r="J256" s="52">
        <v>0</v>
      </c>
      <c r="K256" s="52">
        <v>0</v>
      </c>
      <c r="L256" s="52">
        <v>1</v>
      </c>
      <c r="M256" s="154">
        <v>1</v>
      </c>
      <c r="N256" s="52">
        <v>0</v>
      </c>
      <c r="O256" s="52">
        <v>0</v>
      </c>
      <c r="P256" s="52">
        <v>0</v>
      </c>
    </row>
    <row r="257" spans="1:16" s="36" customFormat="1">
      <c r="A257" s="52" t="s">
        <v>249</v>
      </c>
      <c r="B257" s="52">
        <v>8019</v>
      </c>
      <c r="C257" s="53" t="s">
        <v>3486</v>
      </c>
      <c r="D257" s="53">
        <v>1</v>
      </c>
      <c r="E257" s="52">
        <v>0</v>
      </c>
      <c r="F257" s="52">
        <v>1</v>
      </c>
      <c r="G257" s="52">
        <v>0</v>
      </c>
      <c r="H257" s="52">
        <v>0</v>
      </c>
      <c r="I257" s="52">
        <v>0</v>
      </c>
      <c r="J257" s="52">
        <v>0</v>
      </c>
      <c r="K257" s="52">
        <v>0</v>
      </c>
      <c r="L257" s="52">
        <v>1</v>
      </c>
      <c r="M257" s="154">
        <v>1</v>
      </c>
      <c r="N257" s="52">
        <v>0</v>
      </c>
      <c r="O257" s="52">
        <v>0</v>
      </c>
      <c r="P257" s="52">
        <v>0</v>
      </c>
    </row>
    <row r="258" spans="1:16" s="36" customFormat="1">
      <c r="A258" s="52" t="s">
        <v>249</v>
      </c>
      <c r="B258" s="52">
        <v>8019</v>
      </c>
      <c r="C258" s="53" t="s">
        <v>3487</v>
      </c>
      <c r="D258" s="53">
        <v>2</v>
      </c>
      <c r="E258" s="52">
        <v>0</v>
      </c>
      <c r="F258" s="52">
        <v>1</v>
      </c>
      <c r="G258" s="52">
        <v>1</v>
      </c>
      <c r="H258" s="52">
        <v>0</v>
      </c>
      <c r="I258" s="52">
        <v>0</v>
      </c>
      <c r="J258" s="52">
        <v>0</v>
      </c>
      <c r="K258" s="52">
        <v>1</v>
      </c>
      <c r="L258" s="52">
        <v>1</v>
      </c>
      <c r="M258" s="52">
        <v>1</v>
      </c>
      <c r="N258" s="154">
        <v>1</v>
      </c>
      <c r="O258" s="52">
        <v>0</v>
      </c>
      <c r="P258" s="52">
        <v>0</v>
      </c>
    </row>
    <row r="259" spans="1:16" s="36" customFormat="1">
      <c r="A259" s="52" t="s">
        <v>250</v>
      </c>
      <c r="B259" s="52">
        <v>8079</v>
      </c>
      <c r="C259" s="53" t="s">
        <v>3229</v>
      </c>
      <c r="D259" s="53">
        <v>1</v>
      </c>
      <c r="E259" s="52">
        <v>0</v>
      </c>
      <c r="F259" s="52">
        <v>0</v>
      </c>
      <c r="G259" s="52">
        <v>0</v>
      </c>
      <c r="H259" s="52">
        <v>0</v>
      </c>
      <c r="I259" s="52">
        <v>0</v>
      </c>
      <c r="J259" s="52">
        <v>0</v>
      </c>
      <c r="K259" s="52">
        <v>0</v>
      </c>
      <c r="L259" s="52">
        <v>0</v>
      </c>
      <c r="M259" s="52">
        <v>0</v>
      </c>
      <c r="N259" s="52">
        <v>0</v>
      </c>
      <c r="O259" s="52">
        <v>0</v>
      </c>
      <c r="P259" s="52">
        <v>0</v>
      </c>
    </row>
    <row r="260" spans="1:16" s="36" customFormat="1">
      <c r="A260" s="52" t="s">
        <v>250</v>
      </c>
      <c r="B260" s="52">
        <v>8079</v>
      </c>
      <c r="C260" s="53" t="s">
        <v>3222</v>
      </c>
      <c r="D260" s="53">
        <v>2</v>
      </c>
      <c r="E260" s="52">
        <v>0</v>
      </c>
      <c r="F260" s="52">
        <v>0</v>
      </c>
      <c r="G260" s="52">
        <v>0</v>
      </c>
      <c r="H260" s="52">
        <v>1</v>
      </c>
      <c r="I260" s="52">
        <v>0</v>
      </c>
      <c r="J260" s="52">
        <v>0</v>
      </c>
      <c r="K260" s="52">
        <v>1</v>
      </c>
      <c r="L260" s="52">
        <v>1</v>
      </c>
      <c r="M260" s="52">
        <v>1</v>
      </c>
      <c r="N260" s="52">
        <v>1</v>
      </c>
      <c r="O260" s="52">
        <v>0</v>
      </c>
      <c r="P260" s="52">
        <v>0</v>
      </c>
    </row>
    <row r="261" spans="1:16" s="36" customFormat="1">
      <c r="A261" s="52" t="s">
        <v>251</v>
      </c>
      <c r="B261" s="52">
        <v>8081</v>
      </c>
      <c r="C261" s="53" t="s">
        <v>3229</v>
      </c>
      <c r="D261" s="53">
        <v>1</v>
      </c>
      <c r="E261" s="52">
        <v>0</v>
      </c>
      <c r="F261" s="52">
        <v>0</v>
      </c>
      <c r="G261" s="52">
        <v>0</v>
      </c>
      <c r="H261" s="52">
        <v>0</v>
      </c>
      <c r="I261" s="52">
        <v>0</v>
      </c>
      <c r="J261" s="52">
        <v>0</v>
      </c>
      <c r="K261" s="52">
        <v>0</v>
      </c>
      <c r="L261" s="52">
        <v>0</v>
      </c>
      <c r="M261" s="52">
        <v>0</v>
      </c>
      <c r="N261" s="52">
        <v>0</v>
      </c>
      <c r="O261" s="52">
        <v>0</v>
      </c>
      <c r="P261" s="52">
        <v>0</v>
      </c>
    </row>
    <row r="262" spans="1:16" s="36" customFormat="1">
      <c r="A262" s="52" t="s">
        <v>251</v>
      </c>
      <c r="B262" s="52">
        <v>8081</v>
      </c>
      <c r="C262" s="53" t="s">
        <v>3222</v>
      </c>
      <c r="D262" s="53">
        <v>2</v>
      </c>
      <c r="E262" s="52">
        <v>0</v>
      </c>
      <c r="F262" s="52">
        <v>1</v>
      </c>
      <c r="G262" s="52">
        <v>0</v>
      </c>
      <c r="H262" s="154">
        <v>1</v>
      </c>
      <c r="I262" s="52">
        <v>0</v>
      </c>
      <c r="J262" s="52">
        <v>0</v>
      </c>
      <c r="K262" s="52">
        <v>0</v>
      </c>
      <c r="L262" s="52">
        <v>1</v>
      </c>
      <c r="M262" s="52">
        <v>1</v>
      </c>
      <c r="N262" s="52">
        <v>0</v>
      </c>
      <c r="O262" s="52">
        <v>0</v>
      </c>
      <c r="P262" s="52">
        <v>0</v>
      </c>
    </row>
    <row r="263" spans="1:16" s="36" customFormat="1">
      <c r="A263" s="52" t="s">
        <v>252</v>
      </c>
      <c r="B263" s="52">
        <v>8131</v>
      </c>
      <c r="C263" s="53" t="s">
        <v>3397</v>
      </c>
      <c r="D263" s="53">
        <v>1</v>
      </c>
      <c r="E263" s="52">
        <v>0</v>
      </c>
      <c r="F263" s="52">
        <v>0</v>
      </c>
      <c r="G263" s="52">
        <v>0</v>
      </c>
      <c r="H263" s="52">
        <v>0</v>
      </c>
      <c r="I263" s="52">
        <v>0</v>
      </c>
      <c r="J263" s="52">
        <v>0</v>
      </c>
      <c r="K263" s="52">
        <v>0</v>
      </c>
      <c r="L263" s="154">
        <v>1</v>
      </c>
      <c r="M263" s="52">
        <v>0</v>
      </c>
      <c r="N263" s="52">
        <v>0</v>
      </c>
      <c r="O263" s="52">
        <v>0</v>
      </c>
      <c r="P263" s="52">
        <v>0</v>
      </c>
    </row>
    <row r="264" spans="1:16" s="36" customFormat="1">
      <c r="A264" s="52" t="s">
        <v>252</v>
      </c>
      <c r="B264" s="52">
        <v>8131</v>
      </c>
      <c r="C264" s="53" t="s">
        <v>3488</v>
      </c>
      <c r="D264" s="53">
        <v>2</v>
      </c>
      <c r="E264" s="52">
        <v>0</v>
      </c>
      <c r="F264" s="52">
        <v>1</v>
      </c>
      <c r="G264" s="52">
        <v>1</v>
      </c>
      <c r="H264" s="52">
        <v>0</v>
      </c>
      <c r="I264" s="52">
        <v>0</v>
      </c>
      <c r="J264" s="52">
        <v>0</v>
      </c>
      <c r="K264" s="52">
        <v>0</v>
      </c>
      <c r="L264" s="154">
        <v>1</v>
      </c>
      <c r="M264" s="52">
        <v>0</v>
      </c>
      <c r="N264" s="52">
        <v>0</v>
      </c>
      <c r="O264" s="52">
        <v>0</v>
      </c>
      <c r="P264" s="52">
        <v>0</v>
      </c>
    </row>
    <row r="265" spans="1:16" s="36" customFormat="1">
      <c r="A265" s="52" t="s">
        <v>253</v>
      </c>
      <c r="B265" s="52">
        <v>8144</v>
      </c>
      <c r="C265" s="53" t="s">
        <v>3489</v>
      </c>
      <c r="D265" s="53">
        <v>1</v>
      </c>
      <c r="E265" s="52">
        <v>0</v>
      </c>
      <c r="F265" s="52">
        <v>1</v>
      </c>
      <c r="G265" s="52">
        <v>0</v>
      </c>
      <c r="H265" s="52">
        <v>0</v>
      </c>
      <c r="I265" s="52">
        <v>0</v>
      </c>
      <c r="J265" s="52">
        <v>0</v>
      </c>
      <c r="K265" s="52">
        <v>0</v>
      </c>
      <c r="L265" s="52">
        <v>1</v>
      </c>
      <c r="M265" s="52">
        <v>0</v>
      </c>
      <c r="N265" s="52">
        <v>1</v>
      </c>
      <c r="O265" s="52">
        <v>0</v>
      </c>
      <c r="P265" s="52">
        <v>0</v>
      </c>
    </row>
    <row r="266" spans="1:16" s="36" customFormat="1">
      <c r="A266" s="52" t="s">
        <v>253</v>
      </c>
      <c r="B266" s="52">
        <v>8144</v>
      </c>
      <c r="C266" s="53" t="s">
        <v>3490</v>
      </c>
      <c r="D266" s="53">
        <v>2</v>
      </c>
      <c r="E266" s="52">
        <v>0</v>
      </c>
      <c r="F266" s="52">
        <v>1</v>
      </c>
      <c r="G266" s="52">
        <v>1</v>
      </c>
      <c r="H266" s="52">
        <v>0</v>
      </c>
      <c r="I266" s="52">
        <v>0</v>
      </c>
      <c r="J266" s="154">
        <v>1</v>
      </c>
      <c r="K266" s="52">
        <v>0</v>
      </c>
      <c r="L266" s="52">
        <v>1</v>
      </c>
      <c r="M266" s="154">
        <v>1</v>
      </c>
      <c r="N266" s="52">
        <v>0</v>
      </c>
      <c r="O266" s="52">
        <v>0</v>
      </c>
      <c r="P266" s="52">
        <v>0</v>
      </c>
    </row>
    <row r="267" spans="1:16" s="36" customFormat="1">
      <c r="A267" s="52" t="s">
        <v>254</v>
      </c>
      <c r="B267" s="52">
        <v>8164</v>
      </c>
      <c r="C267" s="53" t="s">
        <v>3229</v>
      </c>
      <c r="D267" s="53">
        <v>1</v>
      </c>
      <c r="E267" s="52">
        <v>0</v>
      </c>
      <c r="F267" s="52">
        <v>0</v>
      </c>
      <c r="G267" s="52">
        <v>0</v>
      </c>
      <c r="H267" s="52">
        <v>0</v>
      </c>
      <c r="I267" s="52">
        <v>0</v>
      </c>
      <c r="J267" s="52">
        <v>0</v>
      </c>
      <c r="K267" s="52">
        <v>0</v>
      </c>
      <c r="L267" s="154">
        <v>1</v>
      </c>
      <c r="M267" s="52">
        <v>0</v>
      </c>
      <c r="N267" s="52">
        <v>0</v>
      </c>
      <c r="O267" s="52">
        <v>0</v>
      </c>
      <c r="P267" s="52">
        <v>0</v>
      </c>
    </row>
    <row r="268" spans="1:16" s="36" customFormat="1">
      <c r="A268" s="52" t="s">
        <v>254</v>
      </c>
      <c r="B268" s="52">
        <v>8164</v>
      </c>
      <c r="C268" s="53" t="s">
        <v>3491</v>
      </c>
      <c r="D268" s="53">
        <v>2</v>
      </c>
      <c r="E268" s="52">
        <v>0</v>
      </c>
      <c r="F268" s="52">
        <v>0</v>
      </c>
      <c r="G268" s="52">
        <v>0</v>
      </c>
      <c r="H268" s="154">
        <v>0</v>
      </c>
      <c r="I268" s="52">
        <v>0</v>
      </c>
      <c r="J268" s="52">
        <v>0</v>
      </c>
      <c r="K268" s="52">
        <v>1</v>
      </c>
      <c r="L268" s="154">
        <v>1</v>
      </c>
      <c r="M268" s="52">
        <v>1</v>
      </c>
      <c r="N268" s="52">
        <v>0</v>
      </c>
      <c r="O268" s="52">
        <v>0</v>
      </c>
      <c r="P268" s="52">
        <v>0</v>
      </c>
    </row>
    <row r="269" spans="1:16" s="36" customFormat="1">
      <c r="A269" s="52" t="s">
        <v>3492</v>
      </c>
      <c r="B269" s="52">
        <v>8196</v>
      </c>
      <c r="C269" s="53" t="s">
        <v>3245</v>
      </c>
      <c r="D269" s="53">
        <v>1</v>
      </c>
      <c r="E269" s="52">
        <v>0</v>
      </c>
      <c r="F269" s="52">
        <v>0</v>
      </c>
      <c r="G269" s="52">
        <v>0</v>
      </c>
      <c r="H269" s="52">
        <v>0</v>
      </c>
      <c r="I269" s="52">
        <v>0</v>
      </c>
      <c r="J269" s="52">
        <v>0</v>
      </c>
      <c r="K269" s="52">
        <v>0</v>
      </c>
      <c r="L269" s="52">
        <v>0</v>
      </c>
      <c r="M269" s="52">
        <v>0</v>
      </c>
      <c r="N269" s="52">
        <v>0</v>
      </c>
      <c r="O269" s="52">
        <v>0</v>
      </c>
      <c r="P269" s="52">
        <v>0</v>
      </c>
    </row>
    <row r="270" spans="1:16" s="36" customFormat="1">
      <c r="A270" s="52" t="s">
        <v>3492</v>
      </c>
      <c r="B270" s="52">
        <v>8196</v>
      </c>
      <c r="C270" s="53" t="s">
        <v>3493</v>
      </c>
      <c r="D270" s="53">
        <v>2</v>
      </c>
      <c r="E270" s="52">
        <v>0</v>
      </c>
      <c r="F270" s="52">
        <v>1</v>
      </c>
      <c r="G270" s="52">
        <v>1</v>
      </c>
      <c r="H270" s="52">
        <v>0</v>
      </c>
      <c r="I270" s="52">
        <v>0</v>
      </c>
      <c r="J270" s="52">
        <v>0</v>
      </c>
      <c r="K270" s="52">
        <v>0</v>
      </c>
      <c r="L270" s="52">
        <v>1</v>
      </c>
      <c r="M270" s="52">
        <v>1</v>
      </c>
      <c r="N270" s="52">
        <v>0</v>
      </c>
      <c r="O270" s="52">
        <v>0</v>
      </c>
      <c r="P270" s="52">
        <v>0</v>
      </c>
    </row>
    <row r="271" spans="1:16" s="148" customFormat="1">
      <c r="A271" s="52" t="s">
        <v>3494</v>
      </c>
      <c r="B271" s="52">
        <v>8364</v>
      </c>
      <c r="C271" s="53" t="s">
        <v>3229</v>
      </c>
      <c r="D271" s="53">
        <v>1</v>
      </c>
      <c r="E271" s="52">
        <v>0</v>
      </c>
      <c r="F271" s="52">
        <v>0</v>
      </c>
      <c r="G271" s="52">
        <v>0</v>
      </c>
      <c r="H271" s="52">
        <v>0</v>
      </c>
      <c r="I271" s="52">
        <v>0</v>
      </c>
      <c r="J271" s="52">
        <v>0</v>
      </c>
      <c r="K271" s="52">
        <v>0</v>
      </c>
      <c r="L271" s="52">
        <v>0</v>
      </c>
      <c r="M271" s="52">
        <v>0</v>
      </c>
      <c r="N271" s="52">
        <v>0</v>
      </c>
      <c r="O271" s="52">
        <v>0</v>
      </c>
      <c r="P271" s="52">
        <v>0</v>
      </c>
    </row>
    <row r="272" spans="1:16" s="148" customFormat="1">
      <c r="A272" s="52" t="s">
        <v>3494</v>
      </c>
      <c r="B272" s="52">
        <v>8364</v>
      </c>
      <c r="C272" s="53" t="s">
        <v>3222</v>
      </c>
      <c r="D272" s="53">
        <v>2</v>
      </c>
      <c r="E272" s="52">
        <v>0</v>
      </c>
      <c r="F272" s="154">
        <v>0</v>
      </c>
      <c r="G272" s="154">
        <v>1</v>
      </c>
      <c r="H272" s="52">
        <v>0</v>
      </c>
      <c r="I272" s="52">
        <v>0</v>
      </c>
      <c r="J272" s="52">
        <v>0</v>
      </c>
      <c r="K272" s="52">
        <v>0</v>
      </c>
      <c r="L272" s="52">
        <v>1</v>
      </c>
      <c r="M272" s="52">
        <v>1</v>
      </c>
      <c r="N272" s="52">
        <v>0</v>
      </c>
      <c r="O272" s="52">
        <v>0</v>
      </c>
      <c r="P272" s="52">
        <v>0</v>
      </c>
    </row>
    <row r="273" spans="1:16" s="36" customFormat="1">
      <c r="A273" s="52" t="s">
        <v>3495</v>
      </c>
      <c r="B273" s="52">
        <v>8378</v>
      </c>
      <c r="C273" s="52" t="s">
        <v>3496</v>
      </c>
      <c r="D273" s="53">
        <v>1</v>
      </c>
      <c r="E273" s="52">
        <v>0</v>
      </c>
      <c r="F273" s="52">
        <v>0</v>
      </c>
      <c r="G273" s="52">
        <v>0</v>
      </c>
      <c r="H273" s="52">
        <v>0</v>
      </c>
      <c r="I273" s="52">
        <v>0</v>
      </c>
      <c r="J273" s="52">
        <v>0</v>
      </c>
      <c r="K273" s="52">
        <v>0</v>
      </c>
      <c r="L273" s="52">
        <v>0</v>
      </c>
      <c r="M273" s="52">
        <v>0</v>
      </c>
      <c r="N273" s="52">
        <v>0</v>
      </c>
      <c r="O273" s="52">
        <v>0</v>
      </c>
      <c r="P273" s="52">
        <v>0</v>
      </c>
    </row>
    <row r="274" spans="1:16" s="36" customFormat="1">
      <c r="A274" s="52" t="s">
        <v>3495</v>
      </c>
      <c r="B274" s="52">
        <v>8378</v>
      </c>
      <c r="C274" s="52" t="s">
        <v>3497</v>
      </c>
      <c r="D274" s="53">
        <v>2</v>
      </c>
      <c r="E274" s="52">
        <v>0</v>
      </c>
      <c r="F274" s="52">
        <v>0</v>
      </c>
      <c r="G274" s="52">
        <v>1</v>
      </c>
      <c r="H274" s="52">
        <v>0</v>
      </c>
      <c r="I274" s="154">
        <v>1</v>
      </c>
      <c r="J274" s="52">
        <v>0</v>
      </c>
      <c r="K274" s="52">
        <v>0</v>
      </c>
      <c r="L274" s="52">
        <v>0</v>
      </c>
      <c r="M274" s="52">
        <v>0</v>
      </c>
      <c r="N274" s="52">
        <v>0</v>
      </c>
      <c r="O274" s="52">
        <v>0</v>
      </c>
      <c r="P274" s="52">
        <v>0</v>
      </c>
    </row>
    <row r="275" spans="1:16" s="36" customFormat="1">
      <c r="A275" s="52" t="s">
        <v>3498</v>
      </c>
      <c r="B275" s="52">
        <v>8384</v>
      </c>
      <c r="C275" s="53" t="s">
        <v>3229</v>
      </c>
      <c r="D275" s="53">
        <v>1</v>
      </c>
      <c r="E275" s="52">
        <v>0</v>
      </c>
      <c r="F275" s="52">
        <v>0</v>
      </c>
      <c r="G275" s="52">
        <v>0</v>
      </c>
      <c r="H275" s="52">
        <v>0</v>
      </c>
      <c r="I275" s="52">
        <v>0</v>
      </c>
      <c r="J275" s="52">
        <v>0</v>
      </c>
      <c r="K275" s="52">
        <v>0</v>
      </c>
      <c r="L275" s="52">
        <v>0</v>
      </c>
      <c r="M275" s="52">
        <v>0</v>
      </c>
      <c r="N275" s="52">
        <v>0</v>
      </c>
      <c r="O275" s="52">
        <v>0</v>
      </c>
      <c r="P275" s="52">
        <v>0</v>
      </c>
    </row>
    <row r="276" spans="1:16" s="36" customFormat="1">
      <c r="A276" s="52" t="s">
        <v>3498</v>
      </c>
      <c r="B276" s="52">
        <v>8384</v>
      </c>
      <c r="C276" s="53" t="s">
        <v>3222</v>
      </c>
      <c r="D276" s="53">
        <v>2</v>
      </c>
      <c r="E276" s="52">
        <v>0</v>
      </c>
      <c r="F276" s="52">
        <v>1</v>
      </c>
      <c r="G276" s="154">
        <v>1</v>
      </c>
      <c r="H276" s="154">
        <v>0</v>
      </c>
      <c r="I276" s="52">
        <v>0</v>
      </c>
      <c r="J276" s="52">
        <v>0</v>
      </c>
      <c r="K276" s="52">
        <v>0</v>
      </c>
      <c r="L276" s="52">
        <v>1</v>
      </c>
      <c r="M276" s="52">
        <v>1</v>
      </c>
      <c r="N276" s="52">
        <v>0</v>
      </c>
      <c r="O276" s="52">
        <v>0</v>
      </c>
      <c r="P276" s="52">
        <v>0</v>
      </c>
    </row>
    <row r="277" spans="1:16" s="36" customFormat="1">
      <c r="A277" s="52" t="s">
        <v>3499</v>
      </c>
      <c r="B277" s="52">
        <v>8392</v>
      </c>
      <c r="C277" s="53" t="s">
        <v>3500</v>
      </c>
      <c r="D277" s="53">
        <v>1</v>
      </c>
      <c r="E277" s="52">
        <v>0</v>
      </c>
      <c r="F277" s="52">
        <v>0</v>
      </c>
      <c r="G277" s="52">
        <v>0</v>
      </c>
      <c r="H277" s="52">
        <v>0</v>
      </c>
      <c r="I277" s="52">
        <v>0</v>
      </c>
      <c r="J277" s="52">
        <v>0</v>
      </c>
      <c r="K277" s="52">
        <v>0</v>
      </c>
      <c r="L277" s="52">
        <v>0</v>
      </c>
      <c r="M277" s="52">
        <v>0</v>
      </c>
      <c r="N277" s="52">
        <v>0</v>
      </c>
      <c r="O277" s="52">
        <v>0</v>
      </c>
      <c r="P277" s="52">
        <v>0</v>
      </c>
    </row>
    <row r="278" spans="1:16" s="36" customFormat="1">
      <c r="A278" s="52" t="s">
        <v>3499</v>
      </c>
      <c r="B278" s="52">
        <v>8392</v>
      </c>
      <c r="C278" s="53" t="s">
        <v>3501</v>
      </c>
      <c r="D278" s="53">
        <v>2</v>
      </c>
      <c r="E278" s="52">
        <v>0</v>
      </c>
      <c r="F278" s="52">
        <v>1</v>
      </c>
      <c r="G278" s="52">
        <v>1</v>
      </c>
      <c r="H278" s="52">
        <v>0</v>
      </c>
      <c r="I278" s="52">
        <v>0</v>
      </c>
      <c r="J278" s="52">
        <v>0</v>
      </c>
      <c r="K278" s="52">
        <v>0</v>
      </c>
      <c r="L278" s="154">
        <v>1</v>
      </c>
      <c r="M278" s="52">
        <v>1</v>
      </c>
      <c r="N278" s="52">
        <v>0</v>
      </c>
      <c r="O278" s="52">
        <v>0</v>
      </c>
      <c r="P278" s="52">
        <v>0</v>
      </c>
    </row>
    <row r="279" spans="1:16" s="36" customFormat="1">
      <c r="A279" s="52" t="s">
        <v>3502</v>
      </c>
      <c r="B279" s="156">
        <v>8396</v>
      </c>
      <c r="C279" s="53" t="s">
        <v>3503</v>
      </c>
      <c r="D279" s="53">
        <v>1</v>
      </c>
      <c r="E279" s="52">
        <v>0</v>
      </c>
      <c r="F279" s="52">
        <v>0</v>
      </c>
      <c r="G279" s="52">
        <v>0</v>
      </c>
      <c r="H279" s="52">
        <v>0</v>
      </c>
      <c r="I279" s="52">
        <v>0</v>
      </c>
      <c r="J279" s="52">
        <v>0</v>
      </c>
      <c r="K279" s="52">
        <v>0</v>
      </c>
      <c r="L279" s="52">
        <v>0</v>
      </c>
      <c r="M279" s="154">
        <v>1</v>
      </c>
      <c r="N279" s="52">
        <v>0</v>
      </c>
      <c r="O279" s="52">
        <v>0</v>
      </c>
      <c r="P279" s="52">
        <v>0</v>
      </c>
    </row>
    <row r="280" spans="1:16" s="36" customFormat="1">
      <c r="A280" s="52" t="s">
        <v>3502</v>
      </c>
      <c r="B280" s="156">
        <v>8396</v>
      </c>
      <c r="C280" s="53" t="s">
        <v>3504</v>
      </c>
      <c r="D280" s="53">
        <v>2</v>
      </c>
      <c r="E280" s="52">
        <v>0</v>
      </c>
      <c r="F280" s="52">
        <v>1</v>
      </c>
      <c r="G280" s="52">
        <v>1</v>
      </c>
      <c r="H280" s="52">
        <v>0</v>
      </c>
      <c r="I280" s="52">
        <v>0</v>
      </c>
      <c r="J280" s="52">
        <v>0</v>
      </c>
      <c r="K280" s="52">
        <v>1</v>
      </c>
      <c r="L280" s="52">
        <v>1</v>
      </c>
      <c r="M280" s="52">
        <v>1</v>
      </c>
      <c r="N280" s="52">
        <v>1</v>
      </c>
      <c r="O280" s="52">
        <v>0</v>
      </c>
      <c r="P280" s="52">
        <v>0</v>
      </c>
    </row>
    <row r="281" spans="1:16" s="36" customFormat="1">
      <c r="A281" s="52" t="s">
        <v>3502</v>
      </c>
      <c r="B281" s="156">
        <v>8396</v>
      </c>
      <c r="C281" s="53" t="s">
        <v>3431</v>
      </c>
      <c r="D281" s="53">
        <v>3</v>
      </c>
      <c r="E281" s="52">
        <v>0</v>
      </c>
      <c r="F281" s="52">
        <v>1</v>
      </c>
      <c r="G281" s="52">
        <v>1</v>
      </c>
      <c r="H281" s="52">
        <v>0</v>
      </c>
      <c r="I281" s="52">
        <v>0</v>
      </c>
      <c r="J281" s="52">
        <v>0</v>
      </c>
      <c r="K281" s="52">
        <v>1</v>
      </c>
      <c r="L281" s="52">
        <v>1</v>
      </c>
      <c r="M281" s="52">
        <v>1</v>
      </c>
      <c r="N281" s="52">
        <v>1</v>
      </c>
      <c r="O281" s="52">
        <v>0</v>
      </c>
      <c r="P281" s="52">
        <v>0</v>
      </c>
    </row>
    <row r="282" spans="1:16" s="36" customFormat="1">
      <c r="A282" s="52" t="s">
        <v>3502</v>
      </c>
      <c r="B282" s="156">
        <v>8396</v>
      </c>
      <c r="C282" s="53" t="s">
        <v>3505</v>
      </c>
      <c r="D282" s="53">
        <v>4</v>
      </c>
      <c r="E282" s="52">
        <v>0</v>
      </c>
      <c r="F282" s="52">
        <v>1</v>
      </c>
      <c r="G282" s="52">
        <v>1</v>
      </c>
      <c r="H282" s="52">
        <v>0</v>
      </c>
      <c r="I282" s="52">
        <v>0</v>
      </c>
      <c r="J282" s="52">
        <v>0</v>
      </c>
      <c r="K282" s="52">
        <v>1</v>
      </c>
      <c r="L282" s="52">
        <v>1</v>
      </c>
      <c r="M282" s="52">
        <v>1</v>
      </c>
      <c r="N282" s="52">
        <v>1</v>
      </c>
      <c r="O282" s="52">
        <v>0</v>
      </c>
      <c r="P282" s="52">
        <v>0</v>
      </c>
    </row>
    <row r="283" spans="1:16" s="36" customFormat="1">
      <c r="A283" s="52" t="s">
        <v>3506</v>
      </c>
      <c r="B283" s="52">
        <v>8500</v>
      </c>
      <c r="C283" s="53" t="s">
        <v>3229</v>
      </c>
      <c r="D283" s="53">
        <v>1</v>
      </c>
      <c r="E283" s="52">
        <v>0</v>
      </c>
      <c r="F283" s="52">
        <v>0</v>
      </c>
      <c r="G283" s="52">
        <v>0</v>
      </c>
      <c r="H283" s="52">
        <v>0</v>
      </c>
      <c r="I283" s="52">
        <v>0</v>
      </c>
      <c r="J283" s="52">
        <v>0</v>
      </c>
      <c r="K283" s="52">
        <v>0</v>
      </c>
      <c r="L283" s="52">
        <v>0</v>
      </c>
      <c r="M283" s="52">
        <v>0</v>
      </c>
      <c r="N283" s="52">
        <v>0</v>
      </c>
      <c r="O283" s="52">
        <v>0</v>
      </c>
      <c r="P283" s="52">
        <v>0</v>
      </c>
    </row>
    <row r="284" spans="1:16" s="36" customFormat="1">
      <c r="A284" s="52" t="s">
        <v>3506</v>
      </c>
      <c r="B284" s="52">
        <v>8500</v>
      </c>
      <c r="C284" s="53" t="s">
        <v>3222</v>
      </c>
      <c r="D284" s="53">
        <v>2</v>
      </c>
      <c r="E284" s="52">
        <v>0</v>
      </c>
      <c r="F284" s="52">
        <v>1</v>
      </c>
      <c r="G284" s="52">
        <v>0</v>
      </c>
      <c r="H284" s="52">
        <v>0</v>
      </c>
      <c r="I284" s="52">
        <v>0</v>
      </c>
      <c r="J284" s="52">
        <v>0</v>
      </c>
      <c r="K284" s="52">
        <v>0</v>
      </c>
      <c r="L284" s="154">
        <v>1</v>
      </c>
      <c r="M284" s="154">
        <v>1</v>
      </c>
      <c r="N284" s="52">
        <v>0</v>
      </c>
      <c r="O284" s="52">
        <v>0</v>
      </c>
      <c r="P284" s="52">
        <v>0</v>
      </c>
    </row>
    <row r="285" spans="1:16" s="36" customFormat="1">
      <c r="A285" s="52" t="s">
        <v>3507</v>
      </c>
      <c r="B285" s="52">
        <v>8502</v>
      </c>
      <c r="C285" s="53" t="s">
        <v>3229</v>
      </c>
      <c r="D285" s="53">
        <v>1</v>
      </c>
      <c r="E285" s="52">
        <v>0</v>
      </c>
      <c r="F285" s="52">
        <v>0</v>
      </c>
      <c r="G285" s="52">
        <v>0</v>
      </c>
      <c r="H285" s="52">
        <v>0</v>
      </c>
      <c r="I285" s="52">
        <v>0</v>
      </c>
      <c r="J285" s="52">
        <v>0</v>
      </c>
      <c r="K285" s="52">
        <v>0</v>
      </c>
      <c r="L285" s="52">
        <v>0</v>
      </c>
      <c r="M285" s="52">
        <v>0</v>
      </c>
      <c r="N285" s="52">
        <v>0</v>
      </c>
      <c r="O285" s="52">
        <v>0</v>
      </c>
      <c r="P285" s="52">
        <v>0</v>
      </c>
    </row>
    <row r="286" spans="1:16" s="36" customFormat="1">
      <c r="A286" s="52" t="s">
        <v>3507</v>
      </c>
      <c r="B286" s="52">
        <v>8502</v>
      </c>
      <c r="C286" s="53" t="s">
        <v>3508</v>
      </c>
      <c r="D286" s="53">
        <v>2</v>
      </c>
      <c r="E286" s="52">
        <v>0</v>
      </c>
      <c r="F286" s="52">
        <v>0</v>
      </c>
      <c r="G286" s="52">
        <v>0</v>
      </c>
      <c r="H286" s="52">
        <v>0</v>
      </c>
      <c r="I286" s="52">
        <v>0</v>
      </c>
      <c r="J286" s="52">
        <v>0</v>
      </c>
      <c r="K286" s="52">
        <v>1</v>
      </c>
      <c r="L286" s="154">
        <v>1</v>
      </c>
      <c r="M286" s="154">
        <v>1</v>
      </c>
      <c r="N286" s="52">
        <v>0</v>
      </c>
      <c r="O286" s="52">
        <v>0</v>
      </c>
      <c r="P286" s="52">
        <v>0</v>
      </c>
    </row>
    <row r="287" spans="1:16" s="36" customFormat="1">
      <c r="A287" s="52" t="s">
        <v>270</v>
      </c>
      <c r="B287" s="52">
        <v>8506</v>
      </c>
      <c r="C287" s="53" t="s">
        <v>3229</v>
      </c>
      <c r="D287" s="53">
        <v>1</v>
      </c>
      <c r="E287" s="52">
        <v>0</v>
      </c>
      <c r="F287" s="52">
        <v>0</v>
      </c>
      <c r="G287" s="52">
        <v>0</v>
      </c>
      <c r="H287" s="52">
        <v>0</v>
      </c>
      <c r="I287" s="52">
        <v>1</v>
      </c>
      <c r="J287" s="52">
        <v>0</v>
      </c>
      <c r="K287" s="52">
        <v>0</v>
      </c>
      <c r="L287" s="52">
        <v>1</v>
      </c>
      <c r="M287" s="52">
        <v>0</v>
      </c>
      <c r="N287" s="52">
        <v>0</v>
      </c>
      <c r="O287" s="52">
        <v>0</v>
      </c>
      <c r="P287" s="52">
        <v>0</v>
      </c>
    </row>
    <row r="288" spans="1:16" s="36" customFormat="1">
      <c r="A288" s="52" t="s">
        <v>270</v>
      </c>
      <c r="B288" s="52">
        <v>8506</v>
      </c>
      <c r="C288" s="53" t="s">
        <v>3222</v>
      </c>
      <c r="D288" s="53">
        <v>2</v>
      </c>
      <c r="E288" s="52">
        <v>0</v>
      </c>
      <c r="F288" s="52">
        <v>1</v>
      </c>
      <c r="G288" s="52">
        <v>1</v>
      </c>
      <c r="H288" s="52">
        <v>0</v>
      </c>
      <c r="I288" s="52">
        <v>0</v>
      </c>
      <c r="J288" s="52">
        <v>0</v>
      </c>
      <c r="K288" s="154">
        <v>0</v>
      </c>
      <c r="L288" s="52">
        <v>1</v>
      </c>
      <c r="M288" s="52">
        <v>1</v>
      </c>
      <c r="N288" s="52">
        <v>0</v>
      </c>
      <c r="O288" s="52">
        <v>0</v>
      </c>
      <c r="P288" s="52">
        <v>0</v>
      </c>
    </row>
    <row r="289" spans="1:16" s="36" customFormat="1">
      <c r="A289" s="43" t="s">
        <v>271</v>
      </c>
      <c r="B289" s="36">
        <v>9010</v>
      </c>
      <c r="C289" s="36" t="s">
        <v>3221</v>
      </c>
      <c r="D289" s="36">
        <v>1</v>
      </c>
      <c r="E289" s="36">
        <v>0</v>
      </c>
      <c r="F289" s="36">
        <v>0</v>
      </c>
      <c r="G289" s="36">
        <v>0</v>
      </c>
      <c r="H289" s="36">
        <v>1</v>
      </c>
      <c r="I289" s="36">
        <v>0</v>
      </c>
      <c r="J289" s="36">
        <v>0</v>
      </c>
      <c r="K289" s="36">
        <v>0</v>
      </c>
      <c r="L289" s="36">
        <v>0</v>
      </c>
      <c r="M289" s="36">
        <v>0</v>
      </c>
      <c r="N289" s="36">
        <v>0</v>
      </c>
      <c r="O289" s="36">
        <v>0</v>
      </c>
      <c r="P289" s="36">
        <v>0</v>
      </c>
    </row>
    <row r="290" spans="1:16" s="36" customFormat="1">
      <c r="A290" s="43" t="s">
        <v>271</v>
      </c>
      <c r="B290" s="36">
        <v>9010</v>
      </c>
      <c r="C290" s="36" t="s">
        <v>3222</v>
      </c>
      <c r="D290" s="36">
        <v>2</v>
      </c>
      <c r="E290" s="36">
        <v>0</v>
      </c>
      <c r="F290" s="36">
        <v>1</v>
      </c>
      <c r="G290" s="36">
        <v>1</v>
      </c>
      <c r="H290" s="36">
        <v>1</v>
      </c>
      <c r="I290" s="36">
        <v>1</v>
      </c>
      <c r="J290" s="36">
        <v>0</v>
      </c>
      <c r="K290" s="36">
        <v>0</v>
      </c>
      <c r="L290" s="36">
        <v>1</v>
      </c>
      <c r="M290" s="36">
        <v>1</v>
      </c>
      <c r="N290" s="36">
        <v>0</v>
      </c>
      <c r="O290" s="36">
        <v>1</v>
      </c>
      <c r="P290" s="36">
        <v>0</v>
      </c>
    </row>
    <row r="291" spans="1:16" s="36" customFormat="1">
      <c r="A291" s="43" t="s">
        <v>328</v>
      </c>
      <c r="B291" s="36">
        <v>9016</v>
      </c>
      <c r="C291" s="36" t="s">
        <v>3221</v>
      </c>
      <c r="D291" s="36">
        <v>1</v>
      </c>
      <c r="E291" s="36">
        <v>0</v>
      </c>
      <c r="F291" s="36">
        <v>0</v>
      </c>
      <c r="G291" s="36">
        <v>0</v>
      </c>
      <c r="H291" s="36">
        <v>0</v>
      </c>
      <c r="I291" s="36">
        <v>0</v>
      </c>
      <c r="J291" s="36">
        <v>0</v>
      </c>
      <c r="K291" s="36">
        <v>0</v>
      </c>
      <c r="L291" s="36">
        <v>1</v>
      </c>
      <c r="M291" s="36">
        <v>0</v>
      </c>
      <c r="N291" s="36">
        <v>0</v>
      </c>
      <c r="O291" s="36">
        <v>0</v>
      </c>
      <c r="P291" s="36">
        <v>0</v>
      </c>
    </row>
    <row r="292" spans="1:16" s="36" customFormat="1">
      <c r="A292" s="43" t="s">
        <v>328</v>
      </c>
      <c r="B292" s="36">
        <v>9016</v>
      </c>
      <c r="C292" s="36" t="s">
        <v>3223</v>
      </c>
      <c r="D292" s="36">
        <v>2</v>
      </c>
      <c r="E292" s="36">
        <v>0</v>
      </c>
      <c r="F292" s="36">
        <v>1</v>
      </c>
      <c r="G292" s="36">
        <v>1</v>
      </c>
      <c r="H292" s="36">
        <v>0</v>
      </c>
      <c r="I292" s="36">
        <v>0</v>
      </c>
      <c r="J292" s="36">
        <v>0</v>
      </c>
      <c r="K292" s="36">
        <v>0</v>
      </c>
      <c r="L292" s="36">
        <v>1</v>
      </c>
      <c r="M292" s="36">
        <v>0</v>
      </c>
      <c r="N292" s="36">
        <v>0</v>
      </c>
      <c r="O292" s="36">
        <v>0</v>
      </c>
      <c r="P292" s="36">
        <v>1</v>
      </c>
    </row>
    <row r="293" spans="1:16" s="36" customFormat="1">
      <c r="A293" s="36" t="s">
        <v>818</v>
      </c>
      <c r="B293" s="36">
        <v>9017</v>
      </c>
      <c r="C293" s="36" t="s">
        <v>3224</v>
      </c>
      <c r="D293" s="36">
        <v>1</v>
      </c>
      <c r="E293" s="36">
        <v>0</v>
      </c>
      <c r="F293" s="36">
        <v>0</v>
      </c>
      <c r="G293" s="36">
        <v>0</v>
      </c>
      <c r="H293" s="36">
        <v>0</v>
      </c>
      <c r="I293" s="36">
        <v>0</v>
      </c>
      <c r="J293" s="36">
        <v>0</v>
      </c>
      <c r="K293" s="36">
        <v>1</v>
      </c>
      <c r="L293" s="36">
        <v>0</v>
      </c>
      <c r="M293" s="36">
        <v>0</v>
      </c>
      <c r="N293" s="36">
        <v>0</v>
      </c>
      <c r="O293" s="36">
        <v>0</v>
      </c>
      <c r="P293" s="36">
        <v>0</v>
      </c>
    </row>
    <row r="294" spans="1:16" s="36" customFormat="1">
      <c r="A294" s="36" t="s">
        <v>818</v>
      </c>
      <c r="B294" s="36">
        <v>9017</v>
      </c>
      <c r="C294" s="36" t="s">
        <v>3225</v>
      </c>
      <c r="D294" s="36">
        <v>2</v>
      </c>
      <c r="E294" s="36">
        <v>0</v>
      </c>
      <c r="F294" s="36">
        <v>1</v>
      </c>
      <c r="G294" s="36">
        <v>1</v>
      </c>
      <c r="H294" s="36">
        <v>1</v>
      </c>
      <c r="I294" s="36">
        <v>0</v>
      </c>
      <c r="J294" s="36">
        <v>0</v>
      </c>
      <c r="K294" s="36">
        <v>0</v>
      </c>
      <c r="L294" s="36">
        <v>1</v>
      </c>
      <c r="M294" s="36">
        <v>1</v>
      </c>
      <c r="N294" s="36">
        <v>0</v>
      </c>
      <c r="O294" s="36">
        <v>0</v>
      </c>
      <c r="P294" s="36">
        <v>0</v>
      </c>
    </row>
    <row r="295" spans="1:16" s="36" customFormat="1">
      <c r="A295" s="43" t="s">
        <v>330</v>
      </c>
      <c r="B295" s="36">
        <v>9023</v>
      </c>
      <c r="C295" s="36" t="s">
        <v>3226</v>
      </c>
      <c r="D295" s="36">
        <v>1</v>
      </c>
      <c r="E295" s="36">
        <v>0</v>
      </c>
      <c r="F295" s="36">
        <v>0</v>
      </c>
      <c r="G295" s="36">
        <v>0</v>
      </c>
      <c r="H295" s="36">
        <v>0</v>
      </c>
      <c r="I295" s="36">
        <v>0</v>
      </c>
      <c r="J295" s="36">
        <v>0</v>
      </c>
      <c r="K295" s="36">
        <v>0</v>
      </c>
      <c r="L295" s="36">
        <v>1</v>
      </c>
      <c r="M295" s="36">
        <v>0</v>
      </c>
      <c r="N295" s="36">
        <v>0</v>
      </c>
      <c r="O295" s="36">
        <v>0</v>
      </c>
      <c r="P295" s="36">
        <v>0</v>
      </c>
    </row>
    <row r="296" spans="1:16" s="36" customFormat="1">
      <c r="A296" s="43" t="s">
        <v>330</v>
      </c>
      <c r="B296" s="36">
        <v>9023</v>
      </c>
      <c r="C296" s="36" t="s">
        <v>3225</v>
      </c>
      <c r="D296" s="36">
        <v>2</v>
      </c>
      <c r="E296" s="36">
        <v>0</v>
      </c>
      <c r="F296" s="36">
        <v>1</v>
      </c>
      <c r="G296" s="36">
        <v>1</v>
      </c>
      <c r="H296" s="36">
        <v>0</v>
      </c>
      <c r="I296" s="36">
        <v>0</v>
      </c>
      <c r="J296" s="36">
        <v>0</v>
      </c>
      <c r="K296" s="36">
        <v>0</v>
      </c>
      <c r="L296" s="36">
        <v>1</v>
      </c>
      <c r="M296" s="36">
        <v>1</v>
      </c>
      <c r="N296" s="36">
        <v>0</v>
      </c>
      <c r="O296" s="36">
        <v>0</v>
      </c>
      <c r="P296" s="36">
        <v>0</v>
      </c>
    </row>
    <row r="297" spans="1:16" s="36" customFormat="1">
      <c r="A297" s="36" t="s">
        <v>331</v>
      </c>
      <c r="B297" s="36">
        <v>9045</v>
      </c>
      <c r="C297" s="43" t="s">
        <v>3227</v>
      </c>
      <c r="D297" s="36">
        <v>1</v>
      </c>
      <c r="E297" s="36">
        <v>0</v>
      </c>
      <c r="F297" s="36">
        <v>1</v>
      </c>
      <c r="G297" s="36">
        <v>0</v>
      </c>
      <c r="H297" s="36">
        <v>0</v>
      </c>
      <c r="I297" s="36">
        <v>0</v>
      </c>
      <c r="J297" s="36">
        <v>0</v>
      </c>
      <c r="K297" s="36">
        <v>0</v>
      </c>
      <c r="L297" s="36">
        <v>1</v>
      </c>
      <c r="M297" s="36">
        <v>1</v>
      </c>
      <c r="N297" s="36">
        <v>0</v>
      </c>
      <c r="O297" s="36">
        <v>0</v>
      </c>
      <c r="P297" s="36">
        <v>0</v>
      </c>
    </row>
    <row r="298" spans="1:16" s="36" customFormat="1">
      <c r="A298" s="36" t="s">
        <v>331</v>
      </c>
      <c r="B298" s="36">
        <v>9045</v>
      </c>
      <c r="C298" s="43" t="s">
        <v>3228</v>
      </c>
      <c r="D298" s="36">
        <v>2</v>
      </c>
      <c r="E298" s="36">
        <v>0</v>
      </c>
      <c r="F298" s="36">
        <v>1</v>
      </c>
      <c r="G298" s="36">
        <v>1</v>
      </c>
      <c r="H298" s="36">
        <v>0</v>
      </c>
      <c r="I298" s="36">
        <v>0</v>
      </c>
      <c r="J298" s="36">
        <v>0</v>
      </c>
      <c r="K298" s="36">
        <v>0</v>
      </c>
      <c r="L298" s="36">
        <v>0</v>
      </c>
      <c r="M298" s="36">
        <v>1</v>
      </c>
      <c r="N298" s="36">
        <v>0</v>
      </c>
      <c r="O298" s="36">
        <v>0</v>
      </c>
      <c r="P298" s="36">
        <v>0</v>
      </c>
    </row>
    <row r="299" spans="1:16" s="36" customFormat="1">
      <c r="A299" s="52" t="s">
        <v>332</v>
      </c>
      <c r="B299" s="36">
        <v>9075</v>
      </c>
      <c r="C299" s="36" t="s">
        <v>3229</v>
      </c>
      <c r="D299" s="36">
        <v>1</v>
      </c>
      <c r="E299" s="36">
        <v>0</v>
      </c>
      <c r="F299" s="36">
        <v>0</v>
      </c>
      <c r="G299" s="36">
        <v>0</v>
      </c>
      <c r="H299" s="36">
        <v>0</v>
      </c>
      <c r="I299" s="36">
        <v>0</v>
      </c>
      <c r="J299" s="36">
        <v>0</v>
      </c>
      <c r="K299" s="36">
        <v>1</v>
      </c>
      <c r="L299" s="36">
        <v>1</v>
      </c>
      <c r="M299" s="36">
        <v>1</v>
      </c>
      <c r="N299" s="36">
        <v>0</v>
      </c>
      <c r="O299" s="36">
        <v>0</v>
      </c>
      <c r="P299" s="36">
        <v>0</v>
      </c>
    </row>
    <row r="300" spans="1:16">
      <c r="A300" s="52" t="s">
        <v>332</v>
      </c>
      <c r="B300" s="36">
        <v>9075</v>
      </c>
      <c r="C300" s="36" t="s">
        <v>3222</v>
      </c>
      <c r="D300" s="36">
        <v>2</v>
      </c>
      <c r="E300" s="36">
        <v>0</v>
      </c>
      <c r="F300" s="36">
        <v>0</v>
      </c>
      <c r="G300" s="36">
        <v>0</v>
      </c>
      <c r="H300" s="36">
        <v>0</v>
      </c>
      <c r="I300" s="36">
        <v>0</v>
      </c>
      <c r="J300" s="36">
        <v>0</v>
      </c>
      <c r="K300" s="36">
        <v>1</v>
      </c>
      <c r="L300" s="36">
        <v>1</v>
      </c>
      <c r="M300" s="36">
        <v>1</v>
      </c>
      <c r="N300" s="36">
        <v>0</v>
      </c>
      <c r="O300" s="36">
        <v>0</v>
      </c>
      <c r="P300" s="36">
        <v>0</v>
      </c>
    </row>
    <row r="301" spans="1:16" s="43" customFormat="1">
      <c r="A301" s="36" t="s">
        <v>333</v>
      </c>
      <c r="B301" s="36">
        <v>9126</v>
      </c>
      <c r="C301" s="36" t="s">
        <v>3226</v>
      </c>
      <c r="D301" s="36">
        <v>1</v>
      </c>
      <c r="E301" s="36">
        <v>0</v>
      </c>
      <c r="F301" s="36">
        <v>0</v>
      </c>
      <c r="G301" s="36">
        <v>0</v>
      </c>
      <c r="H301" s="36">
        <v>0</v>
      </c>
      <c r="I301" s="36">
        <v>0</v>
      </c>
      <c r="J301" s="36">
        <v>0</v>
      </c>
      <c r="K301" s="36">
        <v>0</v>
      </c>
      <c r="L301" s="36">
        <v>0</v>
      </c>
      <c r="M301" s="36">
        <v>0</v>
      </c>
      <c r="N301" s="36">
        <v>0</v>
      </c>
      <c r="O301" s="36">
        <v>0</v>
      </c>
      <c r="P301" s="36">
        <v>0</v>
      </c>
    </row>
    <row r="302" spans="1:16" s="43" customFormat="1">
      <c r="A302" s="36" t="s">
        <v>333</v>
      </c>
      <c r="B302" s="36">
        <v>9126</v>
      </c>
      <c r="C302" s="36" t="s">
        <v>3225</v>
      </c>
      <c r="D302" s="36">
        <v>2</v>
      </c>
      <c r="E302" s="36">
        <v>0</v>
      </c>
      <c r="F302" s="36">
        <v>1</v>
      </c>
      <c r="G302" s="36">
        <v>0</v>
      </c>
      <c r="H302" s="36">
        <v>0</v>
      </c>
      <c r="I302" s="36">
        <v>0</v>
      </c>
      <c r="J302" s="36">
        <v>0</v>
      </c>
      <c r="K302" s="36">
        <v>0</v>
      </c>
      <c r="L302" s="36">
        <v>0</v>
      </c>
      <c r="M302" s="36">
        <v>1</v>
      </c>
      <c r="N302" s="36">
        <v>0</v>
      </c>
      <c r="O302" s="36">
        <v>0</v>
      </c>
      <c r="P302" s="36">
        <v>0</v>
      </c>
    </row>
    <row r="303" spans="1:16" s="43" customFormat="1">
      <c r="A303" s="43" t="s">
        <v>334</v>
      </c>
      <c r="B303" s="36">
        <v>9128</v>
      </c>
      <c r="C303" s="36" t="s">
        <v>3221</v>
      </c>
      <c r="D303" s="36">
        <v>1</v>
      </c>
      <c r="E303" s="36">
        <v>0</v>
      </c>
      <c r="F303" s="36">
        <v>0</v>
      </c>
      <c r="G303" s="36">
        <v>0</v>
      </c>
      <c r="H303" s="36">
        <v>0</v>
      </c>
      <c r="I303" s="36">
        <v>0</v>
      </c>
      <c r="J303" s="36">
        <v>0</v>
      </c>
      <c r="K303" s="36">
        <v>0</v>
      </c>
      <c r="L303" s="36">
        <v>0</v>
      </c>
      <c r="M303" s="36">
        <v>0</v>
      </c>
      <c r="N303" s="36">
        <v>0</v>
      </c>
      <c r="O303" s="36">
        <v>0</v>
      </c>
      <c r="P303" s="36">
        <v>0</v>
      </c>
    </row>
    <row r="304" spans="1:16" s="43" customFormat="1">
      <c r="A304" s="43" t="s">
        <v>334</v>
      </c>
      <c r="B304" s="36">
        <v>9128</v>
      </c>
      <c r="C304" s="36" t="s">
        <v>3222</v>
      </c>
      <c r="D304" s="36">
        <v>2</v>
      </c>
      <c r="E304" s="36">
        <v>0</v>
      </c>
      <c r="F304" s="36">
        <v>1</v>
      </c>
      <c r="G304" s="36">
        <v>1</v>
      </c>
      <c r="H304" s="36">
        <v>0</v>
      </c>
      <c r="I304" s="36">
        <v>0</v>
      </c>
      <c r="J304" s="36">
        <v>0</v>
      </c>
      <c r="K304" s="36">
        <v>0</v>
      </c>
      <c r="L304" s="36">
        <v>1</v>
      </c>
      <c r="M304" s="36">
        <v>0</v>
      </c>
      <c r="N304" s="36">
        <v>0</v>
      </c>
      <c r="O304" s="36">
        <v>0</v>
      </c>
      <c r="P304" s="36">
        <v>0</v>
      </c>
    </row>
    <row r="305" spans="1:16" s="43" customFormat="1">
      <c r="A305" s="43" t="s">
        <v>335</v>
      </c>
      <c r="B305" s="36">
        <v>9146</v>
      </c>
      <c r="C305" s="36" t="s">
        <v>3226</v>
      </c>
      <c r="D305" s="36">
        <v>1</v>
      </c>
      <c r="E305" s="36">
        <v>0</v>
      </c>
      <c r="F305" s="36">
        <v>0</v>
      </c>
      <c r="G305" s="36">
        <v>0</v>
      </c>
      <c r="H305" s="36">
        <v>0</v>
      </c>
      <c r="I305" s="36">
        <v>0</v>
      </c>
      <c r="J305" s="36">
        <v>0</v>
      </c>
      <c r="K305" s="36">
        <v>0</v>
      </c>
      <c r="L305" s="36">
        <v>0</v>
      </c>
      <c r="M305" s="36">
        <v>0</v>
      </c>
      <c r="N305" s="36">
        <v>0</v>
      </c>
      <c r="O305" s="36">
        <v>0</v>
      </c>
      <c r="P305" s="36">
        <v>0</v>
      </c>
    </row>
    <row r="306" spans="1:16" s="43" customFormat="1">
      <c r="A306" s="43" t="s">
        <v>335</v>
      </c>
      <c r="B306" s="36">
        <v>9146</v>
      </c>
      <c r="C306" s="36" t="s">
        <v>3225</v>
      </c>
      <c r="D306" s="36">
        <v>2</v>
      </c>
      <c r="E306" s="36">
        <v>0</v>
      </c>
      <c r="F306" s="36">
        <v>1</v>
      </c>
      <c r="G306" s="36">
        <v>0</v>
      </c>
      <c r="H306" s="36">
        <v>0</v>
      </c>
      <c r="I306" s="36">
        <v>0</v>
      </c>
      <c r="J306" s="36">
        <v>0</v>
      </c>
      <c r="K306" s="36">
        <v>0</v>
      </c>
      <c r="L306" s="36">
        <v>1</v>
      </c>
      <c r="M306" s="36">
        <v>1</v>
      </c>
      <c r="N306" s="36">
        <v>0</v>
      </c>
      <c r="O306" s="36">
        <v>0</v>
      </c>
      <c r="P306" s="36">
        <v>0</v>
      </c>
    </row>
    <row r="307" spans="1:16" s="43" customFormat="1">
      <c r="A307" s="43" t="s">
        <v>272</v>
      </c>
      <c r="B307" s="36">
        <v>9147</v>
      </c>
      <c r="C307" s="43" t="s">
        <v>3229</v>
      </c>
      <c r="D307" s="36">
        <v>1</v>
      </c>
      <c r="E307" s="36">
        <v>0</v>
      </c>
      <c r="F307" s="36">
        <v>0</v>
      </c>
      <c r="G307" s="36">
        <v>0</v>
      </c>
      <c r="H307" s="36">
        <v>0</v>
      </c>
      <c r="I307" s="36">
        <v>0</v>
      </c>
      <c r="J307" s="36">
        <v>0</v>
      </c>
      <c r="K307" s="36">
        <v>0</v>
      </c>
      <c r="L307" s="36">
        <v>0</v>
      </c>
      <c r="M307" s="36">
        <v>0</v>
      </c>
      <c r="N307" s="36">
        <v>0</v>
      </c>
      <c r="O307" s="36">
        <v>0</v>
      </c>
      <c r="P307" s="36">
        <v>0</v>
      </c>
    </row>
    <row r="308" spans="1:16" s="43" customFormat="1">
      <c r="A308" s="43" t="s">
        <v>272</v>
      </c>
      <c r="B308" s="36">
        <v>9147</v>
      </c>
      <c r="C308" s="43" t="s">
        <v>3222</v>
      </c>
      <c r="D308" s="36">
        <v>2</v>
      </c>
      <c r="E308" s="36">
        <v>1</v>
      </c>
      <c r="F308" s="36">
        <v>0</v>
      </c>
      <c r="G308" s="36">
        <v>0</v>
      </c>
      <c r="H308" s="36">
        <v>1</v>
      </c>
      <c r="I308" s="36">
        <v>0</v>
      </c>
      <c r="J308" s="36">
        <v>1</v>
      </c>
      <c r="K308" s="36">
        <v>0</v>
      </c>
      <c r="L308" s="36">
        <v>1</v>
      </c>
      <c r="M308" s="36">
        <v>0</v>
      </c>
      <c r="N308" s="36">
        <v>1</v>
      </c>
      <c r="O308" s="36">
        <v>0</v>
      </c>
      <c r="P308" s="36">
        <v>0</v>
      </c>
    </row>
    <row r="309" spans="1:16" s="43" customFormat="1">
      <c r="A309" s="43" t="s">
        <v>336</v>
      </c>
      <c r="B309" s="36">
        <v>9190</v>
      </c>
      <c r="C309" s="43" t="s">
        <v>3230</v>
      </c>
      <c r="D309" s="36">
        <v>1</v>
      </c>
      <c r="E309" s="36">
        <v>0</v>
      </c>
      <c r="F309" s="36">
        <v>0</v>
      </c>
      <c r="G309" s="36">
        <v>0</v>
      </c>
      <c r="H309" s="36">
        <v>0</v>
      </c>
      <c r="I309" s="36">
        <v>0</v>
      </c>
      <c r="J309" s="36">
        <v>0</v>
      </c>
      <c r="K309" s="36">
        <v>0</v>
      </c>
      <c r="L309" s="36">
        <v>1</v>
      </c>
      <c r="M309" s="36">
        <v>0</v>
      </c>
      <c r="N309" s="36">
        <v>0</v>
      </c>
      <c r="O309" s="36">
        <v>0</v>
      </c>
      <c r="P309" s="36">
        <v>0</v>
      </c>
    </row>
    <row r="310" spans="1:16" s="43" customFormat="1">
      <c r="A310" s="43" t="s">
        <v>336</v>
      </c>
      <c r="B310" s="36">
        <v>9190</v>
      </c>
      <c r="C310" s="43" t="s">
        <v>3225</v>
      </c>
      <c r="D310" s="36">
        <v>2</v>
      </c>
      <c r="E310" s="36">
        <v>0</v>
      </c>
      <c r="F310" s="36">
        <v>1</v>
      </c>
      <c r="G310" s="36">
        <v>1</v>
      </c>
      <c r="H310" s="36">
        <v>0</v>
      </c>
      <c r="I310" s="36">
        <v>0</v>
      </c>
      <c r="J310" s="36">
        <v>0</v>
      </c>
      <c r="K310" s="36">
        <v>0</v>
      </c>
      <c r="L310" s="36">
        <v>0</v>
      </c>
      <c r="M310" s="36">
        <v>1</v>
      </c>
      <c r="N310" s="36">
        <v>0</v>
      </c>
      <c r="O310" s="36">
        <v>0</v>
      </c>
      <c r="P310" s="36">
        <v>0</v>
      </c>
    </row>
    <row r="311" spans="1:16" s="43" customFormat="1">
      <c r="A311" s="147" t="s">
        <v>862</v>
      </c>
      <c r="B311" s="148">
        <v>9197</v>
      </c>
      <c r="C311" s="148" t="s">
        <v>3229</v>
      </c>
      <c r="D311" s="148">
        <v>1</v>
      </c>
      <c r="E311" s="148">
        <v>0</v>
      </c>
      <c r="F311" s="148">
        <v>0</v>
      </c>
      <c r="G311" s="148">
        <v>0</v>
      </c>
      <c r="H311" s="148">
        <v>0</v>
      </c>
      <c r="I311" s="148">
        <v>0</v>
      </c>
      <c r="J311" s="148">
        <v>0</v>
      </c>
      <c r="K311" s="148">
        <v>0</v>
      </c>
      <c r="L311" s="148">
        <v>0</v>
      </c>
      <c r="M311" s="148">
        <v>0</v>
      </c>
      <c r="N311" s="148">
        <v>0</v>
      </c>
      <c r="O311" s="148">
        <v>0</v>
      </c>
      <c r="P311" s="148">
        <v>0</v>
      </c>
    </row>
    <row r="312" spans="1:16" s="43" customFormat="1">
      <c r="A312" s="147" t="s">
        <v>862</v>
      </c>
      <c r="B312" s="148">
        <v>9197</v>
      </c>
      <c r="C312" s="148" t="s">
        <v>3231</v>
      </c>
      <c r="D312" s="148">
        <v>2</v>
      </c>
      <c r="E312" s="148">
        <v>0</v>
      </c>
      <c r="F312" s="148">
        <v>1</v>
      </c>
      <c r="G312" s="148">
        <v>1</v>
      </c>
      <c r="H312" s="148">
        <v>0</v>
      </c>
      <c r="I312" s="148">
        <v>0</v>
      </c>
      <c r="J312" s="148">
        <v>0</v>
      </c>
      <c r="K312" s="148">
        <v>0</v>
      </c>
      <c r="L312" s="148">
        <v>0</v>
      </c>
      <c r="M312" s="148">
        <v>1</v>
      </c>
      <c r="N312" s="148">
        <v>0</v>
      </c>
      <c r="O312" s="148">
        <v>0</v>
      </c>
      <c r="P312" s="148">
        <v>0</v>
      </c>
    </row>
    <row r="313" spans="1:16" s="43" customFormat="1">
      <c r="A313" s="147" t="s">
        <v>862</v>
      </c>
      <c r="B313" s="148">
        <v>9197</v>
      </c>
      <c r="C313" s="148" t="s">
        <v>3232</v>
      </c>
      <c r="D313" s="148">
        <v>3</v>
      </c>
      <c r="E313" s="148">
        <v>0</v>
      </c>
      <c r="F313" s="148">
        <v>1</v>
      </c>
      <c r="G313" s="148">
        <v>1</v>
      </c>
      <c r="H313" s="148">
        <v>0</v>
      </c>
      <c r="I313" s="148">
        <v>0</v>
      </c>
      <c r="J313" s="148">
        <v>0</v>
      </c>
      <c r="K313" s="148">
        <v>0</v>
      </c>
      <c r="L313" s="148">
        <v>0</v>
      </c>
      <c r="M313" s="148">
        <v>1</v>
      </c>
      <c r="N313" s="148">
        <v>0</v>
      </c>
      <c r="O313" s="148">
        <v>0</v>
      </c>
      <c r="P313" s="148">
        <v>0</v>
      </c>
    </row>
    <row r="314" spans="1:16" s="43" customFormat="1">
      <c r="A314" s="149" t="s">
        <v>499</v>
      </c>
      <c r="B314" s="148">
        <v>9202</v>
      </c>
      <c r="C314" s="148" t="s">
        <v>3233</v>
      </c>
      <c r="D314" s="148">
        <v>1</v>
      </c>
      <c r="E314" s="148">
        <v>0</v>
      </c>
      <c r="F314" s="148">
        <v>0</v>
      </c>
      <c r="G314" s="148">
        <v>0</v>
      </c>
      <c r="H314" s="148">
        <v>0</v>
      </c>
      <c r="I314" s="148">
        <v>0</v>
      </c>
      <c r="J314" s="148">
        <v>0</v>
      </c>
      <c r="K314" s="148">
        <v>0</v>
      </c>
      <c r="L314" s="148">
        <v>0</v>
      </c>
      <c r="M314" s="148">
        <v>0</v>
      </c>
      <c r="N314" s="148">
        <v>0</v>
      </c>
      <c r="O314" s="148">
        <v>0</v>
      </c>
      <c r="P314" s="148">
        <v>0</v>
      </c>
    </row>
    <row r="315" spans="1:16" s="43" customFormat="1">
      <c r="A315" s="149" t="s">
        <v>499</v>
      </c>
      <c r="B315" s="148">
        <v>9202</v>
      </c>
      <c r="C315" s="149" t="s">
        <v>3225</v>
      </c>
      <c r="D315" s="148">
        <v>2</v>
      </c>
      <c r="E315" s="148">
        <v>0</v>
      </c>
      <c r="F315" s="148">
        <v>0</v>
      </c>
      <c r="G315" s="148">
        <v>1</v>
      </c>
      <c r="H315" s="148">
        <v>1</v>
      </c>
      <c r="I315" s="148">
        <v>0</v>
      </c>
      <c r="J315" s="148">
        <v>1</v>
      </c>
      <c r="K315" s="148">
        <v>0</v>
      </c>
      <c r="L315" s="148">
        <v>0</v>
      </c>
      <c r="M315" s="148">
        <v>0</v>
      </c>
      <c r="N315" s="148">
        <v>0</v>
      </c>
      <c r="O315" s="148">
        <v>0</v>
      </c>
      <c r="P315" s="148">
        <v>0</v>
      </c>
    </row>
    <row r="316" spans="1:16" s="43" customFormat="1">
      <c r="A316" s="43" t="s">
        <v>337</v>
      </c>
      <c r="B316" s="36">
        <v>9208</v>
      </c>
      <c r="C316" s="43" t="s">
        <v>3234</v>
      </c>
      <c r="D316" s="36">
        <v>1</v>
      </c>
      <c r="E316" s="36">
        <v>0</v>
      </c>
      <c r="F316" s="36">
        <v>0</v>
      </c>
      <c r="G316" s="36">
        <v>0</v>
      </c>
      <c r="H316" s="36">
        <v>0</v>
      </c>
      <c r="I316" s="36">
        <v>0</v>
      </c>
      <c r="J316" s="36">
        <v>0</v>
      </c>
      <c r="K316" s="36">
        <v>0</v>
      </c>
      <c r="L316" s="36">
        <v>1</v>
      </c>
      <c r="M316" s="36">
        <v>0</v>
      </c>
      <c r="N316" s="36">
        <v>0</v>
      </c>
      <c r="O316" s="36">
        <v>0</v>
      </c>
      <c r="P316" s="36">
        <v>0</v>
      </c>
    </row>
    <row r="317" spans="1:16" s="43" customFormat="1">
      <c r="A317" s="43" t="s">
        <v>337</v>
      </c>
      <c r="B317" s="36">
        <v>9208</v>
      </c>
      <c r="C317" s="43" t="s">
        <v>3235</v>
      </c>
      <c r="D317" s="36">
        <v>2</v>
      </c>
      <c r="E317" s="36">
        <v>0</v>
      </c>
      <c r="F317" s="36">
        <v>1</v>
      </c>
      <c r="G317" s="36">
        <v>1</v>
      </c>
      <c r="H317" s="36">
        <v>0</v>
      </c>
      <c r="I317" s="36">
        <v>0</v>
      </c>
      <c r="J317" s="36">
        <v>1</v>
      </c>
      <c r="K317" s="36">
        <v>0</v>
      </c>
      <c r="L317" s="36">
        <v>1</v>
      </c>
      <c r="M317" s="36">
        <v>1</v>
      </c>
      <c r="N317" s="36">
        <v>1</v>
      </c>
      <c r="O317" s="36">
        <v>0</v>
      </c>
      <c r="P317" s="36">
        <v>0</v>
      </c>
    </row>
    <row r="318" spans="1:16" s="43" customFormat="1">
      <c r="A318" s="149" t="s">
        <v>507</v>
      </c>
      <c r="B318" s="148">
        <v>9210</v>
      </c>
      <c r="C318" s="148" t="s">
        <v>3226</v>
      </c>
      <c r="D318" s="148">
        <v>1</v>
      </c>
      <c r="E318" s="148">
        <v>0</v>
      </c>
      <c r="F318" s="148">
        <v>0</v>
      </c>
      <c r="G318" s="148">
        <v>0</v>
      </c>
      <c r="H318" s="148">
        <v>0</v>
      </c>
      <c r="I318" s="148">
        <v>0</v>
      </c>
      <c r="J318" s="148">
        <v>0</v>
      </c>
      <c r="K318" s="148">
        <v>0</v>
      </c>
      <c r="L318" s="148">
        <v>0</v>
      </c>
      <c r="M318" s="148">
        <v>0</v>
      </c>
      <c r="N318" s="148">
        <v>0</v>
      </c>
      <c r="O318" s="148">
        <v>0</v>
      </c>
      <c r="P318" s="148">
        <v>0</v>
      </c>
    </row>
    <row r="319" spans="1:16" s="43" customFormat="1">
      <c r="A319" s="149" t="s">
        <v>507</v>
      </c>
      <c r="B319" s="148">
        <v>9210</v>
      </c>
      <c r="C319" s="148" t="s">
        <v>3225</v>
      </c>
      <c r="D319" s="148">
        <v>2</v>
      </c>
      <c r="E319" s="148">
        <v>1</v>
      </c>
      <c r="F319" s="148">
        <v>0</v>
      </c>
      <c r="G319" s="148">
        <v>0</v>
      </c>
      <c r="H319" s="148">
        <v>0</v>
      </c>
      <c r="I319" s="148">
        <v>1</v>
      </c>
      <c r="J319" s="148">
        <v>1</v>
      </c>
      <c r="K319" s="148">
        <v>0</v>
      </c>
      <c r="L319" s="148">
        <v>0</v>
      </c>
      <c r="M319" s="148">
        <v>0</v>
      </c>
      <c r="N319" s="148">
        <v>0</v>
      </c>
      <c r="O319" s="148">
        <v>0</v>
      </c>
      <c r="P319" s="148">
        <v>0</v>
      </c>
    </row>
    <row r="320" spans="1:16" s="43" customFormat="1">
      <c r="A320" s="43" t="s">
        <v>874</v>
      </c>
      <c r="B320" s="36">
        <v>10019</v>
      </c>
      <c r="C320" s="43" t="s">
        <v>3236</v>
      </c>
      <c r="D320" s="36">
        <v>1</v>
      </c>
      <c r="E320" s="36">
        <v>0</v>
      </c>
      <c r="F320" s="36">
        <v>1</v>
      </c>
      <c r="G320" s="36">
        <v>0</v>
      </c>
      <c r="H320" s="36">
        <v>0</v>
      </c>
      <c r="I320" s="36">
        <v>0</v>
      </c>
      <c r="J320" s="36">
        <v>0</v>
      </c>
      <c r="K320" s="36">
        <v>0</v>
      </c>
      <c r="L320" s="36">
        <v>1</v>
      </c>
      <c r="M320" s="36">
        <v>1</v>
      </c>
      <c r="N320" s="36">
        <v>0</v>
      </c>
      <c r="O320" s="36">
        <v>0</v>
      </c>
      <c r="P320" s="36">
        <v>0</v>
      </c>
    </row>
    <row r="321" spans="1:16" s="43" customFormat="1">
      <c r="A321" s="43" t="s">
        <v>874</v>
      </c>
      <c r="B321" s="36">
        <v>10019</v>
      </c>
      <c r="C321" s="43" t="s">
        <v>3237</v>
      </c>
      <c r="D321" s="36">
        <v>2</v>
      </c>
      <c r="E321" s="36">
        <v>0</v>
      </c>
      <c r="F321" s="36">
        <v>0</v>
      </c>
      <c r="G321" s="36">
        <v>0</v>
      </c>
      <c r="H321" s="36">
        <v>0</v>
      </c>
      <c r="I321" s="36">
        <v>0</v>
      </c>
      <c r="J321" s="36">
        <v>0</v>
      </c>
      <c r="K321" s="36">
        <v>0</v>
      </c>
      <c r="L321" s="36">
        <v>1</v>
      </c>
      <c r="M321" s="36">
        <v>1</v>
      </c>
      <c r="N321" s="36">
        <v>0</v>
      </c>
      <c r="O321" s="36">
        <v>0</v>
      </c>
      <c r="P321" s="36">
        <v>0</v>
      </c>
    </row>
    <row r="322" spans="1:16" s="43" customFormat="1">
      <c r="A322" s="43" t="s">
        <v>340</v>
      </c>
      <c r="B322" s="36">
        <v>10023</v>
      </c>
      <c r="C322" s="36" t="s">
        <v>3238</v>
      </c>
      <c r="D322" s="36">
        <v>1</v>
      </c>
      <c r="E322" s="36">
        <v>0</v>
      </c>
      <c r="F322" s="36">
        <v>0</v>
      </c>
      <c r="G322" s="36">
        <v>0</v>
      </c>
      <c r="H322" s="36">
        <v>0</v>
      </c>
      <c r="I322" s="36">
        <v>0</v>
      </c>
      <c r="J322" s="36">
        <v>0</v>
      </c>
      <c r="K322" s="36">
        <v>0</v>
      </c>
      <c r="L322" s="36">
        <v>1</v>
      </c>
      <c r="M322" s="36">
        <v>1</v>
      </c>
      <c r="N322" s="36">
        <v>0</v>
      </c>
      <c r="O322" s="36">
        <v>0</v>
      </c>
      <c r="P322" s="36">
        <v>0</v>
      </c>
    </row>
    <row r="323" spans="1:16" s="43" customFormat="1">
      <c r="A323" s="43" t="s">
        <v>340</v>
      </c>
      <c r="B323" s="36">
        <v>10023</v>
      </c>
      <c r="C323" s="36" t="s">
        <v>3239</v>
      </c>
      <c r="D323" s="36">
        <v>2</v>
      </c>
      <c r="E323" s="36">
        <v>0</v>
      </c>
      <c r="F323" s="36">
        <v>1</v>
      </c>
      <c r="G323" s="36">
        <v>1</v>
      </c>
      <c r="H323" s="36">
        <v>0</v>
      </c>
      <c r="I323" s="36">
        <v>0</v>
      </c>
      <c r="J323" s="36">
        <v>0</v>
      </c>
      <c r="K323" s="36">
        <v>1</v>
      </c>
      <c r="L323" s="36">
        <v>1</v>
      </c>
      <c r="M323" s="36">
        <v>1</v>
      </c>
      <c r="N323" s="36">
        <v>0</v>
      </c>
      <c r="O323" s="36">
        <v>0</v>
      </c>
      <c r="P323" s="36">
        <v>0</v>
      </c>
    </row>
    <row r="324" spans="1:16" s="43" customFormat="1">
      <c r="A324" s="43" t="s">
        <v>881</v>
      </c>
      <c r="B324" s="36">
        <v>10044</v>
      </c>
      <c r="C324" s="43" t="s">
        <v>3226</v>
      </c>
      <c r="D324" s="36">
        <v>1</v>
      </c>
      <c r="E324" s="36">
        <v>0</v>
      </c>
      <c r="F324" s="36">
        <v>0</v>
      </c>
      <c r="G324" s="36">
        <v>0</v>
      </c>
      <c r="H324" s="36">
        <v>0</v>
      </c>
      <c r="I324" s="36">
        <v>0</v>
      </c>
      <c r="J324" s="36">
        <v>0</v>
      </c>
      <c r="K324" s="36">
        <v>0</v>
      </c>
      <c r="L324" s="36">
        <v>0</v>
      </c>
      <c r="M324" s="36">
        <v>1</v>
      </c>
      <c r="N324" s="36">
        <v>0</v>
      </c>
      <c r="O324" s="36">
        <v>0</v>
      </c>
      <c r="P324" s="36">
        <v>0</v>
      </c>
    </row>
    <row r="325" spans="1:16" s="43" customFormat="1">
      <c r="A325" s="43" t="s">
        <v>881</v>
      </c>
      <c r="B325" s="36">
        <v>10044</v>
      </c>
      <c r="C325" s="43" t="s">
        <v>3240</v>
      </c>
      <c r="D325" s="36">
        <v>2</v>
      </c>
      <c r="E325" s="36">
        <v>0</v>
      </c>
      <c r="F325" s="36">
        <v>0</v>
      </c>
      <c r="G325" s="36">
        <v>0</v>
      </c>
      <c r="H325" s="36">
        <v>1</v>
      </c>
      <c r="I325" s="36">
        <v>0</v>
      </c>
      <c r="J325" s="36">
        <v>0</v>
      </c>
      <c r="K325" s="36">
        <v>1</v>
      </c>
      <c r="L325" s="36">
        <v>0</v>
      </c>
      <c r="M325" s="36">
        <v>1</v>
      </c>
      <c r="N325" s="36">
        <v>1</v>
      </c>
      <c r="O325" s="36">
        <v>0</v>
      </c>
      <c r="P325" s="36">
        <v>0</v>
      </c>
    </row>
    <row r="326" spans="1:16" s="43" customFormat="1">
      <c r="A326" s="43" t="s">
        <v>274</v>
      </c>
      <c r="B326" s="36">
        <v>10052</v>
      </c>
      <c r="C326" s="43" t="s">
        <v>3229</v>
      </c>
      <c r="D326" s="36">
        <v>1</v>
      </c>
      <c r="E326" s="36">
        <v>0</v>
      </c>
      <c r="F326" s="36">
        <v>1</v>
      </c>
      <c r="G326" s="36">
        <v>0</v>
      </c>
      <c r="H326" s="36">
        <v>0</v>
      </c>
      <c r="I326" s="36">
        <v>0</v>
      </c>
      <c r="J326" s="36">
        <v>0</v>
      </c>
      <c r="K326" s="36">
        <v>0</v>
      </c>
      <c r="L326" s="36">
        <v>0</v>
      </c>
      <c r="M326" s="36">
        <v>0</v>
      </c>
      <c r="N326" s="36">
        <v>0</v>
      </c>
      <c r="O326" s="36">
        <v>0</v>
      </c>
      <c r="P326" s="36">
        <v>0</v>
      </c>
    </row>
    <row r="327" spans="1:16" s="43" customFormat="1">
      <c r="A327" s="43" t="s">
        <v>274</v>
      </c>
      <c r="B327" s="36">
        <v>10052</v>
      </c>
      <c r="C327" s="43" t="s">
        <v>3222</v>
      </c>
      <c r="D327" s="36">
        <v>2</v>
      </c>
      <c r="E327" s="36">
        <v>0</v>
      </c>
      <c r="F327" s="36">
        <v>1</v>
      </c>
      <c r="G327" s="36">
        <v>1</v>
      </c>
      <c r="H327" s="36">
        <v>1</v>
      </c>
      <c r="I327" s="36">
        <v>0</v>
      </c>
      <c r="J327" s="36">
        <v>0</v>
      </c>
      <c r="K327" s="36">
        <v>0</v>
      </c>
      <c r="L327" s="36">
        <v>1</v>
      </c>
      <c r="M327" s="36">
        <v>1</v>
      </c>
      <c r="N327" s="36">
        <v>0</v>
      </c>
      <c r="O327" s="36">
        <v>0</v>
      </c>
      <c r="P327" s="36">
        <v>0</v>
      </c>
    </row>
    <row r="328" spans="1:16" s="43" customFormat="1">
      <c r="A328" s="36" t="s">
        <v>341</v>
      </c>
      <c r="B328" s="36">
        <v>10067</v>
      </c>
      <c r="C328" s="36" t="s">
        <v>3229</v>
      </c>
      <c r="D328" s="36">
        <v>1</v>
      </c>
      <c r="E328" s="36">
        <v>0</v>
      </c>
      <c r="F328" s="36">
        <v>0</v>
      </c>
      <c r="G328" s="36">
        <v>0</v>
      </c>
      <c r="H328" s="36">
        <v>0</v>
      </c>
      <c r="I328" s="36">
        <v>0</v>
      </c>
      <c r="J328" s="36">
        <v>0</v>
      </c>
      <c r="K328" s="36">
        <v>0</v>
      </c>
      <c r="L328" s="36">
        <v>1</v>
      </c>
      <c r="M328" s="36">
        <v>1</v>
      </c>
      <c r="N328" s="36">
        <v>0</v>
      </c>
      <c r="O328" s="36">
        <v>0</v>
      </c>
      <c r="P328" s="36">
        <v>0</v>
      </c>
    </row>
    <row r="329" spans="1:16" s="43" customFormat="1">
      <c r="A329" s="36" t="s">
        <v>341</v>
      </c>
      <c r="B329" s="36">
        <v>10067</v>
      </c>
      <c r="C329" s="36" t="s">
        <v>3222</v>
      </c>
      <c r="D329" s="36">
        <v>2</v>
      </c>
      <c r="E329" s="36">
        <v>0</v>
      </c>
      <c r="F329" s="36">
        <v>1</v>
      </c>
      <c r="G329" s="36">
        <v>1</v>
      </c>
      <c r="H329" s="36">
        <v>0</v>
      </c>
      <c r="I329" s="36">
        <v>0</v>
      </c>
      <c r="J329" s="36">
        <v>0</v>
      </c>
      <c r="K329" s="36">
        <v>0</v>
      </c>
      <c r="L329" s="36">
        <v>1</v>
      </c>
      <c r="M329" s="36">
        <v>1</v>
      </c>
      <c r="N329" s="36">
        <v>0</v>
      </c>
      <c r="O329" s="36">
        <v>0</v>
      </c>
      <c r="P329" s="36">
        <v>0</v>
      </c>
    </row>
    <row r="330" spans="1:16" s="43" customFormat="1">
      <c r="A330" s="43" t="s">
        <v>342</v>
      </c>
      <c r="B330" s="36">
        <v>10069</v>
      </c>
      <c r="C330" s="43" t="s">
        <v>3230</v>
      </c>
      <c r="D330" s="36">
        <v>1</v>
      </c>
      <c r="E330" s="36">
        <v>0</v>
      </c>
      <c r="F330" s="36">
        <v>0</v>
      </c>
      <c r="G330" s="36">
        <v>0</v>
      </c>
      <c r="H330" s="36">
        <v>0</v>
      </c>
      <c r="I330" s="36">
        <v>0</v>
      </c>
      <c r="J330" s="36">
        <v>0</v>
      </c>
      <c r="K330" s="36">
        <v>0</v>
      </c>
      <c r="L330" s="36">
        <v>0</v>
      </c>
      <c r="M330" s="36">
        <v>0</v>
      </c>
      <c r="N330" s="36">
        <v>0</v>
      </c>
      <c r="O330" s="36">
        <v>0</v>
      </c>
      <c r="P330" s="36">
        <v>0</v>
      </c>
    </row>
    <row r="331" spans="1:16" s="43" customFormat="1">
      <c r="A331" s="43" t="s">
        <v>342</v>
      </c>
      <c r="B331" s="36">
        <v>10069</v>
      </c>
      <c r="C331" s="43" t="s">
        <v>3241</v>
      </c>
      <c r="D331" s="36">
        <v>2</v>
      </c>
      <c r="E331" s="36">
        <v>0</v>
      </c>
      <c r="F331" s="36">
        <v>0</v>
      </c>
      <c r="G331" s="36">
        <v>0</v>
      </c>
      <c r="H331" s="36">
        <v>1</v>
      </c>
      <c r="I331" s="36">
        <v>0</v>
      </c>
      <c r="J331" s="36">
        <v>0</v>
      </c>
      <c r="K331" s="36">
        <v>0</v>
      </c>
      <c r="L331" s="36">
        <v>1</v>
      </c>
      <c r="M331" s="36">
        <v>1</v>
      </c>
      <c r="N331" s="36">
        <v>0</v>
      </c>
      <c r="O331" s="36">
        <v>0</v>
      </c>
      <c r="P331" s="36">
        <v>0</v>
      </c>
    </row>
    <row r="332" spans="1:16" s="43" customFormat="1">
      <c r="A332" s="43" t="s">
        <v>342</v>
      </c>
      <c r="B332" s="36">
        <v>10069</v>
      </c>
      <c r="C332" s="43" t="s">
        <v>3242</v>
      </c>
      <c r="D332" s="36">
        <v>3</v>
      </c>
      <c r="E332" s="36">
        <v>0</v>
      </c>
      <c r="F332" s="36">
        <v>1</v>
      </c>
      <c r="G332" s="36">
        <v>0</v>
      </c>
      <c r="H332" s="36">
        <v>1</v>
      </c>
      <c r="I332" s="36">
        <v>0</v>
      </c>
      <c r="J332" s="36">
        <v>0</v>
      </c>
      <c r="K332" s="36">
        <v>0</v>
      </c>
      <c r="L332" s="36">
        <v>1</v>
      </c>
      <c r="M332" s="36">
        <v>1</v>
      </c>
      <c r="N332" s="36">
        <v>0</v>
      </c>
      <c r="O332" s="36">
        <v>0</v>
      </c>
      <c r="P332" s="36">
        <v>0</v>
      </c>
    </row>
    <row r="333" spans="1:16" s="43" customFormat="1">
      <c r="A333" s="43" t="s">
        <v>344</v>
      </c>
      <c r="B333" s="36">
        <v>10072</v>
      </c>
      <c r="C333" s="43" t="s">
        <v>3226</v>
      </c>
      <c r="D333" s="36">
        <v>1</v>
      </c>
      <c r="E333" s="36">
        <v>0</v>
      </c>
      <c r="F333" s="36">
        <v>0</v>
      </c>
      <c r="G333" s="36">
        <v>0</v>
      </c>
      <c r="H333" s="36">
        <v>0</v>
      </c>
      <c r="I333" s="36">
        <v>0</v>
      </c>
      <c r="J333" s="36">
        <v>0</v>
      </c>
      <c r="K333" s="36">
        <v>0</v>
      </c>
      <c r="L333" s="36">
        <v>1</v>
      </c>
      <c r="M333" s="36">
        <v>0</v>
      </c>
      <c r="N333" s="36">
        <v>0</v>
      </c>
      <c r="O333" s="36">
        <v>0</v>
      </c>
      <c r="P333" s="36">
        <v>1</v>
      </c>
    </row>
    <row r="334" spans="1:16" s="43" customFormat="1">
      <c r="A334" s="43" t="s">
        <v>344</v>
      </c>
      <c r="B334" s="36">
        <v>10072</v>
      </c>
      <c r="C334" s="43" t="s">
        <v>3225</v>
      </c>
      <c r="D334" s="36">
        <v>2</v>
      </c>
      <c r="E334" s="36">
        <v>0</v>
      </c>
      <c r="F334" s="36">
        <v>1</v>
      </c>
      <c r="G334" s="36">
        <v>1</v>
      </c>
      <c r="H334" s="36">
        <v>0</v>
      </c>
      <c r="I334" s="36">
        <v>1</v>
      </c>
      <c r="J334" s="36">
        <v>0</v>
      </c>
      <c r="K334" s="36">
        <v>0</v>
      </c>
      <c r="L334" s="36">
        <v>1</v>
      </c>
      <c r="M334" s="36">
        <v>1</v>
      </c>
      <c r="N334" s="36">
        <v>0</v>
      </c>
      <c r="O334" s="36">
        <v>0</v>
      </c>
      <c r="P334" s="36">
        <v>1</v>
      </c>
    </row>
    <row r="335" spans="1:16" s="43" customFormat="1">
      <c r="A335" s="148" t="s">
        <v>910</v>
      </c>
      <c r="B335" s="148">
        <v>10075</v>
      </c>
      <c r="C335" s="149" t="s">
        <v>3229</v>
      </c>
      <c r="D335" s="148">
        <v>1</v>
      </c>
      <c r="E335" s="148">
        <v>0</v>
      </c>
      <c r="F335" s="148">
        <v>0</v>
      </c>
      <c r="G335" s="148">
        <v>0</v>
      </c>
      <c r="H335" s="148">
        <v>0</v>
      </c>
      <c r="I335" s="148">
        <v>0</v>
      </c>
      <c r="J335" s="148">
        <v>0</v>
      </c>
      <c r="K335" s="148">
        <v>0</v>
      </c>
      <c r="L335" s="148">
        <v>0</v>
      </c>
      <c r="M335" s="148">
        <v>0</v>
      </c>
      <c r="N335" s="148">
        <v>1</v>
      </c>
      <c r="O335" s="148">
        <v>0</v>
      </c>
      <c r="P335" s="148">
        <v>0</v>
      </c>
    </row>
    <row r="336" spans="1:16" s="43" customFormat="1">
      <c r="A336" s="148" t="s">
        <v>910</v>
      </c>
      <c r="B336" s="148">
        <v>10075</v>
      </c>
      <c r="C336" s="149" t="s">
        <v>3222</v>
      </c>
      <c r="D336" s="148">
        <v>2</v>
      </c>
      <c r="E336" s="148">
        <v>0</v>
      </c>
      <c r="F336" s="148">
        <v>1</v>
      </c>
      <c r="G336" s="148">
        <v>0</v>
      </c>
      <c r="H336" s="148">
        <v>0</v>
      </c>
      <c r="I336" s="148">
        <v>0</v>
      </c>
      <c r="J336" s="148">
        <v>0</v>
      </c>
      <c r="K336" s="148">
        <v>0</v>
      </c>
      <c r="L336" s="148">
        <v>0</v>
      </c>
      <c r="M336" s="148">
        <v>1</v>
      </c>
      <c r="N336" s="148">
        <v>1</v>
      </c>
      <c r="O336" s="148">
        <v>0</v>
      </c>
      <c r="P336" s="148">
        <v>0</v>
      </c>
    </row>
    <row r="337" spans="1:16" s="43" customFormat="1">
      <c r="A337" s="43" t="s">
        <v>345</v>
      </c>
      <c r="B337" s="36">
        <v>10112</v>
      </c>
      <c r="C337" s="43" t="s">
        <v>3243</v>
      </c>
      <c r="D337" s="36">
        <v>1</v>
      </c>
      <c r="E337" s="36">
        <v>0</v>
      </c>
      <c r="F337" s="36">
        <v>0</v>
      </c>
      <c r="G337" s="36">
        <v>0</v>
      </c>
      <c r="H337" s="36">
        <v>0</v>
      </c>
      <c r="I337" s="36">
        <v>0</v>
      </c>
      <c r="J337" s="36">
        <v>0</v>
      </c>
      <c r="K337" s="36">
        <v>1</v>
      </c>
      <c r="L337" s="36">
        <v>0</v>
      </c>
      <c r="M337" s="36">
        <v>1</v>
      </c>
      <c r="N337" s="36">
        <v>0</v>
      </c>
      <c r="O337" s="36">
        <v>0</v>
      </c>
      <c r="P337" s="36">
        <v>0</v>
      </c>
    </row>
    <row r="338" spans="1:16" s="43" customFormat="1">
      <c r="A338" s="43" t="s">
        <v>345</v>
      </c>
      <c r="B338" s="36">
        <v>10112</v>
      </c>
      <c r="C338" s="43" t="s">
        <v>3244</v>
      </c>
      <c r="D338" s="36">
        <v>2</v>
      </c>
      <c r="E338" s="36">
        <v>0</v>
      </c>
      <c r="F338" s="36">
        <v>0</v>
      </c>
      <c r="G338" s="36">
        <v>0</v>
      </c>
      <c r="H338" s="36">
        <v>0</v>
      </c>
      <c r="I338" s="36">
        <v>0</v>
      </c>
      <c r="J338" s="36">
        <v>0</v>
      </c>
      <c r="K338" s="36">
        <v>1</v>
      </c>
      <c r="L338" s="36">
        <v>0</v>
      </c>
      <c r="M338" s="36">
        <v>1</v>
      </c>
      <c r="N338" s="36">
        <v>0</v>
      </c>
      <c r="O338" s="36">
        <v>0</v>
      </c>
      <c r="P338" s="36">
        <v>0</v>
      </c>
    </row>
    <row r="339" spans="1:16" s="43" customFormat="1">
      <c r="A339" s="52" t="s">
        <v>346</v>
      </c>
      <c r="B339" s="36">
        <v>10127</v>
      </c>
      <c r="C339" s="36" t="s">
        <v>3245</v>
      </c>
      <c r="D339" s="36">
        <v>1</v>
      </c>
      <c r="E339" s="36">
        <v>0</v>
      </c>
      <c r="F339" s="36">
        <v>0</v>
      </c>
      <c r="G339" s="36">
        <v>0</v>
      </c>
      <c r="H339" s="36">
        <v>0</v>
      </c>
      <c r="I339" s="36">
        <v>0</v>
      </c>
      <c r="J339" s="36">
        <v>0</v>
      </c>
      <c r="K339" s="36">
        <v>0</v>
      </c>
      <c r="L339" s="36">
        <v>0</v>
      </c>
      <c r="M339" s="36">
        <v>0</v>
      </c>
      <c r="N339" s="36">
        <v>0</v>
      </c>
      <c r="O339" s="36">
        <v>0</v>
      </c>
      <c r="P339" s="36">
        <v>0</v>
      </c>
    </row>
    <row r="340" spans="1:16" s="43" customFormat="1">
      <c r="A340" s="52" t="s">
        <v>346</v>
      </c>
      <c r="B340" s="36">
        <v>10127</v>
      </c>
      <c r="C340" s="36" t="s">
        <v>3222</v>
      </c>
      <c r="D340" s="36">
        <v>2</v>
      </c>
      <c r="E340" s="36">
        <v>0</v>
      </c>
      <c r="F340" s="36">
        <v>1</v>
      </c>
      <c r="G340" s="36">
        <v>0</v>
      </c>
      <c r="H340" s="36">
        <v>0</v>
      </c>
      <c r="I340" s="36">
        <v>0</v>
      </c>
      <c r="J340" s="36">
        <v>0</v>
      </c>
      <c r="K340" s="36">
        <v>0</v>
      </c>
      <c r="L340" s="36">
        <v>1</v>
      </c>
      <c r="M340" s="36">
        <v>1</v>
      </c>
      <c r="N340" s="36">
        <v>0</v>
      </c>
      <c r="O340" s="36">
        <v>0</v>
      </c>
      <c r="P340" s="36">
        <v>0</v>
      </c>
    </row>
    <row r="341" spans="1:16" s="43" customFormat="1">
      <c r="A341" s="43" t="s">
        <v>275</v>
      </c>
      <c r="B341" s="36">
        <v>10143</v>
      </c>
      <c r="C341" s="36" t="s">
        <v>3221</v>
      </c>
      <c r="D341" s="36">
        <v>1</v>
      </c>
      <c r="E341" s="36">
        <v>0</v>
      </c>
      <c r="F341" s="36">
        <v>0</v>
      </c>
      <c r="G341" s="36">
        <v>0</v>
      </c>
      <c r="H341" s="36">
        <v>0</v>
      </c>
      <c r="I341" s="36">
        <v>1</v>
      </c>
      <c r="J341" s="36">
        <v>0</v>
      </c>
      <c r="K341" s="36">
        <v>0</v>
      </c>
      <c r="L341" s="36">
        <v>0</v>
      </c>
      <c r="M341" s="36">
        <v>1</v>
      </c>
      <c r="N341" s="36">
        <v>0</v>
      </c>
      <c r="O341" s="36">
        <v>0</v>
      </c>
      <c r="P341" s="36">
        <v>0</v>
      </c>
    </row>
    <row r="342" spans="1:16" s="43" customFormat="1" ht="13" customHeight="1">
      <c r="A342" s="43" t="s">
        <v>275</v>
      </c>
      <c r="B342" s="36">
        <v>10143</v>
      </c>
      <c r="C342" s="36" t="s">
        <v>3246</v>
      </c>
      <c r="D342" s="36">
        <v>2</v>
      </c>
      <c r="E342" s="36">
        <v>0</v>
      </c>
      <c r="F342" s="36">
        <v>1</v>
      </c>
      <c r="G342" s="36">
        <v>0</v>
      </c>
      <c r="H342" s="36">
        <v>1</v>
      </c>
      <c r="I342" s="36">
        <v>1</v>
      </c>
      <c r="J342" s="36">
        <v>0</v>
      </c>
      <c r="K342" s="36">
        <v>1</v>
      </c>
      <c r="L342" s="36">
        <v>1</v>
      </c>
      <c r="M342" s="36">
        <v>1</v>
      </c>
      <c r="N342" s="36">
        <v>1</v>
      </c>
      <c r="O342" s="36">
        <v>0</v>
      </c>
      <c r="P342" s="36">
        <v>0</v>
      </c>
    </row>
    <row r="343" spans="1:16" s="43" customFormat="1" ht="13" customHeight="1">
      <c r="A343" s="43" t="s">
        <v>275</v>
      </c>
      <c r="B343" s="36">
        <v>10143</v>
      </c>
      <c r="C343" s="36" t="s">
        <v>3247</v>
      </c>
      <c r="D343" s="36">
        <v>3</v>
      </c>
      <c r="E343" s="36">
        <v>0</v>
      </c>
      <c r="F343" s="36">
        <v>1</v>
      </c>
      <c r="G343" s="36">
        <v>0</v>
      </c>
      <c r="H343" s="36">
        <v>1</v>
      </c>
      <c r="I343" s="36">
        <v>1</v>
      </c>
      <c r="J343" s="36">
        <v>0</v>
      </c>
      <c r="K343" s="36">
        <v>1</v>
      </c>
      <c r="L343" s="36">
        <v>1</v>
      </c>
      <c r="M343" s="36">
        <v>1</v>
      </c>
      <c r="N343" s="36">
        <v>1</v>
      </c>
      <c r="O343" s="36">
        <v>0</v>
      </c>
      <c r="P343" s="36">
        <v>0</v>
      </c>
    </row>
    <row r="344" spans="1:16" s="43" customFormat="1">
      <c r="A344" s="43" t="s">
        <v>275</v>
      </c>
      <c r="B344" s="36">
        <v>10143</v>
      </c>
      <c r="C344" s="36" t="s">
        <v>3248</v>
      </c>
      <c r="D344" s="36">
        <v>4</v>
      </c>
      <c r="E344" s="36">
        <v>0</v>
      </c>
      <c r="F344" s="36">
        <v>1</v>
      </c>
      <c r="G344" s="36">
        <v>0</v>
      </c>
      <c r="H344" s="36">
        <v>1</v>
      </c>
      <c r="I344" s="36">
        <v>1</v>
      </c>
      <c r="J344" s="36">
        <v>1</v>
      </c>
      <c r="K344" s="36">
        <v>1</v>
      </c>
      <c r="L344" s="36">
        <v>1</v>
      </c>
      <c r="M344" s="36">
        <v>1</v>
      </c>
      <c r="N344" s="36">
        <v>1</v>
      </c>
      <c r="O344" s="36">
        <v>0</v>
      </c>
      <c r="P344" s="36">
        <v>0</v>
      </c>
    </row>
    <row r="345" spans="1:16" s="43" customFormat="1">
      <c r="A345" s="36" t="s">
        <v>1397</v>
      </c>
      <c r="B345" s="36">
        <v>10148</v>
      </c>
      <c r="C345" s="36" t="s">
        <v>3229</v>
      </c>
      <c r="D345" s="36">
        <v>1</v>
      </c>
      <c r="E345" s="36">
        <v>0</v>
      </c>
      <c r="F345" s="36">
        <v>0</v>
      </c>
      <c r="G345" s="36">
        <v>0</v>
      </c>
      <c r="H345" s="36">
        <v>0</v>
      </c>
      <c r="I345" s="36">
        <v>0</v>
      </c>
      <c r="J345" s="36">
        <v>0</v>
      </c>
      <c r="K345" s="36">
        <v>0</v>
      </c>
      <c r="L345" s="36">
        <v>0</v>
      </c>
      <c r="M345" s="36">
        <v>0</v>
      </c>
      <c r="N345" s="36">
        <v>0</v>
      </c>
      <c r="O345" s="36">
        <v>0</v>
      </c>
      <c r="P345" s="36">
        <v>0</v>
      </c>
    </row>
    <row r="346" spans="1:16" s="43" customFormat="1">
      <c r="A346" s="36" t="s">
        <v>1397</v>
      </c>
      <c r="B346" s="36">
        <v>10148</v>
      </c>
      <c r="C346" s="36" t="s">
        <v>3249</v>
      </c>
      <c r="D346" s="36">
        <v>2</v>
      </c>
      <c r="E346" s="36">
        <v>0</v>
      </c>
      <c r="F346" s="36">
        <v>0</v>
      </c>
      <c r="G346" s="36">
        <v>0</v>
      </c>
      <c r="H346" s="36">
        <v>0</v>
      </c>
      <c r="I346" s="36">
        <v>1</v>
      </c>
      <c r="J346" s="36">
        <v>1</v>
      </c>
      <c r="K346" s="36">
        <v>0</v>
      </c>
      <c r="L346" s="36">
        <v>0</v>
      </c>
      <c r="M346" s="36">
        <v>0</v>
      </c>
      <c r="N346" s="36">
        <v>0</v>
      </c>
      <c r="O346" s="36">
        <v>0</v>
      </c>
      <c r="P346" s="36">
        <v>0</v>
      </c>
    </row>
    <row r="347" spans="1:16" s="43" customFormat="1">
      <c r="A347" s="43" t="s">
        <v>347</v>
      </c>
      <c r="B347" s="36">
        <v>10150</v>
      </c>
      <c r="C347" s="43" t="s">
        <v>3229</v>
      </c>
      <c r="D347" s="36">
        <v>1</v>
      </c>
      <c r="E347" s="36">
        <v>0</v>
      </c>
      <c r="F347" s="36">
        <v>0</v>
      </c>
      <c r="G347" s="36">
        <v>0</v>
      </c>
      <c r="H347" s="36">
        <v>0</v>
      </c>
      <c r="I347" s="36">
        <v>0</v>
      </c>
      <c r="J347" s="36">
        <v>0</v>
      </c>
      <c r="K347" s="36">
        <v>0</v>
      </c>
      <c r="L347" s="36">
        <v>0</v>
      </c>
      <c r="M347" s="36">
        <v>0</v>
      </c>
      <c r="N347" s="36">
        <v>0</v>
      </c>
      <c r="O347" s="36">
        <v>0</v>
      </c>
      <c r="P347" s="36">
        <v>0</v>
      </c>
    </row>
    <row r="348" spans="1:16" s="43" customFormat="1">
      <c r="A348" s="43" t="s">
        <v>347</v>
      </c>
      <c r="B348" s="36">
        <v>10150</v>
      </c>
      <c r="C348" s="43" t="s">
        <v>3250</v>
      </c>
      <c r="D348" s="36">
        <v>2</v>
      </c>
      <c r="E348" s="36">
        <v>0</v>
      </c>
      <c r="F348" s="36">
        <v>1</v>
      </c>
      <c r="G348" s="36">
        <v>0</v>
      </c>
      <c r="H348" s="36">
        <v>0</v>
      </c>
      <c r="I348" s="36">
        <v>0</v>
      </c>
      <c r="J348" s="36">
        <v>0</v>
      </c>
      <c r="K348" s="36">
        <v>0</v>
      </c>
      <c r="L348" s="36">
        <v>0</v>
      </c>
      <c r="M348" s="36">
        <v>1</v>
      </c>
      <c r="N348" s="36">
        <v>0</v>
      </c>
      <c r="O348" s="36">
        <v>0</v>
      </c>
      <c r="P348" s="36">
        <v>0</v>
      </c>
    </row>
    <row r="349" spans="1:16" s="43" customFormat="1">
      <c r="A349" s="43" t="s">
        <v>347</v>
      </c>
      <c r="B349" s="36">
        <v>10150</v>
      </c>
      <c r="C349" s="43" t="s">
        <v>3251</v>
      </c>
      <c r="D349" s="36">
        <v>3</v>
      </c>
      <c r="E349" s="36">
        <v>0</v>
      </c>
      <c r="F349" s="36">
        <v>0</v>
      </c>
      <c r="G349" s="36">
        <v>0</v>
      </c>
      <c r="H349" s="36">
        <v>0</v>
      </c>
      <c r="I349" s="36">
        <v>0</v>
      </c>
      <c r="J349" s="36">
        <v>0</v>
      </c>
      <c r="K349" s="36">
        <v>0</v>
      </c>
      <c r="L349" s="36">
        <v>0</v>
      </c>
      <c r="M349" s="36">
        <v>0</v>
      </c>
      <c r="N349" s="36">
        <v>0</v>
      </c>
      <c r="O349" s="36">
        <v>0</v>
      </c>
      <c r="P349" s="36">
        <v>1</v>
      </c>
    </row>
    <row r="350" spans="1:16" s="43" customFormat="1">
      <c r="A350" s="43" t="s">
        <v>348</v>
      </c>
      <c r="B350" s="36">
        <v>10156</v>
      </c>
      <c r="C350" s="43" t="s">
        <v>3226</v>
      </c>
      <c r="D350" s="36">
        <v>1</v>
      </c>
      <c r="E350" s="36">
        <v>0</v>
      </c>
      <c r="F350" s="36">
        <v>0</v>
      </c>
      <c r="G350" s="36">
        <v>0</v>
      </c>
      <c r="H350" s="36">
        <v>0</v>
      </c>
      <c r="I350" s="36">
        <v>0</v>
      </c>
      <c r="J350" s="36">
        <v>0</v>
      </c>
      <c r="K350" s="36">
        <v>0</v>
      </c>
      <c r="L350" s="36">
        <v>0</v>
      </c>
      <c r="M350" s="36">
        <v>0</v>
      </c>
      <c r="N350" s="36">
        <v>0</v>
      </c>
      <c r="O350" s="36">
        <v>0</v>
      </c>
      <c r="P350" s="36">
        <v>0</v>
      </c>
    </row>
    <row r="351" spans="1:16" s="43" customFormat="1">
      <c r="A351" s="43" t="s">
        <v>348</v>
      </c>
      <c r="B351" s="36">
        <v>10156</v>
      </c>
      <c r="C351" s="43" t="s">
        <v>3252</v>
      </c>
      <c r="D351" s="36">
        <v>2</v>
      </c>
      <c r="E351" s="36">
        <v>0</v>
      </c>
      <c r="F351" s="36">
        <v>1</v>
      </c>
      <c r="G351" s="36">
        <v>0</v>
      </c>
      <c r="H351" s="36">
        <v>0</v>
      </c>
      <c r="I351" s="36">
        <v>0</v>
      </c>
      <c r="J351" s="36">
        <v>0</v>
      </c>
      <c r="K351" s="36">
        <v>0</v>
      </c>
      <c r="L351" s="36">
        <v>1</v>
      </c>
      <c r="M351" s="36">
        <v>1</v>
      </c>
      <c r="N351" s="36">
        <v>0</v>
      </c>
      <c r="O351" s="36">
        <v>0</v>
      </c>
      <c r="P351" s="36">
        <v>0</v>
      </c>
    </row>
    <row r="352" spans="1:16" s="43" customFormat="1">
      <c r="A352" s="150" t="s">
        <v>938</v>
      </c>
      <c r="B352" s="36">
        <v>10161</v>
      </c>
      <c r="C352" s="43" t="s">
        <v>3253</v>
      </c>
      <c r="D352" s="36">
        <v>1</v>
      </c>
      <c r="E352" s="36">
        <v>0</v>
      </c>
      <c r="F352" s="36">
        <v>0</v>
      </c>
      <c r="G352" s="36">
        <v>0</v>
      </c>
      <c r="H352" s="36">
        <v>0</v>
      </c>
      <c r="I352" s="36">
        <v>0</v>
      </c>
      <c r="J352" s="36">
        <v>0</v>
      </c>
      <c r="K352" s="36">
        <v>0</v>
      </c>
      <c r="L352" s="36">
        <v>0</v>
      </c>
      <c r="M352" s="36">
        <v>1</v>
      </c>
      <c r="N352" s="36">
        <v>0</v>
      </c>
      <c r="O352" s="36">
        <v>0</v>
      </c>
      <c r="P352" s="36">
        <v>0</v>
      </c>
    </row>
    <row r="353" spans="1:16" s="43" customFormat="1">
      <c r="A353" s="150" t="s">
        <v>938</v>
      </c>
      <c r="B353" s="36">
        <v>10161</v>
      </c>
      <c r="C353" s="43" t="s">
        <v>3254</v>
      </c>
      <c r="D353" s="36">
        <v>2</v>
      </c>
      <c r="E353" s="36">
        <v>0</v>
      </c>
      <c r="F353" s="36">
        <v>1</v>
      </c>
      <c r="G353" s="36">
        <v>1</v>
      </c>
      <c r="H353" s="36">
        <v>0</v>
      </c>
      <c r="I353" s="36">
        <v>0</v>
      </c>
      <c r="J353" s="36">
        <v>0</v>
      </c>
      <c r="K353" s="36">
        <v>0</v>
      </c>
      <c r="L353" s="36">
        <v>1</v>
      </c>
      <c r="M353" s="36">
        <v>1</v>
      </c>
      <c r="N353" s="36">
        <v>0</v>
      </c>
      <c r="O353" s="36">
        <v>0</v>
      </c>
      <c r="P353" s="36">
        <v>0</v>
      </c>
    </row>
    <row r="354" spans="1:16" s="43" customFormat="1">
      <c r="A354" s="43" t="s">
        <v>282</v>
      </c>
      <c r="B354" s="36">
        <v>10171</v>
      </c>
      <c r="C354" s="36" t="s">
        <v>3229</v>
      </c>
      <c r="D354" s="36">
        <v>1</v>
      </c>
      <c r="E354" s="36">
        <v>0</v>
      </c>
      <c r="F354" s="36">
        <v>0</v>
      </c>
      <c r="G354" s="36">
        <v>0</v>
      </c>
      <c r="H354" s="36">
        <v>0</v>
      </c>
      <c r="I354" s="36">
        <v>1</v>
      </c>
      <c r="J354" s="36">
        <v>0</v>
      </c>
      <c r="K354" s="36">
        <v>0</v>
      </c>
      <c r="L354" s="36">
        <v>0</v>
      </c>
      <c r="M354" s="36">
        <v>0</v>
      </c>
      <c r="N354" s="36">
        <v>0</v>
      </c>
      <c r="O354" s="36">
        <v>0</v>
      </c>
      <c r="P354" s="36">
        <v>0</v>
      </c>
    </row>
    <row r="355" spans="1:16" s="43" customFormat="1">
      <c r="A355" s="43" t="s">
        <v>282</v>
      </c>
      <c r="B355" s="36">
        <v>10171</v>
      </c>
      <c r="C355" s="36" t="s">
        <v>3222</v>
      </c>
      <c r="D355" s="36">
        <v>2</v>
      </c>
      <c r="E355" s="36">
        <v>1</v>
      </c>
      <c r="F355" s="36">
        <v>0</v>
      </c>
      <c r="G355" s="36">
        <v>0</v>
      </c>
      <c r="H355" s="36">
        <v>0</v>
      </c>
      <c r="I355" s="36">
        <v>1</v>
      </c>
      <c r="J355" s="36">
        <v>0</v>
      </c>
      <c r="K355" s="36">
        <v>0</v>
      </c>
      <c r="L355" s="36">
        <v>0</v>
      </c>
      <c r="M355" s="36">
        <v>0</v>
      </c>
      <c r="N355" s="36">
        <v>0</v>
      </c>
      <c r="O355" s="36">
        <v>0</v>
      </c>
      <c r="P355" s="36">
        <v>0</v>
      </c>
    </row>
    <row r="356" spans="1:16" s="43" customFormat="1">
      <c r="A356" s="43" t="s">
        <v>350</v>
      </c>
      <c r="B356" s="36">
        <v>10179</v>
      </c>
      <c r="C356" s="43" t="s">
        <v>3255</v>
      </c>
      <c r="D356" s="36">
        <v>1</v>
      </c>
      <c r="E356" s="36">
        <v>0</v>
      </c>
      <c r="F356" s="36">
        <v>0</v>
      </c>
      <c r="G356" s="36">
        <v>0</v>
      </c>
      <c r="H356" s="36">
        <v>0</v>
      </c>
      <c r="I356" s="36">
        <v>0</v>
      </c>
      <c r="J356" s="36">
        <v>0</v>
      </c>
      <c r="K356" s="36">
        <v>0</v>
      </c>
      <c r="L356" s="36">
        <v>1</v>
      </c>
      <c r="M356" s="36">
        <v>1</v>
      </c>
      <c r="N356" s="36">
        <v>0</v>
      </c>
      <c r="O356" s="36">
        <v>0</v>
      </c>
      <c r="P356" s="36">
        <v>0</v>
      </c>
    </row>
    <row r="357" spans="1:16" s="43" customFormat="1">
      <c r="A357" s="43" t="s">
        <v>350</v>
      </c>
      <c r="B357" s="36">
        <v>10179</v>
      </c>
      <c r="C357" s="43" t="s">
        <v>3256</v>
      </c>
      <c r="D357" s="36">
        <v>2</v>
      </c>
      <c r="E357" s="36">
        <v>0</v>
      </c>
      <c r="F357" s="36">
        <v>1</v>
      </c>
      <c r="G357" s="36">
        <v>1</v>
      </c>
      <c r="H357" s="36">
        <v>0</v>
      </c>
      <c r="I357" s="36">
        <v>0</v>
      </c>
      <c r="J357" s="36">
        <v>0</v>
      </c>
      <c r="K357" s="36">
        <v>0</v>
      </c>
      <c r="L357" s="36">
        <v>1</v>
      </c>
      <c r="M357" s="36">
        <v>1</v>
      </c>
      <c r="N357" s="36">
        <v>0</v>
      </c>
      <c r="O357" s="36">
        <v>0</v>
      </c>
      <c r="P357" s="36">
        <v>0</v>
      </c>
    </row>
    <row r="358" spans="1:16" s="43" customFormat="1">
      <c r="A358" s="43" t="s">
        <v>351</v>
      </c>
      <c r="B358" s="36">
        <v>10184</v>
      </c>
      <c r="C358" s="43" t="s">
        <v>3257</v>
      </c>
      <c r="D358" s="36">
        <v>1</v>
      </c>
      <c r="E358" s="36">
        <v>0</v>
      </c>
      <c r="F358" s="36">
        <v>0</v>
      </c>
      <c r="G358" s="36">
        <v>0</v>
      </c>
      <c r="H358" s="36">
        <v>0</v>
      </c>
      <c r="I358" s="36">
        <v>0</v>
      </c>
      <c r="J358" s="36">
        <v>0</v>
      </c>
      <c r="K358" s="36">
        <v>0</v>
      </c>
      <c r="L358" s="36">
        <v>0</v>
      </c>
      <c r="M358" s="36">
        <v>0</v>
      </c>
      <c r="N358" s="36">
        <v>0</v>
      </c>
      <c r="O358" s="36">
        <v>0</v>
      </c>
      <c r="P358" s="36">
        <v>0</v>
      </c>
    </row>
    <row r="359" spans="1:16" s="43" customFormat="1">
      <c r="A359" s="43" t="s">
        <v>351</v>
      </c>
      <c r="B359" s="36">
        <v>10184</v>
      </c>
      <c r="C359" s="43" t="s">
        <v>3258</v>
      </c>
      <c r="D359" s="36">
        <v>2</v>
      </c>
      <c r="E359" s="36">
        <v>0</v>
      </c>
      <c r="F359" s="36">
        <v>0</v>
      </c>
      <c r="G359" s="36">
        <v>1</v>
      </c>
      <c r="H359" s="36">
        <v>0</v>
      </c>
      <c r="I359" s="36">
        <v>0</v>
      </c>
      <c r="J359" s="36">
        <v>0</v>
      </c>
      <c r="K359" s="36">
        <v>0</v>
      </c>
      <c r="L359" s="36">
        <v>1</v>
      </c>
      <c r="M359" s="36">
        <v>1</v>
      </c>
      <c r="N359" s="36">
        <v>0</v>
      </c>
      <c r="O359" s="36">
        <v>0</v>
      </c>
      <c r="P359" s="36">
        <v>0</v>
      </c>
    </row>
    <row r="360" spans="1:16" s="43" customFormat="1" ht="13" customHeight="1">
      <c r="A360" s="43" t="s">
        <v>284</v>
      </c>
      <c r="B360" s="36">
        <v>10189</v>
      </c>
      <c r="C360" s="43" t="s">
        <v>3226</v>
      </c>
      <c r="D360" s="36">
        <v>1</v>
      </c>
      <c r="E360" s="36">
        <v>0</v>
      </c>
      <c r="F360" s="36">
        <v>0</v>
      </c>
      <c r="G360" s="36">
        <v>0</v>
      </c>
      <c r="H360" s="36">
        <v>0</v>
      </c>
      <c r="I360" s="36">
        <v>0</v>
      </c>
      <c r="J360" s="36">
        <v>0</v>
      </c>
      <c r="K360" s="36">
        <v>0</v>
      </c>
      <c r="L360" s="36">
        <v>0</v>
      </c>
      <c r="M360" s="36">
        <v>0</v>
      </c>
      <c r="N360" s="36">
        <v>0</v>
      </c>
      <c r="O360" s="36">
        <v>0</v>
      </c>
      <c r="P360" s="36">
        <v>0</v>
      </c>
    </row>
    <row r="361" spans="1:16" s="43" customFormat="1" ht="13" customHeight="1">
      <c r="A361" s="43" t="s">
        <v>284</v>
      </c>
      <c r="B361" s="36">
        <v>10189</v>
      </c>
      <c r="C361" s="43" t="s">
        <v>3225</v>
      </c>
      <c r="D361" s="36">
        <v>2</v>
      </c>
      <c r="E361" s="36">
        <v>0</v>
      </c>
      <c r="F361" s="36">
        <v>1</v>
      </c>
      <c r="G361" s="36">
        <v>0</v>
      </c>
      <c r="H361" s="36">
        <v>0</v>
      </c>
      <c r="I361" s="36">
        <v>0</v>
      </c>
      <c r="J361" s="36">
        <v>0</v>
      </c>
      <c r="K361" s="36">
        <v>0</v>
      </c>
      <c r="L361" s="36">
        <v>1</v>
      </c>
      <c r="M361" s="36">
        <v>0</v>
      </c>
      <c r="N361" s="36">
        <v>1</v>
      </c>
      <c r="O361" s="36">
        <v>0</v>
      </c>
      <c r="P361" s="36">
        <v>0</v>
      </c>
    </row>
    <row r="362" spans="1:16" s="43" customFormat="1">
      <c r="A362" s="36" t="s">
        <v>352</v>
      </c>
      <c r="B362" s="36">
        <v>10191</v>
      </c>
      <c r="C362" s="36" t="s">
        <v>3259</v>
      </c>
      <c r="D362" s="36">
        <v>1</v>
      </c>
      <c r="E362" s="36">
        <v>0</v>
      </c>
      <c r="F362" s="36">
        <v>0</v>
      </c>
      <c r="G362" s="36">
        <v>0</v>
      </c>
      <c r="H362" s="36">
        <v>0</v>
      </c>
      <c r="I362" s="36">
        <v>1</v>
      </c>
      <c r="J362" s="36">
        <v>1</v>
      </c>
      <c r="K362" s="36">
        <v>0</v>
      </c>
      <c r="L362" s="36">
        <v>1</v>
      </c>
      <c r="M362" s="36">
        <v>0</v>
      </c>
      <c r="N362" s="36">
        <v>1</v>
      </c>
      <c r="O362" s="36">
        <v>0</v>
      </c>
      <c r="P362" s="36">
        <v>0</v>
      </c>
    </row>
    <row r="363" spans="1:16" s="43" customFormat="1">
      <c r="A363" s="36" t="s">
        <v>352</v>
      </c>
      <c r="B363" s="36">
        <v>10191</v>
      </c>
      <c r="C363" s="36" t="s">
        <v>3260</v>
      </c>
      <c r="D363" s="36">
        <v>2</v>
      </c>
      <c r="E363" s="36">
        <v>0</v>
      </c>
      <c r="F363" s="36">
        <v>1</v>
      </c>
      <c r="G363" s="36">
        <v>1</v>
      </c>
      <c r="H363" s="36">
        <v>0</v>
      </c>
      <c r="I363" s="36">
        <v>0</v>
      </c>
      <c r="J363" s="36">
        <v>0</v>
      </c>
      <c r="K363" s="36">
        <v>0</v>
      </c>
      <c r="L363" s="36">
        <v>1</v>
      </c>
      <c r="M363" s="36">
        <v>1</v>
      </c>
      <c r="N363" s="36">
        <v>0</v>
      </c>
      <c r="O363" s="36">
        <v>0</v>
      </c>
      <c r="P363" s="36">
        <v>0</v>
      </c>
    </row>
    <row r="364" spans="1:16" s="43" customFormat="1">
      <c r="A364" s="43" t="s">
        <v>285</v>
      </c>
      <c r="B364" s="36">
        <v>10196</v>
      </c>
      <c r="C364" s="43" t="s">
        <v>3229</v>
      </c>
      <c r="D364" s="36">
        <v>1</v>
      </c>
      <c r="E364" s="36">
        <v>0</v>
      </c>
      <c r="F364" s="36">
        <v>0</v>
      </c>
      <c r="G364" s="36">
        <v>0</v>
      </c>
      <c r="H364" s="36">
        <v>0</v>
      </c>
      <c r="I364" s="36">
        <v>0</v>
      </c>
      <c r="J364" s="36">
        <v>0</v>
      </c>
      <c r="K364" s="36">
        <v>0</v>
      </c>
      <c r="L364" s="36">
        <v>0</v>
      </c>
      <c r="M364" s="36">
        <v>0</v>
      </c>
      <c r="N364" s="36">
        <v>0</v>
      </c>
      <c r="O364" s="36">
        <v>0</v>
      </c>
      <c r="P364" s="36">
        <v>0</v>
      </c>
    </row>
    <row r="365" spans="1:16" s="43" customFormat="1">
      <c r="A365" s="43" t="s">
        <v>285</v>
      </c>
      <c r="B365" s="36">
        <v>10196</v>
      </c>
      <c r="C365" s="43" t="s">
        <v>3222</v>
      </c>
      <c r="D365" s="36">
        <v>2</v>
      </c>
      <c r="E365" s="36">
        <v>0</v>
      </c>
      <c r="F365" s="36">
        <v>0</v>
      </c>
      <c r="G365" s="36">
        <v>0</v>
      </c>
      <c r="H365" s="36">
        <v>0</v>
      </c>
      <c r="I365" s="36">
        <v>1</v>
      </c>
      <c r="J365" s="36">
        <v>0</v>
      </c>
      <c r="K365" s="36">
        <v>0</v>
      </c>
      <c r="L365" s="36">
        <v>1</v>
      </c>
      <c r="M365" s="36">
        <v>1</v>
      </c>
      <c r="N365" s="36">
        <v>0</v>
      </c>
      <c r="O365" s="36">
        <v>0</v>
      </c>
      <c r="P365" s="36">
        <v>0</v>
      </c>
    </row>
    <row r="366" spans="1:16" s="43" customFormat="1">
      <c r="A366" s="36" t="s">
        <v>353</v>
      </c>
      <c r="B366" s="36">
        <v>10203</v>
      </c>
      <c r="C366" s="43" t="s">
        <v>3226</v>
      </c>
      <c r="D366" s="36">
        <v>1</v>
      </c>
      <c r="E366" s="36">
        <v>0</v>
      </c>
      <c r="F366" s="36">
        <v>0</v>
      </c>
      <c r="G366" s="36">
        <v>0</v>
      </c>
      <c r="H366" s="36">
        <v>0</v>
      </c>
      <c r="I366" s="36">
        <v>0</v>
      </c>
      <c r="J366" s="36">
        <v>0</v>
      </c>
      <c r="K366" s="36">
        <v>0</v>
      </c>
      <c r="L366" s="36">
        <v>0</v>
      </c>
      <c r="M366" s="36">
        <v>0</v>
      </c>
      <c r="N366" s="36">
        <v>0</v>
      </c>
      <c r="O366" s="36">
        <v>0</v>
      </c>
      <c r="P366" s="36">
        <v>0</v>
      </c>
    </row>
    <row r="367" spans="1:16" s="43" customFormat="1">
      <c r="A367" s="36" t="s">
        <v>353</v>
      </c>
      <c r="B367" s="36">
        <v>10203</v>
      </c>
      <c r="C367" s="43" t="s">
        <v>3225</v>
      </c>
      <c r="D367" s="36">
        <v>2</v>
      </c>
      <c r="E367" s="36">
        <v>0</v>
      </c>
      <c r="F367" s="36">
        <v>1</v>
      </c>
      <c r="G367" s="36">
        <v>1</v>
      </c>
      <c r="H367" s="36">
        <v>0</v>
      </c>
      <c r="I367" s="36">
        <v>0</v>
      </c>
      <c r="J367" s="36">
        <v>0</v>
      </c>
      <c r="K367" s="36">
        <v>0</v>
      </c>
      <c r="L367" s="36">
        <v>1</v>
      </c>
      <c r="M367" s="36">
        <v>1</v>
      </c>
      <c r="N367" s="36">
        <v>1</v>
      </c>
      <c r="O367" s="36">
        <v>0</v>
      </c>
      <c r="P367" s="36">
        <v>0</v>
      </c>
    </row>
    <row r="368" spans="1:16" s="43" customFormat="1">
      <c r="A368" s="43" t="s">
        <v>354</v>
      </c>
      <c r="B368" s="36">
        <v>10205</v>
      </c>
      <c r="C368" s="36" t="s">
        <v>3226</v>
      </c>
      <c r="D368" s="36">
        <v>1</v>
      </c>
      <c r="E368" s="36">
        <v>0</v>
      </c>
      <c r="F368" s="36">
        <v>0</v>
      </c>
      <c r="G368" s="36">
        <v>0</v>
      </c>
      <c r="H368" s="36">
        <v>0</v>
      </c>
      <c r="I368" s="36">
        <v>0</v>
      </c>
      <c r="J368" s="36">
        <v>0</v>
      </c>
      <c r="K368" s="36">
        <v>0</v>
      </c>
      <c r="L368" s="36">
        <v>1</v>
      </c>
      <c r="M368" s="36">
        <v>0</v>
      </c>
      <c r="N368" s="36">
        <v>0</v>
      </c>
      <c r="O368" s="36">
        <v>0</v>
      </c>
      <c r="P368" s="36">
        <v>0</v>
      </c>
    </row>
    <row r="369" spans="1:16" s="43" customFormat="1">
      <c r="A369" s="43" t="s">
        <v>354</v>
      </c>
      <c r="B369" s="36">
        <v>10205</v>
      </c>
      <c r="C369" s="36" t="s">
        <v>3261</v>
      </c>
      <c r="D369" s="36">
        <v>2</v>
      </c>
      <c r="E369" s="36">
        <v>0</v>
      </c>
      <c r="F369" s="36">
        <v>1</v>
      </c>
      <c r="G369" s="36">
        <v>0</v>
      </c>
      <c r="H369" s="36">
        <v>0</v>
      </c>
      <c r="I369" s="36">
        <v>0</v>
      </c>
      <c r="J369" s="36">
        <v>0</v>
      </c>
      <c r="K369" s="36">
        <v>0</v>
      </c>
      <c r="L369" s="36">
        <v>1</v>
      </c>
      <c r="M369" s="36">
        <v>1</v>
      </c>
      <c r="N369" s="36">
        <v>0</v>
      </c>
      <c r="O369" s="36">
        <v>0</v>
      </c>
      <c r="P369" s="36">
        <v>0</v>
      </c>
    </row>
    <row r="370" spans="1:16" s="43" customFormat="1" ht="13" customHeight="1">
      <c r="A370" s="43" t="s">
        <v>355</v>
      </c>
      <c r="B370" s="36">
        <v>10210</v>
      </c>
      <c r="C370" s="43" t="s">
        <v>3262</v>
      </c>
      <c r="D370" s="36">
        <v>1</v>
      </c>
      <c r="E370" s="36">
        <v>0</v>
      </c>
      <c r="F370" s="36">
        <v>1</v>
      </c>
      <c r="G370" s="36">
        <v>0</v>
      </c>
      <c r="H370" s="36">
        <v>0</v>
      </c>
      <c r="I370" s="36">
        <v>0</v>
      </c>
      <c r="J370" s="36">
        <v>0</v>
      </c>
      <c r="K370" s="36">
        <v>0</v>
      </c>
      <c r="L370" s="36">
        <v>1</v>
      </c>
      <c r="M370" s="36">
        <v>1</v>
      </c>
      <c r="N370" s="36">
        <v>0</v>
      </c>
      <c r="O370" s="36">
        <v>0</v>
      </c>
      <c r="P370" s="36">
        <v>0</v>
      </c>
    </row>
    <row r="371" spans="1:16" s="43" customFormat="1" ht="13" customHeight="1">
      <c r="A371" s="43" t="s">
        <v>355</v>
      </c>
      <c r="B371" s="36">
        <v>10210</v>
      </c>
      <c r="C371" s="43" t="s">
        <v>3263</v>
      </c>
      <c r="D371" s="36">
        <v>2</v>
      </c>
      <c r="E371" s="36">
        <v>0</v>
      </c>
      <c r="F371" s="36">
        <v>1</v>
      </c>
      <c r="G371" s="36">
        <v>1</v>
      </c>
      <c r="H371" s="36">
        <v>0</v>
      </c>
      <c r="I371" s="36">
        <v>0</v>
      </c>
      <c r="J371" s="36">
        <v>1</v>
      </c>
      <c r="K371" s="36">
        <v>1</v>
      </c>
      <c r="L371" s="36">
        <v>1</v>
      </c>
      <c r="M371" s="36">
        <v>1</v>
      </c>
      <c r="N371" s="36">
        <v>0</v>
      </c>
      <c r="O371" s="36">
        <v>0</v>
      </c>
      <c r="P371" s="36">
        <v>0</v>
      </c>
    </row>
    <row r="372" spans="1:16" s="43" customFormat="1" ht="13" customHeight="1">
      <c r="A372" s="43" t="s">
        <v>356</v>
      </c>
      <c r="B372" s="36">
        <v>10220</v>
      </c>
      <c r="C372" s="43" t="s">
        <v>3221</v>
      </c>
      <c r="D372" s="36">
        <v>1</v>
      </c>
      <c r="E372" s="36">
        <v>0</v>
      </c>
      <c r="F372" s="36">
        <v>0</v>
      </c>
      <c r="G372" s="36">
        <v>0</v>
      </c>
      <c r="H372" s="36">
        <v>0</v>
      </c>
      <c r="I372" s="36">
        <v>0</v>
      </c>
      <c r="J372" s="36">
        <v>0</v>
      </c>
      <c r="K372" s="36">
        <v>0</v>
      </c>
      <c r="L372" s="36">
        <v>1</v>
      </c>
      <c r="M372" s="36">
        <v>0</v>
      </c>
      <c r="N372" s="36">
        <v>0</v>
      </c>
      <c r="O372" s="36">
        <v>0</v>
      </c>
      <c r="P372" s="36">
        <v>0</v>
      </c>
    </row>
    <row r="373" spans="1:16" s="43" customFormat="1">
      <c r="A373" s="43" t="s">
        <v>356</v>
      </c>
      <c r="B373" s="36">
        <v>10220</v>
      </c>
      <c r="C373" s="43" t="s">
        <v>3264</v>
      </c>
      <c r="D373" s="36">
        <v>2</v>
      </c>
      <c r="E373" s="36">
        <v>0</v>
      </c>
      <c r="F373" s="36">
        <v>1</v>
      </c>
      <c r="G373" s="36">
        <v>1</v>
      </c>
      <c r="H373" s="36">
        <v>0</v>
      </c>
      <c r="I373" s="36">
        <v>0</v>
      </c>
      <c r="J373" s="36">
        <v>0</v>
      </c>
      <c r="K373" s="36">
        <v>0</v>
      </c>
      <c r="L373" s="36">
        <v>1</v>
      </c>
      <c r="M373" s="36">
        <v>1</v>
      </c>
      <c r="N373" s="36">
        <v>0</v>
      </c>
      <c r="O373" s="36">
        <v>0</v>
      </c>
      <c r="P373" s="36">
        <v>0</v>
      </c>
    </row>
    <row r="374" spans="1:16" s="43" customFormat="1">
      <c r="A374" s="43" t="s">
        <v>357</v>
      </c>
      <c r="B374" s="36">
        <v>10223</v>
      </c>
      <c r="C374" s="43" t="s">
        <v>3221</v>
      </c>
      <c r="D374" s="36">
        <v>1</v>
      </c>
      <c r="E374" s="36">
        <v>0</v>
      </c>
      <c r="F374" s="36">
        <v>0</v>
      </c>
      <c r="G374" s="36">
        <v>0</v>
      </c>
      <c r="H374" s="36">
        <v>0</v>
      </c>
      <c r="I374" s="36">
        <v>0</v>
      </c>
      <c r="J374" s="36">
        <v>0</v>
      </c>
      <c r="K374" s="36">
        <v>1</v>
      </c>
      <c r="L374" s="36">
        <v>0</v>
      </c>
      <c r="M374" s="36">
        <v>1</v>
      </c>
      <c r="N374" s="36">
        <v>0</v>
      </c>
      <c r="O374" s="36">
        <v>0</v>
      </c>
      <c r="P374" s="36">
        <v>0</v>
      </c>
    </row>
    <row r="375" spans="1:16" s="43" customFormat="1" ht="13" customHeight="1">
      <c r="A375" s="43" t="s">
        <v>357</v>
      </c>
      <c r="B375" s="36">
        <v>10223</v>
      </c>
      <c r="C375" s="43" t="s">
        <v>3222</v>
      </c>
      <c r="D375" s="36">
        <v>2</v>
      </c>
      <c r="E375" s="36">
        <v>0</v>
      </c>
      <c r="F375" s="36">
        <v>0</v>
      </c>
      <c r="G375" s="36">
        <v>0</v>
      </c>
      <c r="H375" s="36">
        <v>0</v>
      </c>
      <c r="I375" s="36">
        <v>0</v>
      </c>
      <c r="J375" s="36">
        <v>0</v>
      </c>
      <c r="K375" s="36">
        <v>1</v>
      </c>
      <c r="L375" s="36">
        <v>0</v>
      </c>
      <c r="M375" s="36">
        <v>1</v>
      </c>
      <c r="N375" s="36">
        <v>0</v>
      </c>
      <c r="O375" s="36">
        <v>0</v>
      </c>
      <c r="P375" s="36">
        <v>0</v>
      </c>
    </row>
    <row r="376" spans="1:16" s="43" customFormat="1" ht="13" customHeight="1">
      <c r="A376" s="52" t="s">
        <v>358</v>
      </c>
      <c r="B376" s="36">
        <v>10224</v>
      </c>
      <c r="C376" s="36" t="s">
        <v>3221</v>
      </c>
      <c r="D376" s="36">
        <v>1</v>
      </c>
      <c r="E376" s="36">
        <v>0</v>
      </c>
      <c r="F376" s="36">
        <v>0</v>
      </c>
      <c r="G376" s="36">
        <v>0</v>
      </c>
      <c r="H376" s="36">
        <v>0</v>
      </c>
      <c r="I376" s="36">
        <v>0</v>
      </c>
      <c r="J376" s="36">
        <v>0</v>
      </c>
      <c r="K376" s="36">
        <v>0</v>
      </c>
      <c r="L376" s="36">
        <v>1</v>
      </c>
      <c r="M376" s="36">
        <v>0</v>
      </c>
      <c r="N376" s="36">
        <v>0</v>
      </c>
      <c r="O376" s="36">
        <v>0</v>
      </c>
      <c r="P376" s="36">
        <v>0</v>
      </c>
    </row>
    <row r="377" spans="1:16" s="43" customFormat="1">
      <c r="A377" s="52" t="s">
        <v>358</v>
      </c>
      <c r="B377" s="36">
        <v>10224</v>
      </c>
      <c r="C377" s="36" t="s">
        <v>3222</v>
      </c>
      <c r="D377" s="36">
        <v>2</v>
      </c>
      <c r="E377" s="36">
        <v>0</v>
      </c>
      <c r="F377" s="36">
        <v>0</v>
      </c>
      <c r="G377" s="36">
        <v>1</v>
      </c>
      <c r="H377" s="36">
        <v>0</v>
      </c>
      <c r="I377" s="36">
        <v>0</v>
      </c>
      <c r="J377" s="36">
        <v>0</v>
      </c>
      <c r="K377" s="36">
        <v>0</v>
      </c>
      <c r="L377" s="36">
        <v>1</v>
      </c>
      <c r="M377" s="36">
        <v>1</v>
      </c>
      <c r="N377" s="36">
        <v>0</v>
      </c>
      <c r="O377" s="36">
        <v>0</v>
      </c>
      <c r="P377" s="36">
        <v>0</v>
      </c>
    </row>
    <row r="378" spans="1:16" s="43" customFormat="1">
      <c r="A378" s="36" t="s">
        <v>359</v>
      </c>
      <c r="B378" s="36">
        <v>10239</v>
      </c>
      <c r="C378" s="43" t="s">
        <v>3265</v>
      </c>
      <c r="D378" s="36">
        <v>1</v>
      </c>
      <c r="E378" s="36">
        <v>0</v>
      </c>
      <c r="F378" s="36">
        <v>1</v>
      </c>
      <c r="G378" s="36">
        <v>1</v>
      </c>
      <c r="H378" s="36">
        <v>0</v>
      </c>
      <c r="I378" s="36">
        <v>0</v>
      </c>
      <c r="J378" s="36">
        <v>0</v>
      </c>
      <c r="K378" s="36">
        <v>0</v>
      </c>
      <c r="L378" s="36">
        <v>1</v>
      </c>
      <c r="M378" s="36">
        <v>1</v>
      </c>
      <c r="N378" s="36">
        <v>0</v>
      </c>
      <c r="O378" s="36">
        <v>0</v>
      </c>
      <c r="P378" s="36">
        <v>0</v>
      </c>
    </row>
    <row r="379" spans="1:16" s="43" customFormat="1">
      <c r="A379" s="36" t="s">
        <v>359</v>
      </c>
      <c r="B379" s="36">
        <v>10239</v>
      </c>
      <c r="C379" s="43" t="s">
        <v>3266</v>
      </c>
      <c r="D379" s="36">
        <v>2</v>
      </c>
      <c r="E379" s="36">
        <v>0</v>
      </c>
      <c r="F379" s="36">
        <v>1</v>
      </c>
      <c r="G379" s="36">
        <v>1</v>
      </c>
      <c r="H379" s="36">
        <v>0</v>
      </c>
      <c r="I379" s="36">
        <v>0</v>
      </c>
      <c r="J379" s="36">
        <v>0</v>
      </c>
      <c r="K379" s="36">
        <v>0</v>
      </c>
      <c r="L379" s="36">
        <v>1</v>
      </c>
      <c r="M379" s="36">
        <v>1</v>
      </c>
      <c r="N379" s="36">
        <v>0</v>
      </c>
      <c r="O379" s="36">
        <v>0</v>
      </c>
      <c r="P379" s="36">
        <v>0</v>
      </c>
    </row>
    <row r="380" spans="1:16" s="43" customFormat="1">
      <c r="A380" s="43" t="s">
        <v>360</v>
      </c>
      <c r="B380" s="36">
        <v>10243</v>
      </c>
      <c r="C380" s="43" t="s">
        <v>3226</v>
      </c>
      <c r="D380" s="36">
        <v>1</v>
      </c>
      <c r="E380" s="36">
        <v>0</v>
      </c>
      <c r="F380" s="36">
        <v>0</v>
      </c>
      <c r="G380" s="36">
        <v>0</v>
      </c>
      <c r="H380" s="36">
        <v>0</v>
      </c>
      <c r="I380" s="36">
        <v>0</v>
      </c>
      <c r="J380" s="36">
        <v>0</v>
      </c>
      <c r="K380" s="36">
        <v>0</v>
      </c>
      <c r="L380" s="36">
        <v>0</v>
      </c>
      <c r="M380" s="36">
        <v>0</v>
      </c>
      <c r="N380" s="36">
        <v>0</v>
      </c>
      <c r="O380" s="36">
        <v>0</v>
      </c>
      <c r="P380" s="36">
        <v>0</v>
      </c>
    </row>
    <row r="381" spans="1:16" s="43" customFormat="1">
      <c r="A381" s="43" t="s">
        <v>360</v>
      </c>
      <c r="B381" s="36">
        <v>10243</v>
      </c>
      <c r="C381" s="43" t="s">
        <v>3267</v>
      </c>
      <c r="D381" s="36">
        <v>2</v>
      </c>
      <c r="E381" s="36">
        <v>0</v>
      </c>
      <c r="F381" s="36">
        <v>1</v>
      </c>
      <c r="G381" s="36">
        <v>0</v>
      </c>
      <c r="H381" s="36">
        <v>0</v>
      </c>
      <c r="I381" s="36">
        <v>0</v>
      </c>
      <c r="J381" s="36">
        <v>0</v>
      </c>
      <c r="K381" s="36">
        <v>1</v>
      </c>
      <c r="L381" s="36">
        <v>1</v>
      </c>
      <c r="M381" s="36">
        <v>1</v>
      </c>
      <c r="N381" s="36">
        <v>0</v>
      </c>
      <c r="O381" s="36">
        <v>0</v>
      </c>
      <c r="P381" s="36">
        <v>0</v>
      </c>
    </row>
    <row r="382" spans="1:16" s="43" customFormat="1">
      <c r="A382" s="43" t="s">
        <v>360</v>
      </c>
      <c r="B382" s="36">
        <v>10243</v>
      </c>
      <c r="C382" s="43" t="s">
        <v>3268</v>
      </c>
      <c r="D382" s="36">
        <v>3</v>
      </c>
      <c r="E382" s="36">
        <v>0</v>
      </c>
      <c r="F382" s="36">
        <v>0</v>
      </c>
      <c r="G382" s="36">
        <v>0</v>
      </c>
      <c r="H382" s="36">
        <v>0</v>
      </c>
      <c r="I382" s="36">
        <v>0</v>
      </c>
      <c r="J382" s="36">
        <v>0</v>
      </c>
      <c r="K382" s="36">
        <v>1</v>
      </c>
      <c r="L382" s="36">
        <v>1</v>
      </c>
      <c r="M382" s="36">
        <v>1</v>
      </c>
      <c r="N382" s="36">
        <v>0</v>
      </c>
      <c r="O382" s="36">
        <v>0</v>
      </c>
      <c r="P382" s="36">
        <v>0</v>
      </c>
    </row>
    <row r="383" spans="1:16" s="43" customFormat="1">
      <c r="A383" s="43" t="s">
        <v>361</v>
      </c>
      <c r="B383" s="36">
        <v>10278</v>
      </c>
      <c r="C383" s="43" t="s">
        <v>3221</v>
      </c>
      <c r="D383" s="36">
        <v>1</v>
      </c>
      <c r="E383" s="36">
        <v>0</v>
      </c>
      <c r="F383" s="36">
        <v>1</v>
      </c>
      <c r="G383" s="36">
        <v>0</v>
      </c>
      <c r="H383" s="36">
        <v>0</v>
      </c>
      <c r="I383" s="36">
        <v>0</v>
      </c>
      <c r="J383" s="36">
        <v>0</v>
      </c>
      <c r="K383" s="36">
        <v>0</v>
      </c>
      <c r="L383" s="36">
        <v>0</v>
      </c>
      <c r="M383" s="36">
        <v>1</v>
      </c>
      <c r="N383" s="36">
        <v>0</v>
      </c>
      <c r="O383" s="36">
        <v>0</v>
      </c>
      <c r="P383" s="36">
        <v>0</v>
      </c>
    </row>
    <row r="384" spans="1:16" s="43" customFormat="1">
      <c r="A384" s="43" t="s">
        <v>361</v>
      </c>
      <c r="B384" s="36">
        <v>10278</v>
      </c>
      <c r="C384" s="43" t="s">
        <v>3269</v>
      </c>
      <c r="D384" s="36">
        <v>2</v>
      </c>
      <c r="E384" s="36">
        <v>0</v>
      </c>
      <c r="F384" s="36">
        <v>1</v>
      </c>
      <c r="G384" s="36">
        <v>0</v>
      </c>
      <c r="H384" s="36">
        <v>1</v>
      </c>
      <c r="I384" s="36">
        <v>0</v>
      </c>
      <c r="J384" s="36">
        <v>0</v>
      </c>
      <c r="K384" s="36">
        <v>1</v>
      </c>
      <c r="L384" s="36">
        <v>1</v>
      </c>
      <c r="M384" s="36">
        <v>1</v>
      </c>
      <c r="N384" s="36">
        <v>1</v>
      </c>
      <c r="O384" s="36">
        <v>0</v>
      </c>
      <c r="P384" s="36">
        <v>0</v>
      </c>
    </row>
    <row r="385" spans="1:16" s="43" customFormat="1">
      <c r="A385" s="43" t="s">
        <v>361</v>
      </c>
      <c r="B385" s="36">
        <v>10278</v>
      </c>
      <c r="C385" s="43" t="s">
        <v>3270</v>
      </c>
      <c r="D385" s="36">
        <v>3</v>
      </c>
      <c r="E385" s="36">
        <v>0</v>
      </c>
      <c r="F385" s="36">
        <v>1</v>
      </c>
      <c r="G385" s="36">
        <v>0</v>
      </c>
      <c r="H385" s="36">
        <v>1</v>
      </c>
      <c r="I385" s="36">
        <v>0</v>
      </c>
      <c r="J385" s="36">
        <v>0</v>
      </c>
      <c r="K385" s="36">
        <v>1</v>
      </c>
      <c r="L385" s="36">
        <v>1</v>
      </c>
      <c r="M385" s="36">
        <v>1</v>
      </c>
      <c r="N385" s="36">
        <v>1</v>
      </c>
      <c r="O385" s="36">
        <v>0</v>
      </c>
      <c r="P385" s="36">
        <v>0</v>
      </c>
    </row>
    <row r="386" spans="1:16" s="43" customFormat="1">
      <c r="A386" s="43" t="s">
        <v>362</v>
      </c>
      <c r="B386" s="36">
        <v>10306</v>
      </c>
      <c r="C386" s="43" t="s">
        <v>3230</v>
      </c>
      <c r="D386" s="36">
        <v>1</v>
      </c>
      <c r="E386" s="36">
        <v>0</v>
      </c>
      <c r="F386" s="36">
        <v>0</v>
      </c>
      <c r="G386" s="36">
        <v>0</v>
      </c>
      <c r="H386" s="36">
        <v>0</v>
      </c>
      <c r="I386" s="36">
        <v>0</v>
      </c>
      <c r="J386" s="36">
        <v>0</v>
      </c>
      <c r="K386" s="36">
        <v>0</v>
      </c>
      <c r="L386" s="36">
        <v>1</v>
      </c>
      <c r="M386" s="36">
        <v>0</v>
      </c>
      <c r="N386" s="36">
        <v>0</v>
      </c>
      <c r="O386" s="36">
        <v>0</v>
      </c>
      <c r="P386" s="36">
        <v>0</v>
      </c>
    </row>
    <row r="387" spans="1:16" s="43" customFormat="1">
      <c r="A387" s="43" t="s">
        <v>362</v>
      </c>
      <c r="B387" s="36">
        <v>10306</v>
      </c>
      <c r="C387" s="43" t="s">
        <v>3271</v>
      </c>
      <c r="D387" s="36">
        <v>2</v>
      </c>
      <c r="E387" s="36">
        <v>0</v>
      </c>
      <c r="F387" s="36">
        <v>1</v>
      </c>
      <c r="G387" s="36">
        <v>1</v>
      </c>
      <c r="H387" s="36">
        <v>0</v>
      </c>
      <c r="I387" s="36">
        <v>0</v>
      </c>
      <c r="J387" s="36">
        <v>0</v>
      </c>
      <c r="K387" s="36">
        <v>0</v>
      </c>
      <c r="L387" s="36">
        <v>0</v>
      </c>
      <c r="M387" s="36">
        <v>1</v>
      </c>
      <c r="N387" s="36">
        <v>0</v>
      </c>
      <c r="O387" s="36">
        <v>0</v>
      </c>
      <c r="P387" s="36">
        <v>0</v>
      </c>
    </row>
    <row r="388" spans="1:16" s="43" customFormat="1">
      <c r="A388" s="43" t="s">
        <v>364</v>
      </c>
      <c r="B388" s="36">
        <v>10312</v>
      </c>
      <c r="C388" s="43" t="s">
        <v>3229</v>
      </c>
      <c r="D388" s="36">
        <v>1</v>
      </c>
      <c r="E388" s="36">
        <v>0</v>
      </c>
      <c r="F388" s="36">
        <v>0</v>
      </c>
      <c r="G388" s="36">
        <v>0</v>
      </c>
      <c r="H388" s="36">
        <v>0</v>
      </c>
      <c r="I388" s="36">
        <v>0</v>
      </c>
      <c r="J388" s="36">
        <v>0</v>
      </c>
      <c r="K388" s="36">
        <v>0</v>
      </c>
      <c r="L388" s="36">
        <v>0</v>
      </c>
      <c r="M388" s="36">
        <v>0</v>
      </c>
      <c r="N388" s="36">
        <v>0</v>
      </c>
      <c r="O388" s="36">
        <v>0</v>
      </c>
      <c r="P388" s="36">
        <v>0</v>
      </c>
    </row>
    <row r="389" spans="1:16" s="43" customFormat="1">
      <c r="A389" s="43" t="s">
        <v>364</v>
      </c>
      <c r="B389" s="36">
        <v>10312</v>
      </c>
      <c r="C389" s="43" t="s">
        <v>3222</v>
      </c>
      <c r="D389" s="36">
        <v>2</v>
      </c>
      <c r="E389" s="36">
        <v>0</v>
      </c>
      <c r="F389" s="36">
        <v>1</v>
      </c>
      <c r="G389" s="36">
        <v>0</v>
      </c>
      <c r="H389" s="36">
        <v>1</v>
      </c>
      <c r="I389" s="36">
        <v>0</v>
      </c>
      <c r="J389" s="36">
        <v>0</v>
      </c>
      <c r="K389" s="36">
        <v>0</v>
      </c>
      <c r="L389" s="36">
        <v>1</v>
      </c>
      <c r="M389" s="36">
        <v>1</v>
      </c>
      <c r="N389" s="36">
        <v>0</v>
      </c>
      <c r="O389" s="36">
        <v>0</v>
      </c>
      <c r="P389" s="36">
        <v>0</v>
      </c>
    </row>
    <row r="390" spans="1:16" s="43" customFormat="1">
      <c r="A390" s="52" t="s">
        <v>365</v>
      </c>
      <c r="B390" s="36">
        <v>10313</v>
      </c>
      <c r="C390" s="36" t="s">
        <v>3272</v>
      </c>
      <c r="D390" s="36">
        <v>1</v>
      </c>
      <c r="E390" s="36">
        <v>0</v>
      </c>
      <c r="F390" s="36">
        <v>0</v>
      </c>
      <c r="G390" s="36">
        <v>0</v>
      </c>
      <c r="H390" s="36">
        <v>0</v>
      </c>
      <c r="I390" s="36">
        <v>0</v>
      </c>
      <c r="J390" s="36">
        <v>0</v>
      </c>
      <c r="K390" s="36">
        <v>0</v>
      </c>
      <c r="L390" s="36">
        <v>0</v>
      </c>
      <c r="M390" s="36">
        <v>0</v>
      </c>
      <c r="N390" s="36">
        <v>0</v>
      </c>
      <c r="O390" s="36">
        <v>0</v>
      </c>
      <c r="P390" s="36">
        <v>0</v>
      </c>
    </row>
    <row r="391" spans="1:16" s="43" customFormat="1">
      <c r="A391" s="52" t="s">
        <v>365</v>
      </c>
      <c r="B391" s="36">
        <v>10313</v>
      </c>
      <c r="C391" s="36" t="s">
        <v>3273</v>
      </c>
      <c r="D391" s="36">
        <v>2</v>
      </c>
      <c r="E391" s="36">
        <v>0</v>
      </c>
      <c r="F391" s="36">
        <v>0</v>
      </c>
      <c r="G391" s="36">
        <v>0</v>
      </c>
      <c r="H391" s="36">
        <v>0</v>
      </c>
      <c r="I391" s="36">
        <v>0</v>
      </c>
      <c r="J391" s="36">
        <v>1</v>
      </c>
      <c r="K391" s="36">
        <v>1</v>
      </c>
      <c r="L391" s="36">
        <v>0</v>
      </c>
      <c r="M391" s="36">
        <v>1</v>
      </c>
      <c r="N391" s="36">
        <v>0</v>
      </c>
      <c r="O391" s="36">
        <v>0</v>
      </c>
      <c r="P391" s="36">
        <v>0</v>
      </c>
    </row>
    <row r="392" spans="1:16" s="43" customFormat="1">
      <c r="A392" s="36" t="s">
        <v>366</v>
      </c>
      <c r="B392" s="36">
        <v>10314</v>
      </c>
      <c r="C392" s="43" t="s">
        <v>3226</v>
      </c>
      <c r="D392" s="36">
        <v>1</v>
      </c>
      <c r="E392" s="36">
        <v>0</v>
      </c>
      <c r="F392" s="36">
        <v>0</v>
      </c>
      <c r="G392" s="36">
        <v>0</v>
      </c>
      <c r="H392" s="36">
        <v>0</v>
      </c>
      <c r="I392" s="36">
        <v>0</v>
      </c>
      <c r="J392" s="36">
        <v>0</v>
      </c>
      <c r="K392" s="36">
        <v>0</v>
      </c>
      <c r="L392" s="36">
        <v>0</v>
      </c>
      <c r="M392" s="36">
        <v>0</v>
      </c>
      <c r="N392" s="36">
        <v>0</v>
      </c>
      <c r="O392" s="36">
        <v>0</v>
      </c>
      <c r="P392" s="36">
        <v>0</v>
      </c>
    </row>
    <row r="393" spans="1:16" s="43" customFormat="1">
      <c r="A393" s="36" t="s">
        <v>366</v>
      </c>
      <c r="B393" s="36">
        <v>10314</v>
      </c>
      <c r="C393" s="43" t="s">
        <v>3225</v>
      </c>
      <c r="D393" s="36">
        <v>2</v>
      </c>
      <c r="E393" s="36">
        <v>0</v>
      </c>
      <c r="F393" s="36">
        <v>0</v>
      </c>
      <c r="G393" s="36">
        <v>0</v>
      </c>
      <c r="H393" s="36">
        <v>0</v>
      </c>
      <c r="I393" s="36">
        <v>0</v>
      </c>
      <c r="J393" s="36">
        <v>0</v>
      </c>
      <c r="K393" s="36">
        <v>1</v>
      </c>
      <c r="L393" s="36">
        <v>1</v>
      </c>
      <c r="M393" s="36">
        <v>1</v>
      </c>
      <c r="N393" s="36">
        <v>0</v>
      </c>
      <c r="O393" s="36">
        <v>0</v>
      </c>
      <c r="P393" s="36">
        <v>0</v>
      </c>
    </row>
    <row r="394" spans="1:16" s="43" customFormat="1">
      <c r="A394" s="52" t="s">
        <v>367</v>
      </c>
      <c r="B394" s="52">
        <v>10319</v>
      </c>
      <c r="C394" s="36" t="s">
        <v>3274</v>
      </c>
      <c r="D394" s="36">
        <v>1</v>
      </c>
      <c r="E394" s="36">
        <v>0</v>
      </c>
      <c r="F394" s="36">
        <v>0</v>
      </c>
      <c r="G394" s="36">
        <v>0</v>
      </c>
      <c r="H394" s="36">
        <v>0</v>
      </c>
      <c r="I394" s="36">
        <v>0</v>
      </c>
      <c r="J394" s="36">
        <v>0</v>
      </c>
      <c r="K394" s="36">
        <v>0</v>
      </c>
      <c r="L394" s="36">
        <v>0</v>
      </c>
      <c r="M394" s="36">
        <v>0</v>
      </c>
      <c r="N394" s="36">
        <v>0</v>
      </c>
      <c r="O394" s="36">
        <v>0</v>
      </c>
      <c r="P394" s="36">
        <v>0</v>
      </c>
    </row>
    <row r="395" spans="1:16" s="43" customFormat="1">
      <c r="A395" s="52" t="s">
        <v>367</v>
      </c>
      <c r="B395" s="52">
        <v>10319</v>
      </c>
      <c r="C395" s="36" t="s">
        <v>3275</v>
      </c>
      <c r="D395" s="36">
        <v>2</v>
      </c>
      <c r="E395" s="36">
        <v>0</v>
      </c>
      <c r="F395" s="36">
        <v>0</v>
      </c>
      <c r="G395" s="36">
        <v>1</v>
      </c>
      <c r="H395" s="36">
        <v>0</v>
      </c>
      <c r="I395" s="36">
        <v>1</v>
      </c>
      <c r="J395" s="36">
        <v>0</v>
      </c>
      <c r="K395" s="36">
        <v>0</v>
      </c>
      <c r="L395" s="36">
        <v>0</v>
      </c>
      <c r="M395" s="36">
        <v>0</v>
      </c>
      <c r="N395" s="36">
        <v>0</v>
      </c>
      <c r="O395" s="36">
        <v>0</v>
      </c>
      <c r="P395" s="36">
        <v>0</v>
      </c>
    </row>
    <row r="396" spans="1:16" s="43" customFormat="1" ht="13" customHeight="1">
      <c r="A396" s="43" t="s">
        <v>368</v>
      </c>
      <c r="B396" s="36">
        <v>10343</v>
      </c>
      <c r="C396" s="43" t="s">
        <v>3221</v>
      </c>
      <c r="D396" s="36">
        <v>1</v>
      </c>
      <c r="E396" s="36">
        <v>0</v>
      </c>
      <c r="F396" s="36">
        <v>0</v>
      </c>
      <c r="G396" s="36">
        <v>0</v>
      </c>
      <c r="H396" s="36">
        <v>0</v>
      </c>
      <c r="I396" s="36">
        <v>0</v>
      </c>
      <c r="J396" s="36">
        <v>0</v>
      </c>
      <c r="K396" s="36">
        <v>0</v>
      </c>
      <c r="L396" s="36">
        <v>0</v>
      </c>
      <c r="M396" s="36">
        <v>0</v>
      </c>
      <c r="N396" s="36">
        <v>0</v>
      </c>
      <c r="O396" s="36">
        <v>0</v>
      </c>
      <c r="P396" s="36">
        <v>0</v>
      </c>
    </row>
    <row r="397" spans="1:16" s="43" customFormat="1" ht="13" customHeight="1">
      <c r="A397" s="43" t="s">
        <v>368</v>
      </c>
      <c r="B397" s="36">
        <v>10343</v>
      </c>
      <c r="C397" s="43" t="s">
        <v>3276</v>
      </c>
      <c r="D397" s="36">
        <v>2</v>
      </c>
      <c r="E397" s="36">
        <v>0</v>
      </c>
      <c r="F397" s="36">
        <v>1</v>
      </c>
      <c r="G397" s="36">
        <v>0</v>
      </c>
      <c r="H397" s="36">
        <v>0</v>
      </c>
      <c r="I397" s="36">
        <v>0</v>
      </c>
      <c r="J397" s="36">
        <v>0</v>
      </c>
      <c r="K397" s="36">
        <v>0</v>
      </c>
      <c r="L397" s="36">
        <v>0</v>
      </c>
      <c r="M397" s="36">
        <v>1</v>
      </c>
      <c r="N397" s="36">
        <v>0</v>
      </c>
      <c r="O397" s="36">
        <v>0</v>
      </c>
      <c r="P397" s="36">
        <v>0</v>
      </c>
    </row>
    <row r="398" spans="1:16" s="43" customFormat="1">
      <c r="A398" s="43" t="s">
        <v>787</v>
      </c>
      <c r="B398" s="36">
        <v>10349</v>
      </c>
      <c r="C398" s="36" t="s">
        <v>3226</v>
      </c>
      <c r="D398" s="36">
        <v>1</v>
      </c>
      <c r="E398" s="36">
        <v>0</v>
      </c>
      <c r="F398" s="36">
        <v>0</v>
      </c>
      <c r="G398" s="36">
        <v>0</v>
      </c>
      <c r="H398" s="36">
        <v>0</v>
      </c>
      <c r="I398" s="36">
        <v>0</v>
      </c>
      <c r="J398" s="36">
        <v>0</v>
      </c>
      <c r="K398" s="36">
        <v>0</v>
      </c>
      <c r="L398" s="36">
        <v>1</v>
      </c>
      <c r="M398" s="36">
        <v>0</v>
      </c>
      <c r="N398" s="36">
        <v>0</v>
      </c>
      <c r="O398" s="36">
        <v>0</v>
      </c>
      <c r="P398" s="36">
        <v>0</v>
      </c>
    </row>
    <row r="399" spans="1:16" s="43" customFormat="1">
      <c r="A399" s="43" t="s">
        <v>787</v>
      </c>
      <c r="B399" s="36">
        <v>10349</v>
      </c>
      <c r="C399" s="36" t="s">
        <v>3261</v>
      </c>
      <c r="D399" s="36">
        <v>2</v>
      </c>
      <c r="E399" s="36">
        <v>0</v>
      </c>
      <c r="F399" s="36">
        <v>0</v>
      </c>
      <c r="G399" s="36">
        <v>0</v>
      </c>
      <c r="H399" s="36">
        <v>1</v>
      </c>
      <c r="I399" s="36">
        <v>0</v>
      </c>
      <c r="J399" s="36">
        <v>0</v>
      </c>
      <c r="K399" s="36">
        <v>0</v>
      </c>
      <c r="L399" s="36">
        <v>1</v>
      </c>
      <c r="M399" s="36">
        <v>0</v>
      </c>
      <c r="N399" s="36">
        <v>0</v>
      </c>
      <c r="O399" s="36">
        <v>0</v>
      </c>
      <c r="P399" s="36">
        <v>0</v>
      </c>
    </row>
    <row r="400" spans="1:16" s="43" customFormat="1" ht="13" customHeight="1">
      <c r="A400" s="149" t="s">
        <v>555</v>
      </c>
      <c r="B400" s="148">
        <v>10352</v>
      </c>
      <c r="C400" s="149" t="s">
        <v>3229</v>
      </c>
      <c r="D400" s="148">
        <v>1</v>
      </c>
      <c r="E400" s="148">
        <v>0</v>
      </c>
      <c r="F400" s="148">
        <v>0</v>
      </c>
      <c r="G400" s="148">
        <v>0</v>
      </c>
      <c r="H400" s="148">
        <v>0</v>
      </c>
      <c r="I400" s="148">
        <v>0</v>
      </c>
      <c r="J400" s="148">
        <v>0</v>
      </c>
      <c r="K400" s="148">
        <v>0</v>
      </c>
      <c r="L400" s="148">
        <v>0</v>
      </c>
      <c r="M400" s="148">
        <v>0</v>
      </c>
      <c r="N400" s="148">
        <v>0</v>
      </c>
      <c r="O400" s="148">
        <v>0</v>
      </c>
      <c r="P400" s="148">
        <v>0</v>
      </c>
    </row>
    <row r="401" spans="1:16" s="43" customFormat="1" ht="13" customHeight="1">
      <c r="A401" s="149" t="s">
        <v>555</v>
      </c>
      <c r="B401" s="148">
        <v>10352</v>
      </c>
      <c r="C401" s="149" t="s">
        <v>3222</v>
      </c>
      <c r="D401" s="148">
        <v>2</v>
      </c>
      <c r="E401" s="148">
        <v>0</v>
      </c>
      <c r="F401" s="148">
        <v>0</v>
      </c>
      <c r="G401" s="148">
        <v>0</v>
      </c>
      <c r="H401" s="148">
        <v>1</v>
      </c>
      <c r="I401" s="148">
        <v>0</v>
      </c>
      <c r="J401" s="148">
        <v>1</v>
      </c>
      <c r="K401" s="148">
        <v>0</v>
      </c>
      <c r="L401" s="148">
        <v>0</v>
      </c>
      <c r="M401" s="148">
        <v>0</v>
      </c>
      <c r="N401" s="148">
        <v>0</v>
      </c>
      <c r="O401" s="148">
        <v>0</v>
      </c>
      <c r="P401" s="148">
        <v>0</v>
      </c>
    </row>
    <row r="402" spans="1:16" s="43" customFormat="1">
      <c r="A402" s="52" t="s">
        <v>370</v>
      </c>
      <c r="B402" s="36">
        <v>10354</v>
      </c>
      <c r="C402" s="36" t="s">
        <v>3229</v>
      </c>
      <c r="D402" s="36">
        <v>1</v>
      </c>
      <c r="E402" s="36">
        <v>0</v>
      </c>
      <c r="F402" s="36">
        <v>0</v>
      </c>
      <c r="G402" s="36">
        <v>0</v>
      </c>
      <c r="H402" s="36">
        <v>0</v>
      </c>
      <c r="I402" s="36">
        <v>0</v>
      </c>
      <c r="J402" s="36">
        <v>0</v>
      </c>
      <c r="K402" s="36">
        <v>0</v>
      </c>
      <c r="L402" s="36">
        <v>0</v>
      </c>
      <c r="M402" s="36">
        <v>0</v>
      </c>
      <c r="N402" s="36">
        <v>0</v>
      </c>
      <c r="O402" s="36">
        <v>0</v>
      </c>
      <c r="P402" s="36">
        <v>0</v>
      </c>
    </row>
    <row r="403" spans="1:16" s="43" customFormat="1">
      <c r="A403" s="52" t="s">
        <v>370</v>
      </c>
      <c r="B403" s="36">
        <v>10354</v>
      </c>
      <c r="C403" s="36" t="s">
        <v>3277</v>
      </c>
      <c r="D403" s="36">
        <v>2</v>
      </c>
      <c r="E403" s="36">
        <v>0</v>
      </c>
      <c r="F403" s="36">
        <v>1</v>
      </c>
      <c r="G403" s="36">
        <v>0</v>
      </c>
      <c r="H403" s="36">
        <v>0</v>
      </c>
      <c r="I403" s="36">
        <v>0</v>
      </c>
      <c r="J403" s="36">
        <v>0</v>
      </c>
      <c r="K403" s="36">
        <v>1</v>
      </c>
      <c r="L403" s="36">
        <v>1</v>
      </c>
      <c r="M403" s="36">
        <v>1</v>
      </c>
      <c r="N403" s="36">
        <v>0</v>
      </c>
      <c r="O403" s="36">
        <v>0</v>
      </c>
      <c r="P403" s="36">
        <v>0</v>
      </c>
    </row>
    <row r="404" spans="1:16" s="43" customFormat="1">
      <c r="A404" s="36" t="s">
        <v>371</v>
      </c>
      <c r="B404" s="36">
        <v>10356</v>
      </c>
      <c r="C404" s="43" t="s">
        <v>3226</v>
      </c>
      <c r="D404" s="36">
        <v>1</v>
      </c>
      <c r="E404" s="36">
        <v>0</v>
      </c>
      <c r="F404" s="36">
        <v>0</v>
      </c>
      <c r="G404" s="36">
        <v>0</v>
      </c>
      <c r="H404" s="36">
        <v>0</v>
      </c>
      <c r="I404" s="36">
        <v>0</v>
      </c>
      <c r="J404" s="36">
        <v>0</v>
      </c>
      <c r="K404" s="36">
        <v>1</v>
      </c>
      <c r="L404" s="36">
        <v>0</v>
      </c>
      <c r="M404" s="36">
        <v>0</v>
      </c>
      <c r="N404" s="36">
        <v>0</v>
      </c>
      <c r="O404" s="36">
        <v>0</v>
      </c>
      <c r="P404" s="36">
        <v>0</v>
      </c>
    </row>
    <row r="405" spans="1:16" s="43" customFormat="1">
      <c r="A405" s="36" t="s">
        <v>371</v>
      </c>
      <c r="B405" s="36">
        <v>10356</v>
      </c>
      <c r="C405" s="43" t="s">
        <v>3278</v>
      </c>
      <c r="D405" s="36">
        <v>2</v>
      </c>
      <c r="E405" s="36">
        <v>0</v>
      </c>
      <c r="F405" s="36">
        <v>0</v>
      </c>
      <c r="G405" s="36">
        <v>0</v>
      </c>
      <c r="H405" s="36">
        <v>0</v>
      </c>
      <c r="I405" s="36">
        <v>0</v>
      </c>
      <c r="J405" s="36">
        <v>0</v>
      </c>
      <c r="K405" s="36">
        <v>1</v>
      </c>
      <c r="L405" s="36">
        <v>0</v>
      </c>
      <c r="M405" s="36">
        <v>1</v>
      </c>
      <c r="N405" s="36">
        <v>0</v>
      </c>
      <c r="O405" s="36">
        <v>0</v>
      </c>
      <c r="P405" s="36">
        <v>0</v>
      </c>
    </row>
    <row r="406" spans="1:16" s="43" customFormat="1">
      <c r="A406" s="36" t="s">
        <v>371</v>
      </c>
      <c r="B406" s="36">
        <v>10356</v>
      </c>
      <c r="C406" s="43" t="s">
        <v>3279</v>
      </c>
      <c r="D406" s="36">
        <v>3</v>
      </c>
      <c r="E406" s="36">
        <v>0</v>
      </c>
      <c r="F406" s="36">
        <v>1</v>
      </c>
      <c r="G406" s="36">
        <v>0</v>
      </c>
      <c r="H406" s="36">
        <v>1</v>
      </c>
      <c r="I406" s="36">
        <v>0</v>
      </c>
      <c r="J406" s="36">
        <v>0</v>
      </c>
      <c r="K406" s="36">
        <v>1</v>
      </c>
      <c r="L406" s="36">
        <v>0</v>
      </c>
      <c r="M406" s="36">
        <v>1</v>
      </c>
      <c r="N406" s="36">
        <v>0</v>
      </c>
      <c r="O406" s="36">
        <v>0</v>
      </c>
      <c r="P406" s="36">
        <v>0</v>
      </c>
    </row>
    <row r="407" spans="1:16" s="43" customFormat="1">
      <c r="A407" s="52" t="s">
        <v>288</v>
      </c>
      <c r="B407" s="36">
        <v>10362</v>
      </c>
      <c r="C407" s="36" t="s">
        <v>3229</v>
      </c>
      <c r="D407" s="36">
        <v>1</v>
      </c>
      <c r="E407" s="36">
        <v>0</v>
      </c>
      <c r="F407" s="36">
        <v>0</v>
      </c>
      <c r="G407" s="36">
        <v>0</v>
      </c>
      <c r="H407" s="36">
        <v>0</v>
      </c>
      <c r="I407" s="36">
        <v>0</v>
      </c>
      <c r="J407" s="36">
        <v>0</v>
      </c>
      <c r="K407" s="36">
        <v>0</v>
      </c>
      <c r="L407" s="36">
        <v>0</v>
      </c>
      <c r="M407" s="36">
        <v>0</v>
      </c>
      <c r="N407" s="36">
        <v>0</v>
      </c>
      <c r="O407" s="36">
        <v>0</v>
      </c>
      <c r="P407" s="36">
        <v>0</v>
      </c>
    </row>
    <row r="408" spans="1:16" s="43" customFormat="1">
      <c r="A408" s="52" t="s">
        <v>288</v>
      </c>
      <c r="B408" s="36">
        <v>10362</v>
      </c>
      <c r="C408" s="36" t="s">
        <v>3222</v>
      </c>
      <c r="D408" s="36">
        <v>2</v>
      </c>
      <c r="E408" s="36">
        <v>1</v>
      </c>
      <c r="F408" s="36">
        <v>0</v>
      </c>
      <c r="G408" s="36">
        <v>0</v>
      </c>
      <c r="H408" s="36">
        <v>1</v>
      </c>
      <c r="I408" s="36">
        <v>0</v>
      </c>
      <c r="J408" s="36">
        <v>0</v>
      </c>
      <c r="K408" s="36">
        <v>0</v>
      </c>
      <c r="L408" s="36">
        <v>0</v>
      </c>
      <c r="M408" s="36">
        <v>0</v>
      </c>
      <c r="N408" s="36">
        <v>0</v>
      </c>
      <c r="O408" s="36">
        <v>0</v>
      </c>
      <c r="P408" s="36">
        <v>0</v>
      </c>
    </row>
    <row r="409" spans="1:16" s="43" customFormat="1">
      <c r="A409" s="43" t="s">
        <v>372</v>
      </c>
      <c r="B409" s="36">
        <v>10364</v>
      </c>
      <c r="C409" s="43" t="s">
        <v>3280</v>
      </c>
      <c r="D409" s="36">
        <v>1</v>
      </c>
      <c r="E409" s="36">
        <v>0</v>
      </c>
      <c r="F409" s="36">
        <v>1</v>
      </c>
      <c r="G409" s="36">
        <v>0</v>
      </c>
      <c r="H409" s="36">
        <v>0</v>
      </c>
      <c r="I409" s="36">
        <v>0</v>
      </c>
      <c r="J409" s="36">
        <v>0</v>
      </c>
      <c r="K409" s="36">
        <v>0</v>
      </c>
      <c r="L409" s="36">
        <v>1</v>
      </c>
      <c r="M409" s="36">
        <v>1</v>
      </c>
      <c r="N409" s="36">
        <v>0</v>
      </c>
      <c r="O409" s="36">
        <v>0</v>
      </c>
      <c r="P409" s="36">
        <v>0</v>
      </c>
    </row>
    <row r="410" spans="1:16" s="43" customFormat="1">
      <c r="A410" s="43" t="s">
        <v>372</v>
      </c>
      <c r="B410" s="36">
        <v>10364</v>
      </c>
      <c r="C410" s="43" t="s">
        <v>3281</v>
      </c>
      <c r="D410" s="36">
        <v>2</v>
      </c>
      <c r="E410" s="36">
        <v>0</v>
      </c>
      <c r="F410" s="36">
        <v>1</v>
      </c>
      <c r="G410" s="36">
        <v>1</v>
      </c>
      <c r="H410" s="36">
        <v>0</v>
      </c>
      <c r="I410" s="36">
        <v>0</v>
      </c>
      <c r="J410" s="36">
        <v>0</v>
      </c>
      <c r="K410" s="36">
        <v>0</v>
      </c>
      <c r="L410" s="36">
        <v>1</v>
      </c>
      <c r="M410" s="36">
        <v>1</v>
      </c>
      <c r="N410" s="36">
        <v>0</v>
      </c>
      <c r="O410" s="36">
        <v>0</v>
      </c>
      <c r="P410" s="36">
        <v>0</v>
      </c>
    </row>
    <row r="411" spans="1:16" s="43" customFormat="1">
      <c r="A411" s="36" t="s">
        <v>355</v>
      </c>
      <c r="B411" s="36">
        <v>10376</v>
      </c>
      <c r="C411" s="36" t="s">
        <v>3282</v>
      </c>
      <c r="D411" s="36">
        <v>1</v>
      </c>
      <c r="E411" s="36">
        <v>0</v>
      </c>
      <c r="F411" s="36">
        <v>0</v>
      </c>
      <c r="G411" s="36">
        <v>0</v>
      </c>
      <c r="H411" s="36">
        <v>0</v>
      </c>
      <c r="I411" s="36">
        <v>0</v>
      </c>
      <c r="J411" s="36">
        <v>0</v>
      </c>
      <c r="K411" s="36">
        <v>0</v>
      </c>
      <c r="L411" s="36">
        <v>1</v>
      </c>
      <c r="M411" s="36">
        <v>0</v>
      </c>
      <c r="N411" s="36">
        <v>0</v>
      </c>
      <c r="O411" s="36">
        <v>0</v>
      </c>
      <c r="P411" s="36">
        <v>0</v>
      </c>
    </row>
    <row r="412" spans="1:16" s="43" customFormat="1">
      <c r="A412" s="36" t="s">
        <v>355</v>
      </c>
      <c r="B412" s="36">
        <v>10376</v>
      </c>
      <c r="C412" s="36" t="s">
        <v>3283</v>
      </c>
      <c r="D412" s="36">
        <v>2</v>
      </c>
      <c r="E412" s="36">
        <v>0</v>
      </c>
      <c r="F412" s="36">
        <v>0</v>
      </c>
      <c r="G412" s="36">
        <v>0</v>
      </c>
      <c r="H412" s="36">
        <v>0</v>
      </c>
      <c r="I412" s="36">
        <v>0</v>
      </c>
      <c r="J412" s="36">
        <v>0</v>
      </c>
      <c r="K412" s="36">
        <v>1</v>
      </c>
      <c r="L412" s="36">
        <v>0</v>
      </c>
      <c r="M412" s="36">
        <v>0</v>
      </c>
      <c r="N412" s="36">
        <v>0</v>
      </c>
      <c r="O412" s="36">
        <v>0</v>
      </c>
      <c r="P412" s="36">
        <v>0</v>
      </c>
    </row>
    <row r="413" spans="1:16" s="43" customFormat="1">
      <c r="A413" s="36" t="s">
        <v>355</v>
      </c>
      <c r="B413" s="36">
        <v>10376</v>
      </c>
      <c r="C413" s="36" t="s">
        <v>3284</v>
      </c>
      <c r="D413" s="36">
        <v>3</v>
      </c>
      <c r="E413" s="36">
        <v>0</v>
      </c>
      <c r="F413" s="36">
        <v>0</v>
      </c>
      <c r="G413" s="36">
        <v>0</v>
      </c>
      <c r="H413" s="36">
        <v>0</v>
      </c>
      <c r="I413" s="36">
        <v>0</v>
      </c>
      <c r="J413" s="36">
        <v>0</v>
      </c>
      <c r="K413" s="36">
        <v>0</v>
      </c>
      <c r="L413" s="36">
        <v>1</v>
      </c>
      <c r="M413" s="36">
        <v>1</v>
      </c>
      <c r="N413" s="36">
        <v>0</v>
      </c>
      <c r="O413" s="36">
        <v>0</v>
      </c>
      <c r="P413" s="36">
        <v>0</v>
      </c>
    </row>
    <row r="414" spans="1:16" s="43" customFormat="1">
      <c r="A414" s="36" t="s">
        <v>355</v>
      </c>
      <c r="B414" s="36">
        <v>10376</v>
      </c>
      <c r="C414" s="36" t="s">
        <v>3285</v>
      </c>
      <c r="D414" s="36">
        <v>4</v>
      </c>
      <c r="E414" s="36">
        <v>0</v>
      </c>
      <c r="F414" s="36">
        <v>0</v>
      </c>
      <c r="G414" s="36">
        <v>0</v>
      </c>
      <c r="H414" s="36">
        <v>0</v>
      </c>
      <c r="I414" s="36">
        <v>0</v>
      </c>
      <c r="J414" s="36">
        <v>0</v>
      </c>
      <c r="K414" s="36">
        <v>1</v>
      </c>
      <c r="L414" s="36">
        <v>1</v>
      </c>
      <c r="M414" s="36">
        <v>1</v>
      </c>
      <c r="N414" s="36">
        <v>0</v>
      </c>
      <c r="O414" s="36">
        <v>0</v>
      </c>
      <c r="P414" s="36">
        <v>0</v>
      </c>
    </row>
    <row r="415" spans="1:16" s="43" customFormat="1">
      <c r="A415" s="43" t="s">
        <v>373</v>
      </c>
      <c r="B415" s="36">
        <v>10379</v>
      </c>
      <c r="C415" s="36" t="s">
        <v>3286</v>
      </c>
      <c r="D415" s="36">
        <v>1</v>
      </c>
      <c r="E415" s="36">
        <v>0</v>
      </c>
      <c r="F415" s="36">
        <v>0</v>
      </c>
      <c r="G415" s="36">
        <v>0</v>
      </c>
      <c r="H415" s="36">
        <v>0</v>
      </c>
      <c r="I415" s="36">
        <v>0</v>
      </c>
      <c r="J415" s="36">
        <v>0</v>
      </c>
      <c r="K415" s="36">
        <v>0</v>
      </c>
      <c r="L415" s="36">
        <v>0</v>
      </c>
      <c r="M415" s="36">
        <v>0</v>
      </c>
      <c r="N415" s="36">
        <v>0</v>
      </c>
      <c r="O415" s="36">
        <v>0</v>
      </c>
      <c r="P415" s="36">
        <v>0</v>
      </c>
    </row>
    <row r="416" spans="1:16" s="43" customFormat="1">
      <c r="A416" s="43" t="s">
        <v>373</v>
      </c>
      <c r="B416" s="36">
        <v>10379</v>
      </c>
      <c r="C416" s="36" t="s">
        <v>3287</v>
      </c>
      <c r="D416" s="36">
        <v>2</v>
      </c>
      <c r="E416" s="36">
        <v>0</v>
      </c>
      <c r="F416" s="36">
        <v>1</v>
      </c>
      <c r="G416" s="36">
        <v>1</v>
      </c>
      <c r="H416" s="36">
        <v>0</v>
      </c>
      <c r="I416" s="36">
        <v>0</v>
      </c>
      <c r="J416" s="36">
        <v>0</v>
      </c>
      <c r="K416" s="36">
        <v>0</v>
      </c>
      <c r="L416" s="36">
        <v>0</v>
      </c>
      <c r="M416" s="36">
        <v>0</v>
      </c>
      <c r="N416" s="36">
        <v>0</v>
      </c>
      <c r="O416" s="36">
        <v>0</v>
      </c>
      <c r="P416" s="36">
        <v>0</v>
      </c>
    </row>
    <row r="417" spans="1:16" s="43" customFormat="1">
      <c r="A417" s="36" t="s">
        <v>374</v>
      </c>
      <c r="B417" s="36">
        <v>10382</v>
      </c>
      <c r="C417" s="43" t="s">
        <v>3229</v>
      </c>
      <c r="D417" s="36">
        <v>1</v>
      </c>
      <c r="E417" s="36">
        <v>0</v>
      </c>
      <c r="F417" s="36">
        <v>0</v>
      </c>
      <c r="G417" s="36">
        <v>1</v>
      </c>
      <c r="H417" s="36">
        <v>0</v>
      </c>
      <c r="I417" s="36">
        <v>0</v>
      </c>
      <c r="J417" s="36">
        <v>0</v>
      </c>
      <c r="K417" s="36">
        <v>0</v>
      </c>
      <c r="L417" s="36">
        <v>1</v>
      </c>
      <c r="M417" s="36">
        <v>1</v>
      </c>
      <c r="N417" s="36">
        <v>0</v>
      </c>
      <c r="O417" s="36">
        <v>0</v>
      </c>
      <c r="P417" s="36">
        <v>0</v>
      </c>
    </row>
    <row r="418" spans="1:16" s="43" customFormat="1">
      <c r="A418" s="36" t="s">
        <v>374</v>
      </c>
      <c r="B418" s="36">
        <v>10382</v>
      </c>
      <c r="C418" s="43" t="s">
        <v>3288</v>
      </c>
      <c r="D418" s="36">
        <v>2</v>
      </c>
      <c r="E418" s="36">
        <v>0</v>
      </c>
      <c r="F418" s="36">
        <v>1</v>
      </c>
      <c r="G418" s="36">
        <v>1</v>
      </c>
      <c r="H418" s="36">
        <v>0</v>
      </c>
      <c r="I418" s="36">
        <v>0</v>
      </c>
      <c r="J418" s="36">
        <v>0</v>
      </c>
      <c r="K418" s="36">
        <v>0</v>
      </c>
      <c r="L418" s="36">
        <v>1</v>
      </c>
      <c r="M418" s="36">
        <v>1</v>
      </c>
      <c r="N418" s="36">
        <v>0</v>
      </c>
      <c r="O418" s="36">
        <v>0</v>
      </c>
      <c r="P418" s="36">
        <v>0</v>
      </c>
    </row>
    <row r="419" spans="1:16" s="43" customFormat="1">
      <c r="A419" s="52" t="s">
        <v>290</v>
      </c>
      <c r="B419" s="52">
        <v>10385</v>
      </c>
      <c r="C419" s="36" t="s">
        <v>3289</v>
      </c>
      <c r="D419" s="36">
        <v>1</v>
      </c>
      <c r="E419" s="36">
        <v>0</v>
      </c>
      <c r="F419" s="36">
        <v>0</v>
      </c>
      <c r="G419" s="36">
        <v>0</v>
      </c>
      <c r="H419" s="36">
        <v>0</v>
      </c>
      <c r="I419" s="36">
        <v>0</v>
      </c>
      <c r="J419" s="36">
        <v>0</v>
      </c>
      <c r="K419" s="36">
        <v>1</v>
      </c>
      <c r="L419" s="36">
        <v>0</v>
      </c>
      <c r="M419" s="36">
        <v>1</v>
      </c>
      <c r="N419" s="36">
        <v>0</v>
      </c>
      <c r="O419" s="36">
        <v>0</v>
      </c>
      <c r="P419" s="36">
        <v>0</v>
      </c>
    </row>
    <row r="420" spans="1:16" s="43" customFormat="1">
      <c r="A420" s="52" t="s">
        <v>290</v>
      </c>
      <c r="B420" s="52">
        <v>10385</v>
      </c>
      <c r="C420" s="43" t="s">
        <v>3290</v>
      </c>
      <c r="D420" s="36">
        <v>2</v>
      </c>
      <c r="E420" s="36">
        <v>0</v>
      </c>
      <c r="F420" s="36">
        <v>0</v>
      </c>
      <c r="G420" s="36">
        <v>0</v>
      </c>
      <c r="H420" s="36">
        <v>0</v>
      </c>
      <c r="I420" s="36">
        <v>1</v>
      </c>
      <c r="J420" s="36">
        <v>0</v>
      </c>
      <c r="K420" s="36">
        <v>1</v>
      </c>
      <c r="L420" s="36">
        <v>1</v>
      </c>
      <c r="M420" s="36">
        <v>1</v>
      </c>
      <c r="N420" s="36">
        <v>1</v>
      </c>
      <c r="O420" s="36">
        <v>0</v>
      </c>
      <c r="P420" s="36">
        <v>0</v>
      </c>
    </row>
    <row r="421" spans="1:16" s="43" customFormat="1">
      <c r="A421" s="43" t="s">
        <v>292</v>
      </c>
      <c r="B421" s="36">
        <v>10388</v>
      </c>
      <c r="C421" s="36" t="s">
        <v>3291</v>
      </c>
      <c r="D421" s="36">
        <v>1</v>
      </c>
      <c r="E421" s="36">
        <v>0</v>
      </c>
      <c r="F421" s="36">
        <v>0</v>
      </c>
      <c r="G421" s="36">
        <v>0</v>
      </c>
      <c r="H421" s="36">
        <v>0</v>
      </c>
      <c r="I421" s="36">
        <v>0</v>
      </c>
      <c r="J421" s="36">
        <v>0</v>
      </c>
      <c r="K421" s="36">
        <v>0</v>
      </c>
      <c r="L421" s="36">
        <v>0</v>
      </c>
      <c r="M421" s="36">
        <v>0</v>
      </c>
      <c r="N421" s="36">
        <v>0</v>
      </c>
      <c r="O421" s="36">
        <v>0</v>
      </c>
      <c r="P421" s="36">
        <v>0</v>
      </c>
    </row>
    <row r="422" spans="1:16" s="43" customFormat="1">
      <c r="A422" s="43" t="s">
        <v>292</v>
      </c>
      <c r="B422" s="36">
        <v>10388</v>
      </c>
      <c r="C422" s="36" t="s">
        <v>3292</v>
      </c>
      <c r="D422" s="36">
        <v>2</v>
      </c>
      <c r="E422" s="36">
        <v>0</v>
      </c>
      <c r="F422" s="36">
        <v>0</v>
      </c>
      <c r="G422" s="36">
        <v>0</v>
      </c>
      <c r="H422" s="36">
        <v>1</v>
      </c>
      <c r="I422" s="36">
        <v>0</v>
      </c>
      <c r="J422" s="36">
        <v>1</v>
      </c>
      <c r="K422" s="36">
        <v>0</v>
      </c>
      <c r="L422" s="36">
        <v>0</v>
      </c>
      <c r="M422" s="36">
        <v>0</v>
      </c>
      <c r="N422" s="36">
        <v>0</v>
      </c>
      <c r="O422" s="36">
        <v>0</v>
      </c>
      <c r="P422" s="36">
        <v>1</v>
      </c>
    </row>
    <row r="423" spans="1:16" s="43" customFormat="1">
      <c r="A423" s="52" t="s">
        <v>375</v>
      </c>
      <c r="B423" s="36">
        <v>10391</v>
      </c>
      <c r="C423" s="36" t="s">
        <v>3229</v>
      </c>
      <c r="D423" s="36">
        <v>1</v>
      </c>
      <c r="E423" s="36">
        <v>0</v>
      </c>
      <c r="F423" s="36">
        <v>0</v>
      </c>
      <c r="G423" s="36">
        <v>0</v>
      </c>
      <c r="H423" s="36">
        <v>0</v>
      </c>
      <c r="I423" s="36">
        <v>0</v>
      </c>
      <c r="J423" s="36">
        <v>0</v>
      </c>
      <c r="K423" s="36">
        <v>0</v>
      </c>
      <c r="L423" s="36">
        <v>0</v>
      </c>
      <c r="M423" s="36">
        <v>0</v>
      </c>
      <c r="N423" s="36">
        <v>0</v>
      </c>
      <c r="O423" s="36">
        <v>0</v>
      </c>
      <c r="P423" s="36">
        <v>0</v>
      </c>
    </row>
    <row r="424" spans="1:16" s="43" customFormat="1">
      <c r="A424" s="52" t="s">
        <v>375</v>
      </c>
      <c r="B424" s="36">
        <v>10391</v>
      </c>
      <c r="C424" s="36" t="s">
        <v>3293</v>
      </c>
      <c r="D424" s="36">
        <v>2</v>
      </c>
      <c r="E424" s="36">
        <v>0</v>
      </c>
      <c r="F424" s="36">
        <v>1</v>
      </c>
      <c r="G424" s="36">
        <v>0</v>
      </c>
      <c r="H424" s="36">
        <v>0</v>
      </c>
      <c r="I424" s="36">
        <v>0</v>
      </c>
      <c r="J424" s="36">
        <v>0</v>
      </c>
      <c r="K424" s="36">
        <v>0</v>
      </c>
      <c r="L424" s="36">
        <v>0</v>
      </c>
      <c r="M424" s="36">
        <v>1</v>
      </c>
      <c r="N424" s="36">
        <v>0</v>
      </c>
      <c r="O424" s="36">
        <v>0</v>
      </c>
      <c r="P424" s="36">
        <v>0</v>
      </c>
    </row>
    <row r="425" spans="1:16" s="43" customFormat="1">
      <c r="A425" s="43" t="s">
        <v>376</v>
      </c>
      <c r="B425" s="36">
        <v>10407</v>
      </c>
      <c r="C425" s="43" t="s">
        <v>3221</v>
      </c>
      <c r="D425" s="36">
        <v>1</v>
      </c>
      <c r="E425" s="36">
        <v>0</v>
      </c>
      <c r="F425" s="36">
        <v>0</v>
      </c>
      <c r="G425" s="36">
        <v>0</v>
      </c>
      <c r="H425" s="36">
        <v>0</v>
      </c>
      <c r="I425" s="36">
        <v>0</v>
      </c>
      <c r="J425" s="36">
        <v>1</v>
      </c>
      <c r="K425" s="36">
        <v>0</v>
      </c>
      <c r="L425" s="36">
        <v>0</v>
      </c>
      <c r="M425" s="36">
        <v>0</v>
      </c>
      <c r="N425" s="36">
        <v>0</v>
      </c>
      <c r="O425" s="36">
        <v>0</v>
      </c>
      <c r="P425" s="36">
        <v>0</v>
      </c>
    </row>
    <row r="426" spans="1:16" s="43" customFormat="1">
      <c r="A426" s="43" t="s">
        <v>376</v>
      </c>
      <c r="B426" s="36">
        <v>10407</v>
      </c>
      <c r="C426" s="43" t="s">
        <v>3547</v>
      </c>
      <c r="D426" s="36">
        <v>2</v>
      </c>
      <c r="E426" s="36">
        <v>0</v>
      </c>
      <c r="F426" s="36">
        <v>0</v>
      </c>
      <c r="G426" s="36">
        <v>1</v>
      </c>
      <c r="H426" s="36">
        <v>0</v>
      </c>
      <c r="I426" s="36">
        <v>1</v>
      </c>
      <c r="J426" s="36">
        <v>1</v>
      </c>
      <c r="K426" s="36">
        <v>0</v>
      </c>
      <c r="L426" s="36">
        <v>0</v>
      </c>
      <c r="M426" s="36">
        <v>0</v>
      </c>
      <c r="N426" s="36">
        <v>0</v>
      </c>
      <c r="O426" s="36">
        <v>0</v>
      </c>
      <c r="P426" s="36">
        <v>0</v>
      </c>
    </row>
    <row r="427" spans="1:16" s="43" customFormat="1">
      <c r="A427" s="43" t="s">
        <v>377</v>
      </c>
      <c r="B427" s="36">
        <v>10408</v>
      </c>
      <c r="C427" s="43" t="s">
        <v>3294</v>
      </c>
      <c r="D427" s="36">
        <v>1</v>
      </c>
      <c r="E427" s="36">
        <v>0</v>
      </c>
      <c r="F427" s="36">
        <v>0</v>
      </c>
      <c r="G427" s="36">
        <v>0</v>
      </c>
      <c r="H427" s="36">
        <v>0</v>
      </c>
      <c r="I427" s="36">
        <v>0</v>
      </c>
      <c r="J427" s="36">
        <v>0</v>
      </c>
      <c r="K427" s="36">
        <v>0</v>
      </c>
      <c r="L427" s="36">
        <v>1</v>
      </c>
      <c r="M427" s="36">
        <v>1</v>
      </c>
      <c r="N427" s="36">
        <v>0</v>
      </c>
      <c r="O427" s="36">
        <v>0</v>
      </c>
      <c r="P427" s="36">
        <v>0</v>
      </c>
    </row>
    <row r="428" spans="1:16" s="43" customFormat="1">
      <c r="A428" s="43" t="s">
        <v>377</v>
      </c>
      <c r="B428" s="36">
        <v>10408</v>
      </c>
      <c r="C428" s="43" t="s">
        <v>3222</v>
      </c>
      <c r="D428" s="36">
        <v>2</v>
      </c>
      <c r="E428" s="36">
        <v>0</v>
      </c>
      <c r="F428" s="36">
        <v>1</v>
      </c>
      <c r="G428" s="36">
        <v>1</v>
      </c>
      <c r="H428" s="36">
        <v>0</v>
      </c>
      <c r="I428" s="36">
        <v>0</v>
      </c>
      <c r="J428" s="36">
        <v>0</v>
      </c>
      <c r="K428" s="36">
        <v>0</v>
      </c>
      <c r="L428" s="36">
        <v>1</v>
      </c>
      <c r="M428" s="36">
        <v>1</v>
      </c>
      <c r="N428" s="36">
        <v>0</v>
      </c>
      <c r="O428" s="36">
        <v>0</v>
      </c>
      <c r="P428" s="36">
        <v>0</v>
      </c>
    </row>
    <row r="429" spans="1:16" s="43" customFormat="1">
      <c r="A429" s="43" t="s">
        <v>378</v>
      </c>
      <c r="B429" s="36">
        <v>10791</v>
      </c>
      <c r="C429" s="43" t="s">
        <v>3295</v>
      </c>
      <c r="D429" s="36">
        <v>1</v>
      </c>
      <c r="E429" s="36">
        <v>0</v>
      </c>
      <c r="F429" s="36">
        <v>0</v>
      </c>
      <c r="G429" s="36">
        <v>0</v>
      </c>
      <c r="H429" s="36">
        <v>0</v>
      </c>
      <c r="I429" s="36">
        <v>0</v>
      </c>
      <c r="J429" s="36">
        <v>0</v>
      </c>
      <c r="K429" s="36">
        <v>0</v>
      </c>
      <c r="L429" s="36">
        <v>1</v>
      </c>
      <c r="M429" s="36">
        <v>0</v>
      </c>
      <c r="N429" s="36">
        <v>0</v>
      </c>
      <c r="O429" s="36">
        <v>0</v>
      </c>
      <c r="P429" s="36">
        <v>0</v>
      </c>
    </row>
    <row r="430" spans="1:16" s="43" customFormat="1">
      <c r="A430" s="43" t="s">
        <v>378</v>
      </c>
      <c r="B430" s="36">
        <v>10791</v>
      </c>
      <c r="C430" s="43" t="s">
        <v>3296</v>
      </c>
      <c r="D430" s="36">
        <v>2</v>
      </c>
      <c r="E430" s="36">
        <v>0</v>
      </c>
      <c r="F430" s="36">
        <v>0</v>
      </c>
      <c r="G430" s="36">
        <v>1</v>
      </c>
      <c r="H430" s="36">
        <v>0</v>
      </c>
      <c r="I430" s="36">
        <v>0</v>
      </c>
      <c r="J430" s="36">
        <v>0</v>
      </c>
      <c r="K430" s="36">
        <v>1</v>
      </c>
      <c r="L430" s="36">
        <v>1</v>
      </c>
      <c r="M430" s="36">
        <v>0</v>
      </c>
      <c r="N430" s="36">
        <v>0</v>
      </c>
      <c r="O430" s="36">
        <v>0</v>
      </c>
      <c r="P430" s="36">
        <v>0</v>
      </c>
    </row>
    <row r="431" spans="1:16" s="43" customFormat="1">
      <c r="A431" s="43" t="s">
        <v>294</v>
      </c>
      <c r="B431" s="36">
        <v>10808</v>
      </c>
      <c r="C431" s="43" t="s">
        <v>3297</v>
      </c>
      <c r="D431" s="36">
        <v>1</v>
      </c>
      <c r="E431" s="36">
        <v>1</v>
      </c>
      <c r="F431" s="36">
        <v>0</v>
      </c>
      <c r="G431" s="36">
        <v>0</v>
      </c>
      <c r="H431" s="36">
        <v>0</v>
      </c>
      <c r="I431" s="36">
        <v>0</v>
      </c>
      <c r="J431" s="36">
        <v>1</v>
      </c>
      <c r="K431" s="36">
        <v>0</v>
      </c>
      <c r="L431" s="36">
        <v>0</v>
      </c>
      <c r="M431" s="36">
        <v>0</v>
      </c>
      <c r="N431" s="36">
        <v>0</v>
      </c>
      <c r="O431" s="36">
        <v>1</v>
      </c>
      <c r="P431" s="36">
        <v>0</v>
      </c>
    </row>
    <row r="432" spans="1:16" s="43" customFormat="1">
      <c r="A432" s="43" t="s">
        <v>294</v>
      </c>
      <c r="B432" s="36">
        <v>10808</v>
      </c>
      <c r="C432" s="43" t="s">
        <v>3298</v>
      </c>
      <c r="D432" s="36">
        <v>2</v>
      </c>
      <c r="E432" s="36">
        <v>1</v>
      </c>
      <c r="F432" s="36">
        <v>0</v>
      </c>
      <c r="G432" s="36">
        <v>1</v>
      </c>
      <c r="H432" s="36">
        <v>1</v>
      </c>
      <c r="I432" s="36">
        <v>0</v>
      </c>
      <c r="J432" s="36">
        <v>1</v>
      </c>
      <c r="K432" s="36">
        <v>0</v>
      </c>
      <c r="L432" s="36">
        <v>1</v>
      </c>
      <c r="M432" s="36">
        <v>0</v>
      </c>
      <c r="N432" s="36">
        <v>0</v>
      </c>
      <c r="O432" s="36">
        <v>1</v>
      </c>
      <c r="P432" s="36">
        <v>0</v>
      </c>
    </row>
    <row r="433" spans="1:16" s="43" customFormat="1">
      <c r="A433" s="43" t="s">
        <v>378</v>
      </c>
      <c r="B433" s="36">
        <v>10839</v>
      </c>
      <c r="C433" s="36" t="s">
        <v>3226</v>
      </c>
      <c r="D433" s="36">
        <v>1</v>
      </c>
      <c r="E433" s="36">
        <v>0</v>
      </c>
      <c r="F433" s="36">
        <v>0</v>
      </c>
      <c r="G433" s="36">
        <v>0</v>
      </c>
      <c r="H433" s="36">
        <v>0</v>
      </c>
      <c r="I433" s="36">
        <v>0</v>
      </c>
      <c r="J433" s="36">
        <v>0</v>
      </c>
      <c r="K433" s="36">
        <v>1</v>
      </c>
      <c r="L433" s="36">
        <v>1</v>
      </c>
      <c r="M433" s="36">
        <v>1</v>
      </c>
      <c r="N433" s="36">
        <v>0</v>
      </c>
      <c r="O433" s="36">
        <v>0</v>
      </c>
      <c r="P433" s="36">
        <v>0</v>
      </c>
    </row>
    <row r="434" spans="1:16" s="43" customFormat="1">
      <c r="A434" s="43" t="s">
        <v>378</v>
      </c>
      <c r="B434" s="36">
        <v>10839</v>
      </c>
      <c r="C434" s="36" t="s">
        <v>3299</v>
      </c>
      <c r="D434" s="36">
        <v>2</v>
      </c>
      <c r="E434" s="36">
        <v>0</v>
      </c>
      <c r="F434" s="36">
        <v>0</v>
      </c>
      <c r="G434" s="36">
        <v>0</v>
      </c>
      <c r="H434" s="36">
        <v>1</v>
      </c>
      <c r="I434" s="36">
        <v>0</v>
      </c>
      <c r="J434" s="36">
        <v>1</v>
      </c>
      <c r="K434" s="36">
        <v>1</v>
      </c>
      <c r="L434" s="36">
        <v>1</v>
      </c>
      <c r="M434" s="36">
        <v>1</v>
      </c>
      <c r="N434" s="36">
        <v>0</v>
      </c>
      <c r="O434" s="36">
        <v>0</v>
      </c>
      <c r="P434" s="36">
        <v>0</v>
      </c>
    </row>
    <row r="435" spans="1:16" s="43" customFormat="1">
      <c r="A435" s="52" t="s">
        <v>379</v>
      </c>
      <c r="B435" s="52">
        <v>10867</v>
      </c>
      <c r="C435" s="43" t="s">
        <v>3229</v>
      </c>
      <c r="D435" s="36">
        <v>1</v>
      </c>
      <c r="E435" s="52">
        <v>0</v>
      </c>
      <c r="F435" s="52">
        <v>0</v>
      </c>
      <c r="G435" s="36">
        <v>0</v>
      </c>
      <c r="H435" s="36">
        <v>0</v>
      </c>
      <c r="I435" s="36">
        <v>0</v>
      </c>
      <c r="J435" s="36">
        <v>0</v>
      </c>
      <c r="K435" s="36">
        <v>0</v>
      </c>
      <c r="L435" s="36">
        <v>0</v>
      </c>
      <c r="M435" s="36">
        <v>0</v>
      </c>
      <c r="N435" s="36">
        <v>0</v>
      </c>
      <c r="O435" s="36">
        <v>0</v>
      </c>
      <c r="P435" s="36">
        <v>0</v>
      </c>
    </row>
    <row r="436" spans="1:16" s="43" customFormat="1">
      <c r="A436" s="52" t="s">
        <v>379</v>
      </c>
      <c r="B436" s="52">
        <v>10867</v>
      </c>
      <c r="C436" s="43" t="s">
        <v>3300</v>
      </c>
      <c r="D436" s="36">
        <v>2</v>
      </c>
      <c r="E436" s="52">
        <v>0</v>
      </c>
      <c r="F436" s="52">
        <v>0</v>
      </c>
      <c r="G436" s="36">
        <v>1</v>
      </c>
      <c r="H436" s="36">
        <v>0</v>
      </c>
      <c r="I436" s="36">
        <v>0</v>
      </c>
      <c r="J436" s="36">
        <v>0</v>
      </c>
      <c r="K436" s="36">
        <v>0</v>
      </c>
      <c r="L436" s="36">
        <v>0</v>
      </c>
      <c r="M436" s="36">
        <v>0</v>
      </c>
      <c r="N436" s="36">
        <v>0</v>
      </c>
      <c r="O436" s="36">
        <v>0</v>
      </c>
      <c r="P436" s="36">
        <v>0</v>
      </c>
    </row>
    <row r="437" spans="1:16" s="43" customFormat="1">
      <c r="A437" s="43" t="s">
        <v>380</v>
      </c>
      <c r="B437" s="36">
        <v>11183</v>
      </c>
      <c r="C437" s="43" t="s">
        <v>3226</v>
      </c>
      <c r="D437" s="36">
        <v>1</v>
      </c>
      <c r="E437" s="36">
        <v>0</v>
      </c>
      <c r="F437" s="36">
        <v>0</v>
      </c>
      <c r="G437" s="36">
        <v>0</v>
      </c>
      <c r="H437" s="36">
        <v>0</v>
      </c>
      <c r="I437" s="36">
        <v>0</v>
      </c>
      <c r="J437" s="36">
        <v>0</v>
      </c>
      <c r="K437" s="36">
        <v>0</v>
      </c>
      <c r="L437" s="36">
        <v>0</v>
      </c>
      <c r="M437" s="36">
        <v>0</v>
      </c>
      <c r="N437" s="36">
        <v>0</v>
      </c>
      <c r="O437" s="36">
        <v>0</v>
      </c>
      <c r="P437" s="36">
        <v>0</v>
      </c>
    </row>
    <row r="438" spans="1:16" s="43" customFormat="1">
      <c r="A438" s="43" t="s">
        <v>380</v>
      </c>
      <c r="B438" s="36">
        <v>11183</v>
      </c>
      <c r="C438" s="43" t="s">
        <v>3225</v>
      </c>
      <c r="D438" s="36">
        <v>2</v>
      </c>
      <c r="E438" s="36">
        <v>0</v>
      </c>
      <c r="F438" s="36">
        <v>1</v>
      </c>
      <c r="G438" s="36">
        <v>0</v>
      </c>
      <c r="H438" s="36">
        <v>0</v>
      </c>
      <c r="I438" s="36">
        <v>0</v>
      </c>
      <c r="J438" s="36">
        <v>0</v>
      </c>
      <c r="K438" s="36">
        <v>0</v>
      </c>
      <c r="L438" s="36">
        <v>1</v>
      </c>
      <c r="M438" s="36">
        <v>1</v>
      </c>
      <c r="N438" s="36">
        <v>0</v>
      </c>
      <c r="O438" s="36">
        <v>0</v>
      </c>
      <c r="P438" s="36">
        <v>0</v>
      </c>
    </row>
    <row r="439" spans="1:16" s="43" customFormat="1">
      <c r="A439" s="43" t="s">
        <v>381</v>
      </c>
      <c r="B439" s="36">
        <v>11206</v>
      </c>
      <c r="C439" s="43" t="s">
        <v>3229</v>
      </c>
      <c r="D439" s="36">
        <v>1</v>
      </c>
      <c r="E439" s="36">
        <v>0</v>
      </c>
      <c r="F439" s="36">
        <v>0</v>
      </c>
      <c r="G439" s="36">
        <v>0</v>
      </c>
      <c r="H439" s="36">
        <v>0</v>
      </c>
      <c r="I439" s="36">
        <v>0</v>
      </c>
      <c r="J439" s="36">
        <v>0</v>
      </c>
      <c r="K439" s="36">
        <v>0</v>
      </c>
      <c r="L439" s="36">
        <v>0</v>
      </c>
      <c r="M439" s="36">
        <v>0</v>
      </c>
      <c r="N439" s="36">
        <v>0</v>
      </c>
      <c r="O439" s="36">
        <v>0</v>
      </c>
      <c r="P439" s="36">
        <v>0</v>
      </c>
    </row>
    <row r="440" spans="1:16" s="43" customFormat="1">
      <c r="A440" s="43" t="s">
        <v>381</v>
      </c>
      <c r="B440" s="36">
        <v>11206</v>
      </c>
      <c r="C440" s="43" t="s">
        <v>3222</v>
      </c>
      <c r="D440" s="36">
        <v>2</v>
      </c>
      <c r="E440" s="36">
        <v>0</v>
      </c>
      <c r="F440" s="36">
        <v>1</v>
      </c>
      <c r="G440" s="36">
        <v>0</v>
      </c>
      <c r="H440" s="36">
        <v>0</v>
      </c>
      <c r="I440" s="36">
        <v>0</v>
      </c>
      <c r="J440" s="36">
        <v>0</v>
      </c>
      <c r="K440" s="36">
        <v>0</v>
      </c>
      <c r="L440" s="36">
        <v>0</v>
      </c>
      <c r="M440" s="36">
        <v>1</v>
      </c>
      <c r="N440" s="36">
        <v>0</v>
      </c>
      <c r="O440" s="36">
        <v>0</v>
      </c>
      <c r="P440" s="36">
        <v>0</v>
      </c>
    </row>
    <row r="441" spans="1:16" s="43" customFormat="1">
      <c r="A441" s="43" t="s">
        <v>382</v>
      </c>
      <c r="B441" s="36">
        <v>11209</v>
      </c>
      <c r="C441" s="43" t="s">
        <v>3301</v>
      </c>
      <c r="D441" s="36">
        <v>1</v>
      </c>
      <c r="E441" s="36">
        <v>0</v>
      </c>
      <c r="F441" s="36">
        <v>0</v>
      </c>
      <c r="G441" s="36">
        <v>0</v>
      </c>
      <c r="H441" s="36">
        <v>0</v>
      </c>
      <c r="I441" s="36">
        <v>0</v>
      </c>
      <c r="J441" s="36">
        <v>0</v>
      </c>
      <c r="K441" s="36">
        <v>0</v>
      </c>
      <c r="L441" s="36">
        <v>0</v>
      </c>
      <c r="M441" s="36">
        <v>0</v>
      </c>
      <c r="N441" s="36">
        <v>0</v>
      </c>
      <c r="O441" s="36">
        <v>0</v>
      </c>
      <c r="P441" s="36">
        <v>0</v>
      </c>
    </row>
    <row r="442" spans="1:16" s="43" customFormat="1">
      <c r="A442" s="43" t="s">
        <v>382</v>
      </c>
      <c r="B442" s="36">
        <v>11209</v>
      </c>
      <c r="C442" s="43" t="s">
        <v>3302</v>
      </c>
      <c r="D442" s="36">
        <v>2</v>
      </c>
      <c r="E442" s="36">
        <v>0</v>
      </c>
      <c r="F442" s="36">
        <v>1</v>
      </c>
      <c r="G442" s="36">
        <v>1</v>
      </c>
      <c r="H442" s="36">
        <v>0</v>
      </c>
      <c r="I442" s="36">
        <v>0</v>
      </c>
      <c r="J442" s="36">
        <v>0</v>
      </c>
      <c r="K442" s="36">
        <v>0</v>
      </c>
      <c r="L442" s="36">
        <v>1</v>
      </c>
      <c r="M442" s="36">
        <v>0</v>
      </c>
      <c r="N442" s="36">
        <v>0</v>
      </c>
      <c r="O442" s="36">
        <v>0</v>
      </c>
      <c r="P442" s="36">
        <v>0</v>
      </c>
    </row>
    <row r="443" spans="1:16" s="43" customFormat="1">
      <c r="A443" s="43" t="s">
        <v>384</v>
      </c>
      <c r="B443" s="36">
        <v>11220</v>
      </c>
      <c r="C443" s="36" t="s">
        <v>3229</v>
      </c>
      <c r="D443" s="36">
        <v>1</v>
      </c>
      <c r="E443" s="36">
        <v>0</v>
      </c>
      <c r="F443" s="36">
        <v>0</v>
      </c>
      <c r="G443" s="36">
        <v>0</v>
      </c>
      <c r="H443" s="36">
        <v>0</v>
      </c>
      <c r="I443" s="36">
        <v>0</v>
      </c>
      <c r="J443" s="36">
        <v>0</v>
      </c>
      <c r="K443" s="36">
        <v>0</v>
      </c>
      <c r="L443" s="36">
        <v>0</v>
      </c>
      <c r="M443" s="36">
        <v>0</v>
      </c>
      <c r="N443" s="36">
        <v>0</v>
      </c>
      <c r="O443" s="36">
        <v>0</v>
      </c>
      <c r="P443" s="36">
        <v>0</v>
      </c>
    </row>
    <row r="444" spans="1:16" s="43" customFormat="1">
      <c r="A444" s="43" t="s">
        <v>384</v>
      </c>
      <c r="B444" s="36">
        <v>11220</v>
      </c>
      <c r="C444" s="36" t="s">
        <v>3288</v>
      </c>
      <c r="D444" s="36">
        <v>2</v>
      </c>
      <c r="E444" s="36">
        <v>0</v>
      </c>
      <c r="F444" s="36">
        <v>1</v>
      </c>
      <c r="G444" s="36">
        <v>0</v>
      </c>
      <c r="H444" s="36">
        <v>0</v>
      </c>
      <c r="I444" s="36">
        <v>0</v>
      </c>
      <c r="J444" s="36">
        <v>0</v>
      </c>
      <c r="K444" s="36">
        <v>0</v>
      </c>
      <c r="L444" s="36">
        <v>1</v>
      </c>
      <c r="M444" s="36">
        <v>1</v>
      </c>
      <c r="N444" s="36">
        <v>0</v>
      </c>
      <c r="O444" s="36">
        <v>0</v>
      </c>
      <c r="P444" s="36">
        <v>0</v>
      </c>
    </row>
    <row r="445" spans="1:16" s="43" customFormat="1">
      <c r="A445" s="36" t="s">
        <v>385</v>
      </c>
      <c r="B445" s="36">
        <v>11240</v>
      </c>
      <c r="C445" s="36" t="s">
        <v>3221</v>
      </c>
      <c r="D445" s="36">
        <v>1</v>
      </c>
      <c r="E445" s="36">
        <v>0</v>
      </c>
      <c r="F445" s="36">
        <v>0</v>
      </c>
      <c r="G445" s="36">
        <v>0</v>
      </c>
      <c r="H445" s="36">
        <v>0</v>
      </c>
      <c r="I445" s="36">
        <v>0</v>
      </c>
      <c r="J445" s="36">
        <v>0</v>
      </c>
      <c r="K445" s="36">
        <v>0</v>
      </c>
      <c r="L445" s="36">
        <v>0</v>
      </c>
      <c r="M445" s="36">
        <v>0</v>
      </c>
      <c r="N445" s="36">
        <v>0</v>
      </c>
      <c r="O445" s="36">
        <v>0</v>
      </c>
      <c r="P445" s="36">
        <v>0</v>
      </c>
    </row>
    <row r="446" spans="1:16" s="43" customFormat="1">
      <c r="A446" s="36" t="s">
        <v>385</v>
      </c>
      <c r="B446" s="36">
        <v>11240</v>
      </c>
      <c r="C446" s="36" t="s">
        <v>3303</v>
      </c>
      <c r="D446" s="36">
        <v>2</v>
      </c>
      <c r="E446" s="36">
        <v>0</v>
      </c>
      <c r="F446" s="36">
        <v>0</v>
      </c>
      <c r="G446" s="36">
        <v>1</v>
      </c>
      <c r="H446" s="36">
        <v>0</v>
      </c>
      <c r="I446" s="36">
        <v>0</v>
      </c>
      <c r="J446" s="36">
        <v>0</v>
      </c>
      <c r="K446" s="36">
        <v>0</v>
      </c>
      <c r="L446" s="36">
        <v>1</v>
      </c>
      <c r="M446" s="36">
        <v>1</v>
      </c>
      <c r="N446" s="36">
        <v>0</v>
      </c>
      <c r="O446" s="36">
        <v>0</v>
      </c>
      <c r="P446" s="36">
        <v>0</v>
      </c>
    </row>
    <row r="447" spans="1:16" s="43" customFormat="1">
      <c r="A447" s="36" t="s">
        <v>385</v>
      </c>
      <c r="B447" s="36">
        <v>11240</v>
      </c>
      <c r="C447" s="36" t="s">
        <v>3304</v>
      </c>
      <c r="D447" s="36">
        <v>3</v>
      </c>
      <c r="E447" s="36">
        <v>0</v>
      </c>
      <c r="F447" s="36">
        <v>0</v>
      </c>
      <c r="G447" s="36">
        <v>1</v>
      </c>
      <c r="H447" s="36">
        <v>0</v>
      </c>
      <c r="I447" s="36">
        <v>0</v>
      </c>
      <c r="J447" s="36">
        <v>0</v>
      </c>
      <c r="K447" s="36">
        <v>1</v>
      </c>
      <c r="L447" s="36">
        <v>1</v>
      </c>
      <c r="M447" s="36">
        <v>1</v>
      </c>
      <c r="N447" s="36">
        <v>0</v>
      </c>
      <c r="O447" s="36">
        <v>0</v>
      </c>
      <c r="P447" s="36">
        <v>0</v>
      </c>
    </row>
    <row r="448" spans="1:16" s="43" customFormat="1">
      <c r="A448" s="43" t="s">
        <v>2283</v>
      </c>
      <c r="B448" s="36">
        <v>11241</v>
      </c>
      <c r="C448" s="43" t="s">
        <v>3305</v>
      </c>
      <c r="D448" s="36">
        <v>1</v>
      </c>
      <c r="E448" s="36">
        <v>0</v>
      </c>
      <c r="F448" s="36">
        <v>0</v>
      </c>
      <c r="G448" s="36">
        <v>0</v>
      </c>
      <c r="H448" s="36">
        <v>0</v>
      </c>
      <c r="I448" s="36">
        <v>0</v>
      </c>
      <c r="J448" s="36">
        <v>0</v>
      </c>
      <c r="K448" s="36">
        <v>0</v>
      </c>
      <c r="L448" s="36">
        <v>0</v>
      </c>
      <c r="M448" s="36">
        <v>0</v>
      </c>
      <c r="N448" s="36">
        <v>0</v>
      </c>
      <c r="O448" s="36">
        <v>0</v>
      </c>
      <c r="P448" s="36">
        <v>0</v>
      </c>
    </row>
    <row r="449" spans="1:16" s="43" customFormat="1">
      <c r="A449" s="43" t="s">
        <v>2283</v>
      </c>
      <c r="B449" s="36">
        <v>11241</v>
      </c>
      <c r="C449" s="43" t="s">
        <v>3306</v>
      </c>
      <c r="D449" s="36">
        <v>2</v>
      </c>
      <c r="E449" s="36">
        <v>1</v>
      </c>
      <c r="F449" s="36">
        <v>1</v>
      </c>
      <c r="G449" s="36">
        <v>0</v>
      </c>
      <c r="H449" s="36">
        <v>0</v>
      </c>
      <c r="I449" s="36">
        <v>1</v>
      </c>
      <c r="J449" s="36">
        <v>0</v>
      </c>
      <c r="K449" s="36">
        <v>0</v>
      </c>
      <c r="L449" s="36">
        <v>1</v>
      </c>
      <c r="M449" s="36">
        <v>0</v>
      </c>
      <c r="N449" s="36">
        <v>1</v>
      </c>
      <c r="O449" s="36">
        <v>0</v>
      </c>
      <c r="P449" s="36">
        <v>1</v>
      </c>
    </row>
    <row r="450" spans="1:16" s="43" customFormat="1">
      <c r="A450" s="52" t="s">
        <v>386</v>
      </c>
      <c r="B450" s="52">
        <v>11247</v>
      </c>
      <c r="C450" s="43" t="s">
        <v>3221</v>
      </c>
      <c r="D450" s="36">
        <v>1</v>
      </c>
      <c r="E450" s="36">
        <v>0</v>
      </c>
      <c r="F450" s="36">
        <v>0</v>
      </c>
      <c r="G450" s="36">
        <v>0</v>
      </c>
      <c r="H450" s="36">
        <v>0</v>
      </c>
      <c r="I450" s="36">
        <v>0</v>
      </c>
      <c r="J450" s="36">
        <v>0</v>
      </c>
      <c r="K450" s="36">
        <v>0</v>
      </c>
      <c r="L450" s="36">
        <v>1</v>
      </c>
      <c r="M450" s="36">
        <v>0</v>
      </c>
      <c r="N450" s="36">
        <v>0</v>
      </c>
      <c r="O450" s="36">
        <v>0</v>
      </c>
      <c r="P450" s="36">
        <v>0</v>
      </c>
    </row>
    <row r="451" spans="1:16" s="43" customFormat="1">
      <c r="A451" s="52" t="s">
        <v>386</v>
      </c>
      <c r="B451" s="52">
        <v>11247</v>
      </c>
      <c r="C451" s="43" t="s">
        <v>3307</v>
      </c>
      <c r="D451" s="36">
        <v>2</v>
      </c>
      <c r="E451" s="36">
        <v>0</v>
      </c>
      <c r="F451" s="36">
        <v>1</v>
      </c>
      <c r="G451" s="36">
        <v>0</v>
      </c>
      <c r="H451" s="36">
        <v>0</v>
      </c>
      <c r="I451" s="36">
        <v>1</v>
      </c>
      <c r="J451" s="36">
        <v>0</v>
      </c>
      <c r="K451" s="36">
        <v>1</v>
      </c>
      <c r="L451" s="36">
        <v>1</v>
      </c>
      <c r="M451" s="36">
        <v>1</v>
      </c>
      <c r="N451" s="36">
        <v>0</v>
      </c>
      <c r="O451" s="36">
        <v>0</v>
      </c>
      <c r="P451" s="36">
        <v>0</v>
      </c>
    </row>
    <row r="452" spans="1:16" s="43" customFormat="1">
      <c r="A452" s="36" t="s">
        <v>296</v>
      </c>
      <c r="B452" s="36">
        <v>11249</v>
      </c>
      <c r="C452" s="36" t="s">
        <v>3308</v>
      </c>
      <c r="D452" s="36">
        <v>1</v>
      </c>
      <c r="E452" s="36">
        <v>1</v>
      </c>
      <c r="F452" s="36">
        <v>0</v>
      </c>
      <c r="G452" s="36">
        <v>0</v>
      </c>
      <c r="H452" s="36">
        <v>0</v>
      </c>
      <c r="I452" s="36">
        <v>0</v>
      </c>
      <c r="J452" s="36">
        <v>0</v>
      </c>
      <c r="K452" s="36">
        <v>0</v>
      </c>
      <c r="L452" s="36">
        <v>0</v>
      </c>
      <c r="M452" s="36">
        <v>0</v>
      </c>
      <c r="N452" s="36">
        <v>0</v>
      </c>
      <c r="O452" s="36">
        <v>0</v>
      </c>
      <c r="P452" s="36">
        <v>0</v>
      </c>
    </row>
    <row r="453" spans="1:16" s="43" customFormat="1">
      <c r="A453" s="36" t="s">
        <v>296</v>
      </c>
      <c r="B453" s="36">
        <v>11249</v>
      </c>
      <c r="C453" s="36" t="s">
        <v>3309</v>
      </c>
      <c r="D453" s="36">
        <v>2</v>
      </c>
      <c r="E453" s="36">
        <v>1</v>
      </c>
      <c r="F453" s="36">
        <v>0</v>
      </c>
      <c r="G453" s="36">
        <v>0</v>
      </c>
      <c r="H453" s="36">
        <v>0</v>
      </c>
      <c r="I453" s="36">
        <v>0</v>
      </c>
      <c r="J453" s="36">
        <v>0</v>
      </c>
      <c r="K453" s="36">
        <v>0</v>
      </c>
      <c r="L453" s="36">
        <v>0</v>
      </c>
      <c r="M453" s="36">
        <v>0</v>
      </c>
      <c r="N453" s="36">
        <v>0</v>
      </c>
      <c r="O453" s="36">
        <v>0</v>
      </c>
      <c r="P453" s="36">
        <v>0</v>
      </c>
    </row>
    <row r="454" spans="1:16" s="43" customFormat="1">
      <c r="A454" s="36" t="s">
        <v>296</v>
      </c>
      <c r="B454" s="36">
        <v>11249</v>
      </c>
      <c r="C454" s="36" t="s">
        <v>3310</v>
      </c>
      <c r="D454" s="36">
        <v>3</v>
      </c>
      <c r="E454" s="36">
        <v>1</v>
      </c>
      <c r="F454" s="36">
        <v>1</v>
      </c>
      <c r="G454" s="36">
        <v>0</v>
      </c>
      <c r="H454" s="36">
        <v>0</v>
      </c>
      <c r="I454" s="36">
        <v>0</v>
      </c>
      <c r="J454" s="36">
        <v>1</v>
      </c>
      <c r="K454" s="36">
        <v>0</v>
      </c>
      <c r="L454" s="36">
        <v>0</v>
      </c>
      <c r="M454" s="36">
        <v>0</v>
      </c>
      <c r="N454" s="36">
        <v>0</v>
      </c>
      <c r="O454" s="36">
        <v>0</v>
      </c>
      <c r="P454" s="36">
        <v>0</v>
      </c>
    </row>
    <row r="455" spans="1:16" s="43" customFormat="1">
      <c r="A455" s="43" t="s">
        <v>387</v>
      </c>
      <c r="B455" s="36">
        <v>11250</v>
      </c>
      <c r="C455" s="36" t="s">
        <v>3229</v>
      </c>
      <c r="D455" s="36">
        <v>1</v>
      </c>
      <c r="E455" s="36">
        <v>0</v>
      </c>
      <c r="F455" s="36">
        <v>0</v>
      </c>
      <c r="G455" s="36">
        <v>0</v>
      </c>
      <c r="H455" s="36">
        <v>0</v>
      </c>
      <c r="I455" s="36">
        <v>0</v>
      </c>
      <c r="J455" s="36">
        <v>0</v>
      </c>
      <c r="K455" s="36">
        <v>0</v>
      </c>
      <c r="L455" s="36">
        <v>0</v>
      </c>
      <c r="M455" s="36">
        <v>0</v>
      </c>
      <c r="N455" s="36">
        <v>0</v>
      </c>
      <c r="O455" s="36">
        <v>0</v>
      </c>
      <c r="P455" s="36">
        <v>0</v>
      </c>
    </row>
    <row r="456" spans="1:16" s="43" customFormat="1">
      <c r="A456" s="43" t="s">
        <v>387</v>
      </c>
      <c r="B456" s="36">
        <v>11250</v>
      </c>
      <c r="C456" s="36" t="s">
        <v>3222</v>
      </c>
      <c r="D456" s="36">
        <v>2</v>
      </c>
      <c r="E456" s="36">
        <v>0</v>
      </c>
      <c r="F456" s="36">
        <v>1</v>
      </c>
      <c r="G456" s="36">
        <v>0</v>
      </c>
      <c r="H456" s="36">
        <v>0</v>
      </c>
      <c r="I456" s="36">
        <v>0</v>
      </c>
      <c r="J456" s="36">
        <v>0</v>
      </c>
      <c r="K456" s="36">
        <v>1</v>
      </c>
      <c r="L456" s="36">
        <v>1</v>
      </c>
      <c r="M456" s="36">
        <v>1</v>
      </c>
      <c r="N456" s="36">
        <v>0</v>
      </c>
      <c r="O456" s="36">
        <v>0</v>
      </c>
      <c r="P456" s="36">
        <v>0</v>
      </c>
    </row>
    <row r="457" spans="1:16" s="43" customFormat="1">
      <c r="A457" s="43" t="s">
        <v>388</v>
      </c>
      <c r="B457" s="36">
        <v>11257</v>
      </c>
      <c r="C457" s="43" t="s">
        <v>3229</v>
      </c>
      <c r="D457" s="36">
        <v>1</v>
      </c>
      <c r="E457" s="36">
        <v>0</v>
      </c>
      <c r="F457" s="36">
        <v>0</v>
      </c>
      <c r="G457" s="36">
        <v>0</v>
      </c>
      <c r="H457" s="36">
        <v>0</v>
      </c>
      <c r="I457" s="36">
        <v>0</v>
      </c>
      <c r="J457" s="36">
        <v>0</v>
      </c>
      <c r="K457" s="36">
        <v>0</v>
      </c>
      <c r="L457" s="36">
        <v>0</v>
      </c>
      <c r="M457" s="36">
        <v>0</v>
      </c>
      <c r="N457" s="36">
        <v>0</v>
      </c>
      <c r="O457" s="36">
        <v>0</v>
      </c>
      <c r="P457" s="36">
        <v>0</v>
      </c>
    </row>
    <row r="458" spans="1:16" s="43" customFormat="1">
      <c r="A458" s="43" t="s">
        <v>388</v>
      </c>
      <c r="B458" s="36">
        <v>11257</v>
      </c>
      <c r="C458" s="43" t="s">
        <v>3222</v>
      </c>
      <c r="D458" s="36">
        <v>2</v>
      </c>
      <c r="E458" s="36">
        <v>0</v>
      </c>
      <c r="F458" s="36">
        <v>0</v>
      </c>
      <c r="G458" s="36">
        <v>0</v>
      </c>
      <c r="H458" s="36">
        <v>1</v>
      </c>
      <c r="I458" s="36">
        <v>1</v>
      </c>
      <c r="J458" s="36">
        <v>1</v>
      </c>
      <c r="K458" s="36">
        <v>1</v>
      </c>
      <c r="L458" s="36">
        <v>1</v>
      </c>
      <c r="M458" s="36">
        <v>0</v>
      </c>
      <c r="N458" s="36">
        <v>1</v>
      </c>
      <c r="O458" s="36">
        <v>0</v>
      </c>
      <c r="P458" s="36">
        <v>0</v>
      </c>
    </row>
    <row r="459" spans="1:16" s="43" customFormat="1">
      <c r="A459" t="s">
        <v>299</v>
      </c>
      <c r="B459">
        <v>11292</v>
      </c>
      <c r="C459" s="36" t="s">
        <v>3295</v>
      </c>
      <c r="D459" s="36">
        <v>1</v>
      </c>
      <c r="E459" s="36">
        <v>0</v>
      </c>
      <c r="F459" s="36">
        <v>0</v>
      </c>
      <c r="G459" s="36">
        <v>0</v>
      </c>
      <c r="H459" s="36">
        <v>0</v>
      </c>
      <c r="I459" s="36">
        <v>0</v>
      </c>
      <c r="J459" s="36">
        <v>0</v>
      </c>
      <c r="K459" s="36">
        <v>0</v>
      </c>
      <c r="L459" s="36">
        <v>0</v>
      </c>
      <c r="M459" s="36">
        <v>0</v>
      </c>
      <c r="N459" s="36">
        <v>0</v>
      </c>
      <c r="O459" s="36">
        <v>0</v>
      </c>
      <c r="P459" s="36">
        <v>0</v>
      </c>
    </row>
    <row r="460" spans="1:16" s="43" customFormat="1">
      <c r="A460" t="s">
        <v>299</v>
      </c>
      <c r="B460">
        <v>11292</v>
      </c>
      <c r="C460" s="36" t="s">
        <v>3361</v>
      </c>
      <c r="D460" s="36">
        <v>2</v>
      </c>
      <c r="E460" s="36">
        <v>1</v>
      </c>
      <c r="F460" s="36">
        <v>0</v>
      </c>
      <c r="G460" s="36">
        <v>0</v>
      </c>
      <c r="H460" s="36">
        <v>0</v>
      </c>
      <c r="I460" s="36">
        <v>0</v>
      </c>
      <c r="J460" s="36">
        <v>0</v>
      </c>
      <c r="K460" s="36">
        <v>0</v>
      </c>
      <c r="L460" s="36">
        <v>0</v>
      </c>
      <c r="M460" s="36">
        <v>0</v>
      </c>
      <c r="N460" s="36">
        <v>0</v>
      </c>
      <c r="O460" s="36">
        <v>0</v>
      </c>
      <c r="P460" s="36">
        <v>0</v>
      </c>
    </row>
    <row r="461" spans="1:16" s="43" customFormat="1">
      <c r="A461" s="43" t="s">
        <v>389</v>
      </c>
      <c r="B461" s="36">
        <v>11309</v>
      </c>
      <c r="C461" s="43" t="s">
        <v>3295</v>
      </c>
      <c r="D461" s="36">
        <v>1</v>
      </c>
      <c r="E461" s="36">
        <v>0</v>
      </c>
      <c r="F461" s="36">
        <v>0</v>
      </c>
      <c r="G461" s="36">
        <v>0</v>
      </c>
      <c r="H461" s="36">
        <v>0</v>
      </c>
      <c r="I461" s="36">
        <v>0</v>
      </c>
      <c r="J461" s="36">
        <v>0</v>
      </c>
      <c r="K461" s="36">
        <v>0</v>
      </c>
      <c r="L461" s="36">
        <v>0</v>
      </c>
      <c r="M461" s="36">
        <v>0</v>
      </c>
      <c r="N461" s="36">
        <v>0</v>
      </c>
      <c r="O461" s="36">
        <v>0</v>
      </c>
      <c r="P461" s="36">
        <v>0</v>
      </c>
    </row>
    <row r="462" spans="1:16" s="43" customFormat="1">
      <c r="A462" s="43" t="s">
        <v>389</v>
      </c>
      <c r="B462" s="36">
        <v>11309</v>
      </c>
      <c r="C462" s="43" t="s">
        <v>3296</v>
      </c>
      <c r="D462" s="36">
        <v>2</v>
      </c>
      <c r="E462" s="36">
        <v>0</v>
      </c>
      <c r="F462" s="36">
        <v>1</v>
      </c>
      <c r="G462" s="36">
        <v>0</v>
      </c>
      <c r="H462" s="36">
        <v>0</v>
      </c>
      <c r="I462" s="36">
        <v>0</v>
      </c>
      <c r="J462" s="36">
        <v>0</v>
      </c>
      <c r="K462" s="36">
        <v>1</v>
      </c>
      <c r="L462" s="36">
        <v>1</v>
      </c>
      <c r="M462" s="36">
        <v>1</v>
      </c>
      <c r="N462" s="36">
        <v>0</v>
      </c>
      <c r="O462" s="36">
        <v>0</v>
      </c>
      <c r="P462" s="36">
        <v>0</v>
      </c>
    </row>
    <row r="463" spans="1:16" s="43" customFormat="1">
      <c r="A463" s="43" t="s">
        <v>390</v>
      </c>
      <c r="B463" s="36">
        <v>12000</v>
      </c>
      <c r="C463" s="43" t="s">
        <v>3229</v>
      </c>
      <c r="D463" s="43">
        <v>1</v>
      </c>
      <c r="E463" s="36">
        <v>0</v>
      </c>
      <c r="F463" s="36">
        <v>0</v>
      </c>
      <c r="G463" s="36">
        <v>0</v>
      </c>
      <c r="H463" s="36">
        <v>0</v>
      </c>
      <c r="I463" s="36">
        <v>0</v>
      </c>
      <c r="J463" s="36">
        <v>0</v>
      </c>
      <c r="K463" s="36">
        <v>0</v>
      </c>
      <c r="L463" s="36">
        <v>0</v>
      </c>
      <c r="M463" s="36">
        <v>0</v>
      </c>
      <c r="N463" s="36">
        <v>0</v>
      </c>
      <c r="O463" s="36">
        <v>0</v>
      </c>
      <c r="P463" s="36">
        <v>0</v>
      </c>
    </row>
    <row r="464" spans="1:16" s="43" customFormat="1">
      <c r="A464" s="43" t="s">
        <v>390</v>
      </c>
      <c r="B464" s="36">
        <v>12000</v>
      </c>
      <c r="C464" s="43" t="s">
        <v>3222</v>
      </c>
      <c r="D464" s="43">
        <v>2</v>
      </c>
      <c r="E464" s="36">
        <v>0</v>
      </c>
      <c r="F464" s="36">
        <v>1</v>
      </c>
      <c r="G464" s="36">
        <v>0</v>
      </c>
      <c r="H464" s="36">
        <v>0</v>
      </c>
      <c r="I464" s="36">
        <v>0</v>
      </c>
      <c r="J464" s="36">
        <v>0</v>
      </c>
      <c r="K464" s="36">
        <v>0</v>
      </c>
      <c r="L464" s="36">
        <v>1</v>
      </c>
      <c r="M464" s="36">
        <v>1</v>
      </c>
      <c r="N464" s="36">
        <v>0</v>
      </c>
      <c r="O464" s="36">
        <v>0</v>
      </c>
      <c r="P464" s="36">
        <v>0</v>
      </c>
    </row>
    <row r="465" spans="1:16" s="43" customFormat="1">
      <c r="A465" s="43" t="s">
        <v>1165</v>
      </c>
      <c r="B465" s="36">
        <v>12015</v>
      </c>
      <c r="C465" s="43" t="s">
        <v>3311</v>
      </c>
      <c r="D465" s="36">
        <v>1</v>
      </c>
      <c r="E465" s="36">
        <v>0</v>
      </c>
      <c r="F465" s="36">
        <v>0</v>
      </c>
      <c r="G465" s="36">
        <v>0</v>
      </c>
      <c r="H465" s="36">
        <v>0</v>
      </c>
      <c r="I465" s="36">
        <v>1</v>
      </c>
      <c r="J465" s="36">
        <v>0</v>
      </c>
      <c r="K465" s="36">
        <v>0</v>
      </c>
      <c r="L465" s="36">
        <v>1</v>
      </c>
      <c r="M465" s="36">
        <v>0</v>
      </c>
      <c r="N465" s="36">
        <v>0</v>
      </c>
      <c r="O465" s="36">
        <v>0</v>
      </c>
      <c r="P465" s="36">
        <v>0</v>
      </c>
    </row>
    <row r="466" spans="1:16" s="43" customFormat="1">
      <c r="A466" s="43" t="s">
        <v>1165</v>
      </c>
      <c r="B466" s="36">
        <v>12015</v>
      </c>
      <c r="C466" s="43" t="s">
        <v>3312</v>
      </c>
      <c r="D466" s="36">
        <v>2</v>
      </c>
      <c r="E466" s="36">
        <v>0</v>
      </c>
      <c r="F466" s="36">
        <v>1</v>
      </c>
      <c r="G466" s="36">
        <v>0</v>
      </c>
      <c r="H466" s="36">
        <v>0</v>
      </c>
      <c r="I466" s="36">
        <v>1</v>
      </c>
      <c r="J466" s="36">
        <v>0</v>
      </c>
      <c r="K466" s="36">
        <v>0</v>
      </c>
      <c r="L466" s="36">
        <v>1</v>
      </c>
      <c r="M466" s="36">
        <v>0</v>
      </c>
      <c r="N466" s="36">
        <v>0</v>
      </c>
      <c r="O466" s="36">
        <v>0</v>
      </c>
      <c r="P466" s="36">
        <v>0</v>
      </c>
    </row>
    <row r="467" spans="1:16" s="43" customFormat="1">
      <c r="A467" s="36" t="s">
        <v>394</v>
      </c>
      <c r="B467" s="36">
        <v>12016</v>
      </c>
      <c r="C467" s="36" t="s">
        <v>3313</v>
      </c>
      <c r="D467" s="36">
        <v>1</v>
      </c>
      <c r="E467" s="36">
        <v>0</v>
      </c>
      <c r="F467" s="36">
        <v>0</v>
      </c>
      <c r="G467" s="36">
        <v>0</v>
      </c>
      <c r="H467" s="36">
        <v>0</v>
      </c>
      <c r="I467" s="36">
        <v>0</v>
      </c>
      <c r="J467" s="36">
        <v>0</v>
      </c>
      <c r="K467" s="36">
        <v>0</v>
      </c>
      <c r="L467" s="36">
        <v>1</v>
      </c>
      <c r="M467" s="36">
        <v>1</v>
      </c>
      <c r="N467" s="36">
        <v>0</v>
      </c>
      <c r="O467" s="36">
        <v>0</v>
      </c>
      <c r="P467" s="36">
        <v>0</v>
      </c>
    </row>
    <row r="468" spans="1:16" s="43" customFormat="1">
      <c r="A468" s="36" t="s">
        <v>3314</v>
      </c>
      <c r="B468" s="36">
        <v>12016</v>
      </c>
      <c r="C468" s="36" t="s">
        <v>3315</v>
      </c>
      <c r="D468" s="36">
        <v>2</v>
      </c>
      <c r="E468" s="36">
        <v>0</v>
      </c>
      <c r="F468" s="36">
        <v>1</v>
      </c>
      <c r="G468" s="36">
        <v>1</v>
      </c>
      <c r="H468" s="36">
        <v>1</v>
      </c>
      <c r="I468" s="36">
        <v>0</v>
      </c>
      <c r="J468" s="36">
        <v>0</v>
      </c>
      <c r="K468" s="36">
        <v>0</v>
      </c>
      <c r="L468" s="36">
        <v>1</v>
      </c>
      <c r="M468" s="36">
        <v>1</v>
      </c>
      <c r="N468" s="36">
        <v>0</v>
      </c>
      <c r="O468" s="36">
        <v>0</v>
      </c>
      <c r="P468" s="36">
        <v>0</v>
      </c>
    </row>
    <row r="469" spans="1:16" s="43" customFormat="1">
      <c r="A469" s="36" t="s">
        <v>394</v>
      </c>
      <c r="B469" s="36">
        <v>12016</v>
      </c>
      <c r="C469" s="36" t="s">
        <v>3316</v>
      </c>
      <c r="D469" s="36">
        <v>3</v>
      </c>
      <c r="E469" s="36">
        <v>0</v>
      </c>
      <c r="F469" s="36">
        <v>1</v>
      </c>
      <c r="G469" s="36">
        <v>1</v>
      </c>
      <c r="H469" s="36">
        <v>1</v>
      </c>
      <c r="I469" s="36">
        <v>0</v>
      </c>
      <c r="J469" s="36">
        <v>0</v>
      </c>
      <c r="K469" s="36">
        <v>1</v>
      </c>
      <c r="L469" s="36">
        <v>1</v>
      </c>
      <c r="M469" s="36">
        <v>1</v>
      </c>
      <c r="N469" s="36">
        <v>0</v>
      </c>
      <c r="O469" s="36">
        <v>0</v>
      </c>
      <c r="P469" s="36">
        <v>0</v>
      </c>
    </row>
    <row r="470" spans="1:16" s="43" customFormat="1">
      <c r="A470" s="43" t="s">
        <v>301</v>
      </c>
      <c r="B470" s="36">
        <v>12018</v>
      </c>
      <c r="C470" s="36" t="s">
        <v>3229</v>
      </c>
      <c r="D470" s="36">
        <v>1</v>
      </c>
      <c r="E470" s="36">
        <v>0</v>
      </c>
      <c r="F470" s="36">
        <v>0</v>
      </c>
      <c r="G470" s="36">
        <v>0</v>
      </c>
      <c r="H470" s="36">
        <v>0</v>
      </c>
      <c r="I470" s="36">
        <v>0</v>
      </c>
      <c r="J470" s="36">
        <v>0</v>
      </c>
      <c r="K470" s="36">
        <v>0</v>
      </c>
      <c r="L470" s="36">
        <v>0</v>
      </c>
      <c r="M470" s="36">
        <v>0</v>
      </c>
      <c r="N470" s="36">
        <v>0</v>
      </c>
      <c r="O470" s="36">
        <v>0</v>
      </c>
      <c r="P470" s="36">
        <v>0</v>
      </c>
    </row>
    <row r="471" spans="1:16" s="43" customFormat="1">
      <c r="A471" s="43" t="s">
        <v>301</v>
      </c>
      <c r="B471" s="36">
        <v>12018</v>
      </c>
      <c r="C471" s="36" t="s">
        <v>3222</v>
      </c>
      <c r="D471" s="36">
        <v>2</v>
      </c>
      <c r="E471" s="36">
        <v>0</v>
      </c>
      <c r="F471" s="36">
        <v>0</v>
      </c>
      <c r="G471" s="36">
        <v>0</v>
      </c>
      <c r="H471" s="36">
        <v>0</v>
      </c>
      <c r="I471" s="36">
        <v>1</v>
      </c>
      <c r="J471" s="36">
        <v>1</v>
      </c>
      <c r="K471" s="36">
        <v>1</v>
      </c>
      <c r="L471" s="36">
        <v>0</v>
      </c>
      <c r="M471" s="36">
        <v>0</v>
      </c>
      <c r="N471" s="36">
        <v>0</v>
      </c>
      <c r="O471" s="36">
        <v>0</v>
      </c>
      <c r="P471" s="36">
        <v>0</v>
      </c>
    </row>
    <row r="472" spans="1:16" s="43" customFormat="1">
      <c r="A472" s="52" t="s">
        <v>395</v>
      </c>
      <c r="B472" s="36">
        <v>12021</v>
      </c>
      <c r="C472" s="36" t="s">
        <v>3229</v>
      </c>
      <c r="D472" s="36">
        <v>1</v>
      </c>
      <c r="E472" s="36">
        <v>0</v>
      </c>
      <c r="F472" s="36">
        <v>0</v>
      </c>
      <c r="G472" s="36">
        <v>0</v>
      </c>
      <c r="H472" s="36">
        <v>0</v>
      </c>
      <c r="I472" s="36">
        <v>0</v>
      </c>
      <c r="J472" s="36">
        <v>0</v>
      </c>
      <c r="K472" s="36">
        <v>0</v>
      </c>
      <c r="L472" s="36">
        <v>0</v>
      </c>
      <c r="M472" s="36">
        <v>0</v>
      </c>
      <c r="N472" s="36">
        <v>0</v>
      </c>
      <c r="O472" s="36">
        <v>0</v>
      </c>
      <c r="P472" s="36">
        <v>0</v>
      </c>
    </row>
    <row r="473" spans="1:16" s="43" customFormat="1">
      <c r="A473" s="52" t="s">
        <v>395</v>
      </c>
      <c r="B473" s="36">
        <v>12021</v>
      </c>
      <c r="C473" s="36" t="s">
        <v>3222</v>
      </c>
      <c r="D473" s="36">
        <v>2</v>
      </c>
      <c r="E473" s="36">
        <v>0</v>
      </c>
      <c r="F473" s="36">
        <v>1</v>
      </c>
      <c r="G473" s="36">
        <v>0</v>
      </c>
      <c r="H473" s="36">
        <v>0</v>
      </c>
      <c r="I473" s="36">
        <v>0</v>
      </c>
      <c r="J473" s="36">
        <v>0</v>
      </c>
      <c r="K473" s="36">
        <v>0</v>
      </c>
      <c r="L473" s="36">
        <v>1</v>
      </c>
      <c r="M473" s="36">
        <v>0</v>
      </c>
      <c r="N473" s="36">
        <v>0</v>
      </c>
      <c r="O473" s="36">
        <v>0</v>
      </c>
      <c r="P473" s="36">
        <v>0</v>
      </c>
    </row>
    <row r="474" spans="1:16" s="43" customFormat="1">
      <c r="A474" s="43" t="s">
        <v>396</v>
      </c>
      <c r="B474" s="36">
        <v>12035</v>
      </c>
      <c r="C474" s="43" t="s">
        <v>3226</v>
      </c>
      <c r="D474" s="36">
        <v>1</v>
      </c>
      <c r="E474" s="36">
        <v>0</v>
      </c>
      <c r="F474" s="36">
        <v>0</v>
      </c>
      <c r="G474" s="36">
        <v>0</v>
      </c>
      <c r="H474" s="36">
        <v>0</v>
      </c>
      <c r="I474" s="36">
        <v>0</v>
      </c>
      <c r="J474" s="36">
        <v>0</v>
      </c>
      <c r="K474" s="36">
        <v>0</v>
      </c>
      <c r="L474" s="36">
        <v>0</v>
      </c>
      <c r="M474" s="36">
        <v>0</v>
      </c>
      <c r="N474" s="36">
        <v>0</v>
      </c>
      <c r="O474" s="36">
        <v>0</v>
      </c>
      <c r="P474" s="36">
        <v>0</v>
      </c>
    </row>
    <row r="475" spans="1:16" s="43" customFormat="1">
      <c r="A475" s="43" t="s">
        <v>396</v>
      </c>
      <c r="B475" s="36">
        <v>12035</v>
      </c>
      <c r="C475" s="43" t="s">
        <v>3225</v>
      </c>
      <c r="D475" s="36">
        <v>2</v>
      </c>
      <c r="E475" s="36">
        <v>0</v>
      </c>
      <c r="F475" s="36">
        <v>1</v>
      </c>
      <c r="G475" s="36">
        <v>1</v>
      </c>
      <c r="H475" s="36">
        <v>0</v>
      </c>
      <c r="I475" s="36">
        <v>0</v>
      </c>
      <c r="J475" s="36">
        <v>0</v>
      </c>
      <c r="K475" s="36">
        <v>0</v>
      </c>
      <c r="L475" s="36">
        <v>1</v>
      </c>
      <c r="M475" s="36">
        <v>1</v>
      </c>
      <c r="N475" s="36">
        <v>0</v>
      </c>
      <c r="O475" s="36">
        <v>0</v>
      </c>
      <c r="P475" s="36">
        <v>0</v>
      </c>
    </row>
    <row r="476" spans="1:16" s="43" customFormat="1">
      <c r="A476" s="43" t="s">
        <v>397</v>
      </c>
      <c r="B476" s="36">
        <v>12092</v>
      </c>
      <c r="C476" s="43" t="s">
        <v>3229</v>
      </c>
      <c r="D476" s="36">
        <v>1</v>
      </c>
      <c r="E476" s="36">
        <v>0</v>
      </c>
      <c r="F476" s="36">
        <v>0</v>
      </c>
      <c r="G476" s="36">
        <v>0</v>
      </c>
      <c r="H476" s="36">
        <v>0</v>
      </c>
      <c r="I476" s="36">
        <v>0</v>
      </c>
      <c r="J476" s="36">
        <v>0</v>
      </c>
      <c r="K476" s="36">
        <v>0</v>
      </c>
      <c r="L476" s="36">
        <v>1</v>
      </c>
      <c r="M476" s="36">
        <v>1</v>
      </c>
      <c r="N476" s="36">
        <v>0</v>
      </c>
      <c r="O476" s="36">
        <v>0</v>
      </c>
      <c r="P476" s="36">
        <v>0</v>
      </c>
    </row>
    <row r="477" spans="1:16" s="43" customFormat="1">
      <c r="A477" s="43" t="s">
        <v>397</v>
      </c>
      <c r="B477" s="36">
        <v>12092</v>
      </c>
      <c r="C477" s="43" t="s">
        <v>3222</v>
      </c>
      <c r="D477" s="36">
        <v>2</v>
      </c>
      <c r="E477" s="36">
        <v>0</v>
      </c>
      <c r="F477" s="36">
        <v>1</v>
      </c>
      <c r="G477" s="36">
        <v>0</v>
      </c>
      <c r="H477" s="36">
        <v>0</v>
      </c>
      <c r="I477" s="36">
        <v>0</v>
      </c>
      <c r="J477" s="36">
        <v>0</v>
      </c>
      <c r="K477" s="36">
        <v>0</v>
      </c>
      <c r="L477" s="36">
        <v>1</v>
      </c>
      <c r="M477" s="36">
        <v>1</v>
      </c>
      <c r="N477" s="36">
        <v>0</v>
      </c>
      <c r="O477" s="36">
        <v>0</v>
      </c>
      <c r="P477" s="36">
        <v>0</v>
      </c>
    </row>
    <row r="478" spans="1:16" s="43" customFormat="1">
      <c r="A478" s="43" t="s">
        <v>398</v>
      </c>
      <c r="B478" s="36">
        <v>12106</v>
      </c>
      <c r="C478" s="43" t="s">
        <v>3317</v>
      </c>
      <c r="D478" s="36">
        <v>1</v>
      </c>
      <c r="E478" s="36">
        <v>0</v>
      </c>
      <c r="F478" s="36">
        <v>0</v>
      </c>
      <c r="G478" s="36">
        <v>0</v>
      </c>
      <c r="H478" s="36">
        <v>1</v>
      </c>
      <c r="I478" s="36">
        <v>0</v>
      </c>
      <c r="J478" s="36">
        <v>1</v>
      </c>
      <c r="K478" s="36">
        <v>1</v>
      </c>
      <c r="L478" s="36">
        <v>0</v>
      </c>
      <c r="M478" s="36">
        <v>1</v>
      </c>
      <c r="N478" s="36">
        <v>1</v>
      </c>
      <c r="O478" s="36">
        <v>0</v>
      </c>
      <c r="P478" s="36">
        <v>0</v>
      </c>
    </row>
    <row r="479" spans="1:16" s="43" customFormat="1">
      <c r="A479" s="43" t="s">
        <v>398</v>
      </c>
      <c r="B479" s="36">
        <v>12106</v>
      </c>
      <c r="C479" s="43" t="s">
        <v>3318</v>
      </c>
      <c r="D479" s="36">
        <v>2</v>
      </c>
      <c r="E479" s="36">
        <v>0</v>
      </c>
      <c r="F479" s="36">
        <v>1</v>
      </c>
      <c r="G479" s="36">
        <v>1</v>
      </c>
      <c r="H479" s="36">
        <v>1</v>
      </c>
      <c r="I479" s="36">
        <v>0</v>
      </c>
      <c r="J479" s="36">
        <v>1</v>
      </c>
      <c r="K479" s="36">
        <v>1</v>
      </c>
      <c r="L479" s="36">
        <v>0</v>
      </c>
      <c r="M479" s="36">
        <v>1</v>
      </c>
      <c r="N479" s="36">
        <v>1</v>
      </c>
      <c r="O479" s="36">
        <v>0</v>
      </c>
      <c r="P479" s="36">
        <v>0</v>
      </c>
    </row>
    <row r="480" spans="1:16" s="43" customFormat="1">
      <c r="A480" s="43" t="s">
        <v>622</v>
      </c>
      <c r="B480" s="36">
        <v>12156</v>
      </c>
      <c r="C480" s="43" t="s">
        <v>3229</v>
      </c>
      <c r="D480" s="36">
        <v>1</v>
      </c>
      <c r="E480" s="36">
        <v>0</v>
      </c>
      <c r="F480" s="36">
        <v>0</v>
      </c>
      <c r="G480" s="36">
        <v>0</v>
      </c>
      <c r="H480" s="36">
        <v>0</v>
      </c>
      <c r="I480" s="36">
        <v>0</v>
      </c>
      <c r="J480" s="36">
        <v>0</v>
      </c>
      <c r="K480" s="36">
        <v>0</v>
      </c>
      <c r="L480" s="36">
        <v>0</v>
      </c>
      <c r="M480" s="36">
        <v>0</v>
      </c>
      <c r="N480" s="36">
        <v>0</v>
      </c>
      <c r="O480" s="36">
        <v>0</v>
      </c>
      <c r="P480" s="36">
        <v>0</v>
      </c>
    </row>
    <row r="481" spans="1:16" s="43" customFormat="1">
      <c r="A481" s="43" t="s">
        <v>3319</v>
      </c>
      <c r="B481" s="36">
        <v>12156</v>
      </c>
      <c r="C481" s="43" t="s">
        <v>3320</v>
      </c>
      <c r="D481" s="43">
        <v>2</v>
      </c>
      <c r="E481" s="36">
        <v>0</v>
      </c>
      <c r="F481" s="36">
        <v>0</v>
      </c>
      <c r="G481" s="36">
        <v>0</v>
      </c>
      <c r="H481" s="36">
        <v>0</v>
      </c>
      <c r="I481" s="36">
        <v>1</v>
      </c>
      <c r="J481" s="36">
        <v>0</v>
      </c>
      <c r="K481" s="36">
        <v>0</v>
      </c>
      <c r="L481" s="36">
        <v>0</v>
      </c>
      <c r="M481" s="36">
        <v>0</v>
      </c>
      <c r="N481" s="36">
        <v>0</v>
      </c>
      <c r="O481" s="36">
        <v>0</v>
      </c>
      <c r="P481" s="36">
        <v>0</v>
      </c>
    </row>
    <row r="482" spans="1:16" s="43" customFormat="1">
      <c r="A482" s="36" t="s">
        <v>399</v>
      </c>
      <c r="B482" s="36">
        <v>12164</v>
      </c>
      <c r="C482" s="43" t="s">
        <v>3321</v>
      </c>
      <c r="D482" s="36">
        <v>1</v>
      </c>
      <c r="E482" s="36">
        <v>0</v>
      </c>
      <c r="F482" s="36">
        <v>1</v>
      </c>
      <c r="G482" s="36">
        <v>0</v>
      </c>
      <c r="H482" s="36">
        <v>0</v>
      </c>
      <c r="I482" s="36">
        <v>0</v>
      </c>
      <c r="J482" s="36">
        <v>0</v>
      </c>
      <c r="K482" s="36">
        <v>0</v>
      </c>
      <c r="L482" s="36">
        <v>1</v>
      </c>
      <c r="M482" s="36">
        <v>0</v>
      </c>
      <c r="N482" s="36">
        <v>0</v>
      </c>
      <c r="O482" s="36">
        <v>0</v>
      </c>
      <c r="P482" s="36">
        <v>0</v>
      </c>
    </row>
    <row r="483" spans="1:16" s="43" customFormat="1">
      <c r="A483" s="36" t="s">
        <v>399</v>
      </c>
      <c r="B483" s="36">
        <v>12164</v>
      </c>
      <c r="C483" s="43" t="s">
        <v>3322</v>
      </c>
      <c r="D483" s="36">
        <v>2</v>
      </c>
      <c r="E483" s="36">
        <v>0</v>
      </c>
      <c r="F483" s="36">
        <v>1</v>
      </c>
      <c r="G483" s="36">
        <v>0</v>
      </c>
      <c r="H483" s="36">
        <v>0</v>
      </c>
      <c r="I483" s="36">
        <v>0</v>
      </c>
      <c r="J483" s="36">
        <v>0</v>
      </c>
      <c r="K483" s="36">
        <v>0</v>
      </c>
      <c r="L483" s="36">
        <v>0</v>
      </c>
      <c r="M483" s="36">
        <v>1</v>
      </c>
      <c r="N483" s="36">
        <v>0</v>
      </c>
      <c r="O483" s="36">
        <v>0</v>
      </c>
      <c r="P483" s="36">
        <v>0</v>
      </c>
    </row>
    <row r="484" spans="1:16" s="43" customFormat="1">
      <c r="A484" s="148" t="s">
        <v>631</v>
      </c>
      <c r="B484" s="148">
        <v>12174</v>
      </c>
      <c r="C484" s="149" t="s">
        <v>3323</v>
      </c>
      <c r="D484" s="148">
        <v>1</v>
      </c>
      <c r="E484" s="148">
        <v>0</v>
      </c>
      <c r="F484" s="148">
        <v>0</v>
      </c>
      <c r="G484" s="148">
        <v>0</v>
      </c>
      <c r="H484" s="148">
        <v>0</v>
      </c>
      <c r="I484" s="148">
        <v>1</v>
      </c>
      <c r="J484" s="148">
        <v>0</v>
      </c>
      <c r="K484" s="148">
        <v>0</v>
      </c>
      <c r="L484" s="148">
        <v>0</v>
      </c>
      <c r="M484" s="148">
        <v>0</v>
      </c>
      <c r="N484" s="148">
        <v>0</v>
      </c>
      <c r="O484" s="148">
        <v>0</v>
      </c>
      <c r="P484" s="148">
        <v>0</v>
      </c>
    </row>
    <row r="485" spans="1:16" s="43" customFormat="1">
      <c r="A485" s="148" t="s">
        <v>631</v>
      </c>
      <c r="B485" s="148">
        <v>12174</v>
      </c>
      <c r="C485" s="149" t="s">
        <v>3324</v>
      </c>
      <c r="D485" s="148">
        <v>2</v>
      </c>
      <c r="E485" s="148">
        <v>0</v>
      </c>
      <c r="F485" s="148">
        <v>0</v>
      </c>
      <c r="G485" s="148">
        <v>0</v>
      </c>
      <c r="H485" s="148">
        <v>0</v>
      </c>
      <c r="I485" s="148">
        <v>1</v>
      </c>
      <c r="J485" s="148">
        <v>0</v>
      </c>
      <c r="K485" s="148">
        <v>0</v>
      </c>
      <c r="L485" s="148">
        <v>0</v>
      </c>
      <c r="M485" s="148">
        <v>0</v>
      </c>
      <c r="N485" s="148">
        <v>0</v>
      </c>
      <c r="O485" s="148">
        <v>1</v>
      </c>
      <c r="P485" s="148">
        <v>0</v>
      </c>
    </row>
    <row r="486" spans="1:16" s="43" customFormat="1">
      <c r="A486" s="148" t="s">
        <v>631</v>
      </c>
      <c r="B486" s="148">
        <v>12174</v>
      </c>
      <c r="C486" s="149" t="s">
        <v>3325</v>
      </c>
      <c r="D486" s="148">
        <v>3</v>
      </c>
      <c r="E486" s="148">
        <v>0</v>
      </c>
      <c r="F486" s="148">
        <v>0</v>
      </c>
      <c r="G486" s="148">
        <v>0</v>
      </c>
      <c r="H486" s="148">
        <v>0</v>
      </c>
      <c r="I486" s="148">
        <v>1</v>
      </c>
      <c r="J486" s="148">
        <v>0</v>
      </c>
      <c r="K486" s="148">
        <v>0</v>
      </c>
      <c r="L486" s="148">
        <v>0</v>
      </c>
      <c r="M486" s="148">
        <v>0</v>
      </c>
      <c r="N486" s="148">
        <v>0</v>
      </c>
      <c r="O486" s="148">
        <v>1</v>
      </c>
      <c r="P486" s="148">
        <v>0</v>
      </c>
    </row>
    <row r="487" spans="1:16" s="43" customFormat="1">
      <c r="A487" s="36" t="s">
        <v>302</v>
      </c>
      <c r="B487" s="36">
        <v>12181</v>
      </c>
      <c r="C487" s="43" t="s">
        <v>3326</v>
      </c>
      <c r="D487" s="36">
        <v>1</v>
      </c>
      <c r="E487" s="36">
        <v>0</v>
      </c>
      <c r="F487" s="36">
        <v>1</v>
      </c>
      <c r="G487" s="36">
        <v>0</v>
      </c>
      <c r="H487" s="36">
        <v>1</v>
      </c>
      <c r="I487" s="36">
        <v>0</v>
      </c>
      <c r="J487" s="36">
        <v>0</v>
      </c>
      <c r="K487" s="36">
        <v>0</v>
      </c>
      <c r="L487" s="36">
        <v>1</v>
      </c>
      <c r="M487" s="36">
        <v>1</v>
      </c>
      <c r="N487" s="36">
        <v>0</v>
      </c>
      <c r="O487" s="36">
        <v>0</v>
      </c>
      <c r="P487" s="36">
        <v>0</v>
      </c>
    </row>
    <row r="488" spans="1:16" s="43" customFormat="1">
      <c r="A488" s="36" t="s">
        <v>302</v>
      </c>
      <c r="B488" s="36">
        <v>12181</v>
      </c>
      <c r="C488" s="43" t="s">
        <v>3327</v>
      </c>
      <c r="D488" s="36">
        <v>2</v>
      </c>
      <c r="E488" s="36">
        <v>0</v>
      </c>
      <c r="F488" s="36">
        <v>1</v>
      </c>
      <c r="G488" s="36">
        <v>0</v>
      </c>
      <c r="H488" s="36">
        <v>1</v>
      </c>
      <c r="I488" s="36">
        <v>1</v>
      </c>
      <c r="J488" s="36">
        <v>0</v>
      </c>
      <c r="K488" s="36">
        <v>0</v>
      </c>
      <c r="L488" s="36">
        <v>1</v>
      </c>
      <c r="M488" s="36">
        <v>1</v>
      </c>
      <c r="N488" s="36">
        <v>0</v>
      </c>
      <c r="O488" s="36">
        <v>0</v>
      </c>
      <c r="P488" s="36">
        <v>0</v>
      </c>
    </row>
    <row r="489" spans="1:16" s="43" customFormat="1">
      <c r="A489" s="43" t="s">
        <v>401</v>
      </c>
      <c r="B489" s="36">
        <v>12208</v>
      </c>
      <c r="C489" s="43" t="s">
        <v>3226</v>
      </c>
      <c r="D489" s="36">
        <v>1</v>
      </c>
      <c r="E489" s="36">
        <v>0</v>
      </c>
      <c r="F489" s="36">
        <v>0</v>
      </c>
      <c r="G489" s="36">
        <v>0</v>
      </c>
      <c r="H489" s="36">
        <v>0</v>
      </c>
      <c r="I489" s="36">
        <v>0</v>
      </c>
      <c r="J489" s="36">
        <v>0</v>
      </c>
      <c r="K489" s="36">
        <v>0</v>
      </c>
      <c r="L489" s="36">
        <v>0</v>
      </c>
      <c r="M489" s="36">
        <v>0</v>
      </c>
      <c r="N489" s="36">
        <v>0</v>
      </c>
      <c r="O489" s="36">
        <v>0</v>
      </c>
      <c r="P489" s="36">
        <v>0</v>
      </c>
    </row>
    <row r="490" spans="1:16" s="43" customFormat="1">
      <c r="A490" s="43" t="s">
        <v>401</v>
      </c>
      <c r="B490" s="36">
        <v>12208</v>
      </c>
      <c r="C490" s="43" t="s">
        <v>3225</v>
      </c>
      <c r="D490" s="36">
        <v>2</v>
      </c>
      <c r="E490" s="36">
        <v>0</v>
      </c>
      <c r="F490" s="36">
        <v>1</v>
      </c>
      <c r="G490" s="36">
        <v>1</v>
      </c>
      <c r="H490" s="36">
        <v>0</v>
      </c>
      <c r="I490" s="36">
        <v>0</v>
      </c>
      <c r="J490" s="36">
        <v>0</v>
      </c>
      <c r="K490" s="36">
        <v>0</v>
      </c>
      <c r="L490" s="36">
        <v>1</v>
      </c>
      <c r="M490" s="36">
        <v>0</v>
      </c>
      <c r="N490" s="36">
        <v>1</v>
      </c>
      <c r="O490" s="36">
        <v>0</v>
      </c>
      <c r="P490" s="36">
        <v>0</v>
      </c>
    </row>
    <row r="491" spans="1:16" s="43" customFormat="1">
      <c r="A491" s="52" t="s">
        <v>402</v>
      </c>
      <c r="B491" s="52">
        <v>12215</v>
      </c>
      <c r="C491" s="43" t="s">
        <v>3221</v>
      </c>
      <c r="D491" s="36">
        <v>1</v>
      </c>
      <c r="E491" s="36">
        <v>0</v>
      </c>
      <c r="F491" s="36">
        <v>0</v>
      </c>
      <c r="G491" s="36">
        <v>0</v>
      </c>
      <c r="H491" s="36">
        <v>0</v>
      </c>
      <c r="I491" s="36">
        <v>0</v>
      </c>
      <c r="J491" s="36">
        <v>0</v>
      </c>
      <c r="K491" s="36">
        <v>0</v>
      </c>
      <c r="L491" s="36">
        <v>0</v>
      </c>
      <c r="M491" s="36">
        <v>1</v>
      </c>
      <c r="N491" s="36">
        <v>0</v>
      </c>
      <c r="O491" s="36">
        <v>0</v>
      </c>
      <c r="P491" s="36">
        <v>0</v>
      </c>
    </row>
    <row r="492" spans="1:16" s="43" customFormat="1">
      <c r="A492" s="52" t="s">
        <v>402</v>
      </c>
      <c r="B492" s="52">
        <v>12215</v>
      </c>
      <c r="C492" s="43" t="s">
        <v>3222</v>
      </c>
      <c r="D492" s="36">
        <v>2</v>
      </c>
      <c r="E492" s="36">
        <v>0</v>
      </c>
      <c r="F492" s="36">
        <v>1</v>
      </c>
      <c r="G492" s="36">
        <v>0</v>
      </c>
      <c r="H492" s="36">
        <v>0</v>
      </c>
      <c r="I492" s="36">
        <v>0</v>
      </c>
      <c r="J492" s="36">
        <v>0</v>
      </c>
      <c r="K492" s="36">
        <v>0</v>
      </c>
      <c r="L492" s="36">
        <v>1</v>
      </c>
      <c r="M492" s="36">
        <v>1</v>
      </c>
      <c r="N492" s="36">
        <v>0</v>
      </c>
      <c r="O492" s="36">
        <v>0</v>
      </c>
      <c r="P492" s="36">
        <v>0</v>
      </c>
    </row>
    <row r="493" spans="1:16" s="43" customFormat="1">
      <c r="A493" s="43" t="s">
        <v>304</v>
      </c>
      <c r="B493" s="36">
        <v>12220</v>
      </c>
      <c r="C493" s="43" t="s">
        <v>3295</v>
      </c>
      <c r="D493" s="36">
        <v>1</v>
      </c>
      <c r="E493" s="36">
        <v>0</v>
      </c>
      <c r="F493" s="36">
        <v>0</v>
      </c>
      <c r="G493" s="36">
        <v>0</v>
      </c>
      <c r="H493" s="36">
        <v>0</v>
      </c>
      <c r="I493" s="36">
        <v>0</v>
      </c>
      <c r="J493" s="36">
        <v>0</v>
      </c>
      <c r="K493" s="36">
        <v>0</v>
      </c>
      <c r="L493" s="36">
        <v>0</v>
      </c>
      <c r="M493" s="36">
        <v>0</v>
      </c>
      <c r="N493" s="36">
        <v>0</v>
      </c>
      <c r="O493" s="36">
        <v>0</v>
      </c>
      <c r="P493" s="36">
        <v>0</v>
      </c>
    </row>
    <row r="494" spans="1:16" s="43" customFormat="1">
      <c r="A494" s="43" t="s">
        <v>304</v>
      </c>
      <c r="B494" s="36">
        <v>12220</v>
      </c>
      <c r="C494" s="43" t="s">
        <v>3296</v>
      </c>
      <c r="D494" s="36">
        <v>2</v>
      </c>
      <c r="E494" s="36">
        <v>0</v>
      </c>
      <c r="F494" s="36">
        <v>1</v>
      </c>
      <c r="G494" s="36">
        <v>1</v>
      </c>
      <c r="H494" s="36">
        <v>0</v>
      </c>
      <c r="I494" s="36">
        <v>0</v>
      </c>
      <c r="J494" s="36">
        <v>0</v>
      </c>
      <c r="K494" s="36">
        <v>0</v>
      </c>
      <c r="L494" s="36">
        <v>1</v>
      </c>
      <c r="M494" s="36">
        <v>1</v>
      </c>
      <c r="N494" s="36">
        <v>0</v>
      </c>
      <c r="O494" s="36">
        <v>0</v>
      </c>
      <c r="P494" s="36">
        <v>0</v>
      </c>
    </row>
    <row r="495" spans="1:16" s="43" customFormat="1">
      <c r="A495" s="36" t="s">
        <v>405</v>
      </c>
      <c r="B495" s="36">
        <v>12239</v>
      </c>
      <c r="C495" s="43" t="s">
        <v>3229</v>
      </c>
      <c r="D495" s="36">
        <v>1</v>
      </c>
      <c r="E495" s="36">
        <v>0</v>
      </c>
      <c r="F495" s="36">
        <v>0</v>
      </c>
      <c r="G495" s="36">
        <v>0</v>
      </c>
      <c r="H495" s="36">
        <v>0</v>
      </c>
      <c r="I495" s="36">
        <v>0</v>
      </c>
      <c r="J495" s="36">
        <v>0</v>
      </c>
      <c r="K495" s="36">
        <v>0</v>
      </c>
      <c r="L495" s="36">
        <v>0</v>
      </c>
      <c r="M495" s="36">
        <v>0</v>
      </c>
      <c r="N495" s="36">
        <v>0</v>
      </c>
      <c r="O495" s="36">
        <v>0</v>
      </c>
      <c r="P495" s="36">
        <v>0</v>
      </c>
    </row>
    <row r="496" spans="1:16" s="43" customFormat="1">
      <c r="A496" s="36" t="s">
        <v>405</v>
      </c>
      <c r="B496" s="36">
        <v>12239</v>
      </c>
      <c r="C496" s="43" t="s">
        <v>3222</v>
      </c>
      <c r="D496" s="36">
        <v>2</v>
      </c>
      <c r="E496" s="36">
        <v>0</v>
      </c>
      <c r="F496" s="36">
        <v>1</v>
      </c>
      <c r="G496" s="36">
        <v>0</v>
      </c>
      <c r="H496" s="36">
        <v>0</v>
      </c>
      <c r="I496" s="36">
        <v>0</v>
      </c>
      <c r="J496" s="36">
        <v>0</v>
      </c>
      <c r="K496" s="36">
        <v>1</v>
      </c>
      <c r="L496" s="36">
        <v>1</v>
      </c>
      <c r="M496" s="36">
        <v>1</v>
      </c>
      <c r="N496" s="36">
        <v>0</v>
      </c>
      <c r="O496" s="36">
        <v>0</v>
      </c>
      <c r="P496" s="36">
        <v>0</v>
      </c>
    </row>
    <row r="497" spans="1:16" s="43" customFormat="1">
      <c r="A497" s="36" t="s">
        <v>406</v>
      </c>
      <c r="B497" s="36">
        <v>12250</v>
      </c>
      <c r="C497" s="43" t="s">
        <v>3221</v>
      </c>
      <c r="D497" s="36">
        <v>1</v>
      </c>
      <c r="E497" s="36">
        <v>0</v>
      </c>
      <c r="F497" s="36">
        <v>0</v>
      </c>
      <c r="G497" s="36">
        <v>0</v>
      </c>
      <c r="H497" s="36">
        <v>0</v>
      </c>
      <c r="I497" s="36">
        <v>0</v>
      </c>
      <c r="J497" s="36">
        <v>0</v>
      </c>
      <c r="K497" s="36">
        <v>0</v>
      </c>
      <c r="L497" s="36">
        <v>0</v>
      </c>
      <c r="M497" s="36">
        <v>0</v>
      </c>
      <c r="N497" s="36">
        <v>0</v>
      </c>
      <c r="O497" s="36">
        <v>0</v>
      </c>
      <c r="P497" s="36">
        <v>0</v>
      </c>
    </row>
    <row r="498" spans="1:16" s="43" customFormat="1">
      <c r="A498" s="36" t="s">
        <v>406</v>
      </c>
      <c r="B498" s="36">
        <v>12250</v>
      </c>
      <c r="C498" s="43" t="s">
        <v>3222</v>
      </c>
      <c r="D498" s="36">
        <v>2</v>
      </c>
      <c r="E498" s="36">
        <v>0</v>
      </c>
      <c r="F498" s="36">
        <v>1</v>
      </c>
      <c r="G498" s="36">
        <v>1</v>
      </c>
      <c r="H498" s="36">
        <v>0</v>
      </c>
      <c r="I498" s="36">
        <v>0</v>
      </c>
      <c r="J498" s="36">
        <v>1</v>
      </c>
      <c r="K498" s="36">
        <v>0</v>
      </c>
      <c r="L498" s="36">
        <v>0</v>
      </c>
      <c r="M498" s="36">
        <v>1</v>
      </c>
      <c r="N498" s="36">
        <v>0</v>
      </c>
      <c r="O498" s="36">
        <v>0</v>
      </c>
      <c r="P498" s="36">
        <v>0</v>
      </c>
    </row>
    <row r="499" spans="1:16" s="43" customFormat="1">
      <c r="A499" s="36" t="s">
        <v>305</v>
      </c>
      <c r="B499" s="36">
        <v>12290</v>
      </c>
      <c r="C499" s="43" t="s">
        <v>3229</v>
      </c>
      <c r="D499" s="36">
        <v>1</v>
      </c>
      <c r="E499" s="36">
        <v>0</v>
      </c>
      <c r="F499" s="36">
        <v>0</v>
      </c>
      <c r="G499" s="36">
        <v>0</v>
      </c>
      <c r="H499" s="36">
        <v>0</v>
      </c>
      <c r="I499" s="36">
        <v>1</v>
      </c>
      <c r="J499" s="36">
        <v>0</v>
      </c>
      <c r="K499" s="36">
        <v>0</v>
      </c>
      <c r="L499" s="36">
        <v>0</v>
      </c>
      <c r="M499" s="36">
        <v>0</v>
      </c>
      <c r="N499" s="36">
        <v>0</v>
      </c>
      <c r="O499" s="36">
        <v>0</v>
      </c>
      <c r="P499" s="36">
        <v>0</v>
      </c>
    </row>
    <row r="500" spans="1:16" s="43" customFormat="1">
      <c r="A500" s="36" t="s">
        <v>305</v>
      </c>
      <c r="B500" s="36">
        <v>12290</v>
      </c>
      <c r="C500" s="43" t="s">
        <v>3222</v>
      </c>
      <c r="D500" s="36">
        <v>2</v>
      </c>
      <c r="E500" s="36">
        <v>0</v>
      </c>
      <c r="F500" s="36">
        <v>0</v>
      </c>
      <c r="G500" s="36">
        <v>0</v>
      </c>
      <c r="H500" s="36">
        <v>0</v>
      </c>
      <c r="I500" s="36">
        <v>1</v>
      </c>
      <c r="J500" s="36">
        <v>1</v>
      </c>
      <c r="K500" s="36">
        <v>0</v>
      </c>
      <c r="L500" s="36">
        <v>1</v>
      </c>
      <c r="M500" s="36">
        <v>0</v>
      </c>
      <c r="N500" s="36">
        <v>0</v>
      </c>
      <c r="O500" s="36">
        <v>0</v>
      </c>
      <c r="P500" s="36">
        <v>0</v>
      </c>
    </row>
    <row r="501" spans="1:16" s="43" customFormat="1" ht="13" customHeight="1">
      <c r="A501" s="43" t="s">
        <v>407</v>
      </c>
      <c r="B501" s="36">
        <v>12294</v>
      </c>
      <c r="C501" s="43" t="s">
        <v>3328</v>
      </c>
      <c r="D501" s="36">
        <v>1</v>
      </c>
      <c r="E501" s="36">
        <v>0</v>
      </c>
      <c r="F501" s="36">
        <v>1</v>
      </c>
      <c r="G501" s="36">
        <v>0</v>
      </c>
      <c r="H501" s="36">
        <v>0</v>
      </c>
      <c r="I501" s="36">
        <v>0</v>
      </c>
      <c r="J501" s="36">
        <v>0</v>
      </c>
      <c r="K501" s="36">
        <v>0</v>
      </c>
      <c r="L501" s="36">
        <v>1</v>
      </c>
      <c r="M501" s="36">
        <v>1</v>
      </c>
      <c r="N501" s="36">
        <v>0</v>
      </c>
      <c r="O501" s="36">
        <v>0</v>
      </c>
      <c r="P501" s="36">
        <v>0</v>
      </c>
    </row>
    <row r="502" spans="1:16" s="43" customFormat="1">
      <c r="A502" s="43" t="s">
        <v>407</v>
      </c>
      <c r="B502" s="36">
        <v>12294</v>
      </c>
      <c r="C502" s="43" t="s">
        <v>3329</v>
      </c>
      <c r="D502" s="36">
        <v>2</v>
      </c>
      <c r="E502" s="36">
        <v>0</v>
      </c>
      <c r="F502" s="36">
        <v>1</v>
      </c>
      <c r="G502" s="36">
        <v>0</v>
      </c>
      <c r="H502" s="36">
        <v>0</v>
      </c>
      <c r="I502" s="36">
        <v>0</v>
      </c>
      <c r="J502" s="36">
        <v>0</v>
      </c>
      <c r="K502" s="36">
        <v>0</v>
      </c>
      <c r="L502" s="36">
        <v>1</v>
      </c>
      <c r="M502" s="36">
        <v>1</v>
      </c>
      <c r="N502" s="36">
        <v>0</v>
      </c>
      <c r="O502" s="36">
        <v>0</v>
      </c>
      <c r="P502" s="36">
        <v>0</v>
      </c>
    </row>
    <row r="503" spans="1:16" s="43" customFormat="1">
      <c r="A503" s="43" t="s">
        <v>407</v>
      </c>
      <c r="B503" s="36">
        <v>12294</v>
      </c>
      <c r="C503" s="43" t="s">
        <v>3330</v>
      </c>
      <c r="D503" s="36">
        <v>3</v>
      </c>
      <c r="E503" s="36">
        <v>0</v>
      </c>
      <c r="F503" s="36">
        <v>1</v>
      </c>
      <c r="G503" s="36">
        <v>0</v>
      </c>
      <c r="H503" s="36">
        <v>0</v>
      </c>
      <c r="I503" s="36">
        <v>0</v>
      </c>
      <c r="J503" s="36">
        <v>0</v>
      </c>
      <c r="K503" s="36">
        <v>0</v>
      </c>
      <c r="L503" s="36">
        <v>1</v>
      </c>
      <c r="M503" s="36">
        <v>1</v>
      </c>
      <c r="N503" s="36">
        <v>0</v>
      </c>
      <c r="O503" s="36">
        <v>0</v>
      </c>
      <c r="P503" s="36">
        <v>0</v>
      </c>
    </row>
    <row r="504" spans="1:16" s="43" customFormat="1" ht="15" customHeight="1">
      <c r="A504" s="43" t="s">
        <v>407</v>
      </c>
      <c r="B504" s="36">
        <v>12294</v>
      </c>
      <c r="C504" s="43" t="s">
        <v>3331</v>
      </c>
      <c r="D504" s="36">
        <v>4</v>
      </c>
      <c r="E504" s="36">
        <v>0</v>
      </c>
      <c r="F504" s="36">
        <v>1</v>
      </c>
      <c r="G504" s="36">
        <v>0</v>
      </c>
      <c r="H504" s="36">
        <v>0</v>
      </c>
      <c r="I504" s="36">
        <v>0</v>
      </c>
      <c r="J504" s="36">
        <v>0</v>
      </c>
      <c r="K504" s="36">
        <v>0</v>
      </c>
      <c r="L504" s="36">
        <v>1</v>
      </c>
      <c r="M504" s="36">
        <v>1</v>
      </c>
      <c r="N504" s="36">
        <v>0</v>
      </c>
      <c r="O504" s="36">
        <v>0</v>
      </c>
      <c r="P504" s="36">
        <v>0</v>
      </c>
    </row>
    <row r="505" spans="1:16" s="43" customFormat="1" ht="13" customHeight="1">
      <c r="A505" s="36" t="s">
        <v>408</v>
      </c>
      <c r="B505" s="36">
        <v>12297</v>
      </c>
      <c r="C505" s="36" t="s">
        <v>3332</v>
      </c>
      <c r="D505" s="36">
        <v>1</v>
      </c>
      <c r="E505" s="36">
        <v>0</v>
      </c>
      <c r="F505" s="36">
        <v>0</v>
      </c>
      <c r="G505" s="36">
        <v>0</v>
      </c>
      <c r="H505" s="36">
        <v>0</v>
      </c>
      <c r="I505" s="36">
        <v>0</v>
      </c>
      <c r="J505" s="36">
        <v>0</v>
      </c>
      <c r="K505" s="36">
        <v>1</v>
      </c>
      <c r="L505" s="36">
        <v>0</v>
      </c>
      <c r="M505" s="36">
        <v>1</v>
      </c>
      <c r="N505" s="36">
        <v>0</v>
      </c>
      <c r="O505" s="36">
        <v>0</v>
      </c>
      <c r="P505" s="36">
        <v>0</v>
      </c>
    </row>
    <row r="506" spans="1:16" s="43" customFormat="1" ht="13" customHeight="1">
      <c r="A506" s="36" t="s">
        <v>408</v>
      </c>
      <c r="B506" s="36">
        <v>12297</v>
      </c>
      <c r="C506" s="36" t="s">
        <v>3333</v>
      </c>
      <c r="D506" s="36">
        <v>2</v>
      </c>
      <c r="E506" s="36">
        <v>0</v>
      </c>
      <c r="F506" s="36">
        <v>1</v>
      </c>
      <c r="G506" s="36">
        <v>0</v>
      </c>
      <c r="H506" s="36">
        <v>0</v>
      </c>
      <c r="I506" s="36">
        <v>0</v>
      </c>
      <c r="J506" s="36">
        <v>0</v>
      </c>
      <c r="K506" s="36">
        <v>1</v>
      </c>
      <c r="L506" s="36">
        <v>1</v>
      </c>
      <c r="M506" s="36">
        <v>1</v>
      </c>
      <c r="N506" s="36">
        <v>0</v>
      </c>
      <c r="O506" s="36">
        <v>0</v>
      </c>
      <c r="P506" s="36">
        <v>0</v>
      </c>
    </row>
    <row r="507" spans="1:16" s="43" customFormat="1">
      <c r="A507" s="36" t="s">
        <v>409</v>
      </c>
      <c r="B507" s="36">
        <v>12299</v>
      </c>
      <c r="C507" s="36" t="s">
        <v>3294</v>
      </c>
      <c r="D507" s="36">
        <v>1</v>
      </c>
      <c r="E507" s="36">
        <v>0</v>
      </c>
      <c r="F507" s="36">
        <v>0</v>
      </c>
      <c r="G507" s="36">
        <v>0</v>
      </c>
      <c r="H507" s="36">
        <v>0</v>
      </c>
      <c r="I507" s="36">
        <v>0</v>
      </c>
      <c r="J507" s="36">
        <v>0</v>
      </c>
      <c r="K507" s="36">
        <v>0</v>
      </c>
      <c r="L507" s="36">
        <v>1</v>
      </c>
      <c r="M507" s="36">
        <v>0</v>
      </c>
      <c r="N507" s="36">
        <v>0</v>
      </c>
      <c r="O507" s="36">
        <v>0</v>
      </c>
      <c r="P507" s="36">
        <v>0</v>
      </c>
    </row>
    <row r="508" spans="1:16" s="43" customFormat="1" ht="15" customHeight="1">
      <c r="A508" s="36" t="s">
        <v>409</v>
      </c>
      <c r="B508" s="36">
        <v>12299</v>
      </c>
      <c r="C508" s="36" t="s">
        <v>3277</v>
      </c>
      <c r="D508" s="36">
        <v>2</v>
      </c>
      <c r="E508" s="36">
        <v>0</v>
      </c>
      <c r="F508" s="36">
        <v>1</v>
      </c>
      <c r="G508" s="36">
        <v>1</v>
      </c>
      <c r="H508" s="36">
        <v>0</v>
      </c>
      <c r="I508" s="36">
        <v>0</v>
      </c>
      <c r="J508" s="36">
        <v>0</v>
      </c>
      <c r="K508" s="36">
        <v>0</v>
      </c>
      <c r="L508" s="36">
        <v>1</v>
      </c>
      <c r="M508" s="36">
        <v>1</v>
      </c>
      <c r="N508" s="36">
        <v>0</v>
      </c>
      <c r="O508" s="36">
        <v>0</v>
      </c>
      <c r="P508" s="36">
        <v>1</v>
      </c>
    </row>
    <row r="509" spans="1:16" s="43" customFormat="1" ht="15" customHeight="1">
      <c r="A509" s="36" t="s">
        <v>308</v>
      </c>
      <c r="B509" s="36">
        <v>12300</v>
      </c>
      <c r="C509" s="36" t="s">
        <v>3226</v>
      </c>
      <c r="D509" s="36">
        <v>1</v>
      </c>
      <c r="E509" s="36">
        <v>0</v>
      </c>
      <c r="F509" s="36">
        <v>0</v>
      </c>
      <c r="G509" s="36">
        <v>0</v>
      </c>
      <c r="H509" s="36">
        <v>0</v>
      </c>
      <c r="I509" s="36">
        <v>0</v>
      </c>
      <c r="J509" s="36">
        <v>0</v>
      </c>
      <c r="K509" s="36">
        <v>0</v>
      </c>
      <c r="L509" s="36">
        <v>0</v>
      </c>
      <c r="M509" s="36">
        <v>0</v>
      </c>
      <c r="N509" s="36">
        <v>0</v>
      </c>
      <c r="O509" s="36">
        <v>0</v>
      </c>
      <c r="P509" s="36">
        <v>0</v>
      </c>
    </row>
    <row r="510" spans="1:16" s="43" customFormat="1">
      <c r="A510" s="36" t="s">
        <v>308</v>
      </c>
      <c r="B510" s="36">
        <v>12300</v>
      </c>
      <c r="C510" s="36" t="s">
        <v>3225</v>
      </c>
      <c r="D510" s="36">
        <v>2</v>
      </c>
      <c r="E510" s="36">
        <v>0</v>
      </c>
      <c r="F510" s="36">
        <v>1</v>
      </c>
      <c r="G510" s="36">
        <v>1</v>
      </c>
      <c r="H510" s="36">
        <v>0</v>
      </c>
      <c r="I510" s="36">
        <v>1</v>
      </c>
      <c r="J510" s="36">
        <v>0</v>
      </c>
      <c r="K510" s="36">
        <v>0</v>
      </c>
      <c r="L510" s="36">
        <v>1</v>
      </c>
      <c r="M510" s="36">
        <v>1</v>
      </c>
      <c r="N510" s="36">
        <v>0</v>
      </c>
      <c r="O510" s="36">
        <v>0</v>
      </c>
      <c r="P510" s="36">
        <v>0</v>
      </c>
    </row>
    <row r="511" spans="1:16" s="43" customFormat="1">
      <c r="A511" s="36" t="s">
        <v>410</v>
      </c>
      <c r="B511" s="36">
        <v>12303</v>
      </c>
      <c r="C511" s="36" t="s">
        <v>3221</v>
      </c>
      <c r="D511" s="36">
        <v>1</v>
      </c>
      <c r="E511" s="36">
        <v>0</v>
      </c>
      <c r="F511" s="36">
        <v>0</v>
      </c>
      <c r="G511" s="36">
        <v>0</v>
      </c>
      <c r="H511" s="36">
        <v>0</v>
      </c>
      <c r="I511" s="36">
        <v>0</v>
      </c>
      <c r="J511" s="36">
        <v>0</v>
      </c>
      <c r="K511" s="36">
        <v>0</v>
      </c>
      <c r="L511" s="36">
        <v>1</v>
      </c>
      <c r="M511" s="36">
        <v>0</v>
      </c>
      <c r="N511" s="36">
        <v>0</v>
      </c>
      <c r="O511" s="36">
        <v>0</v>
      </c>
      <c r="P511" s="36">
        <v>0</v>
      </c>
    </row>
    <row r="512" spans="1:16" s="43" customFormat="1">
      <c r="A512" s="36" t="s">
        <v>410</v>
      </c>
      <c r="B512" s="36">
        <v>12303</v>
      </c>
      <c r="C512" s="36" t="s">
        <v>3334</v>
      </c>
      <c r="D512" s="36">
        <v>2</v>
      </c>
      <c r="E512" s="36">
        <v>0</v>
      </c>
      <c r="F512" s="36">
        <v>1</v>
      </c>
      <c r="G512" s="36">
        <v>0</v>
      </c>
      <c r="H512" s="36">
        <v>0</v>
      </c>
      <c r="I512" s="36">
        <v>0</v>
      </c>
      <c r="J512" s="36">
        <v>0</v>
      </c>
      <c r="K512" s="36">
        <v>0</v>
      </c>
      <c r="L512" s="36">
        <v>0</v>
      </c>
      <c r="M512" s="36">
        <v>1</v>
      </c>
      <c r="N512" s="36">
        <v>0</v>
      </c>
      <c r="O512" s="36">
        <v>0</v>
      </c>
      <c r="P512" s="36">
        <v>0</v>
      </c>
    </row>
    <row r="513" spans="1:16" s="43" customFormat="1">
      <c r="A513" s="36" t="s">
        <v>309</v>
      </c>
      <c r="B513" s="36">
        <v>12327</v>
      </c>
      <c r="C513" s="36" t="s">
        <v>3221</v>
      </c>
      <c r="D513" s="36">
        <v>1</v>
      </c>
      <c r="E513" s="36">
        <v>0</v>
      </c>
      <c r="F513" s="36">
        <v>0</v>
      </c>
      <c r="G513" s="36">
        <v>0</v>
      </c>
      <c r="H513" s="36">
        <v>0</v>
      </c>
      <c r="I513" s="36">
        <v>0</v>
      </c>
      <c r="J513" s="36">
        <v>0</v>
      </c>
      <c r="K513" s="36">
        <v>0</v>
      </c>
      <c r="L513" s="36">
        <v>0</v>
      </c>
      <c r="M513" s="36">
        <v>0</v>
      </c>
      <c r="N513" s="36">
        <v>0</v>
      </c>
      <c r="O513" s="36">
        <v>0</v>
      </c>
      <c r="P513" s="36">
        <v>0</v>
      </c>
    </row>
    <row r="514" spans="1:16" s="43" customFormat="1">
      <c r="A514" s="36" t="s">
        <v>309</v>
      </c>
      <c r="B514" s="36">
        <v>12327</v>
      </c>
      <c r="C514" s="36" t="s">
        <v>3335</v>
      </c>
      <c r="D514" s="36">
        <v>2</v>
      </c>
      <c r="E514" s="36">
        <v>0</v>
      </c>
      <c r="F514" s="36">
        <v>0</v>
      </c>
      <c r="G514" s="36">
        <v>0</v>
      </c>
      <c r="H514" s="36">
        <v>0</v>
      </c>
      <c r="I514" s="36">
        <v>1</v>
      </c>
      <c r="J514" s="36">
        <v>0</v>
      </c>
      <c r="K514" s="36">
        <v>0</v>
      </c>
      <c r="L514" s="36">
        <v>0</v>
      </c>
      <c r="M514" s="36">
        <v>0</v>
      </c>
      <c r="N514" s="36">
        <v>0</v>
      </c>
      <c r="O514" s="36">
        <v>0</v>
      </c>
      <c r="P514" s="36">
        <v>0</v>
      </c>
    </row>
    <row r="515" spans="1:16" s="43" customFormat="1">
      <c r="A515" s="71" t="s">
        <v>311</v>
      </c>
      <c r="B515" s="36">
        <v>12334</v>
      </c>
      <c r="C515" s="36" t="s">
        <v>3226</v>
      </c>
      <c r="D515" s="36">
        <v>1</v>
      </c>
      <c r="E515" s="36">
        <v>0</v>
      </c>
      <c r="F515" s="36">
        <v>0</v>
      </c>
      <c r="G515" s="36">
        <v>0</v>
      </c>
      <c r="H515" s="36">
        <v>0</v>
      </c>
      <c r="I515" s="36">
        <v>0</v>
      </c>
      <c r="J515" s="36">
        <v>0</v>
      </c>
      <c r="K515" s="36">
        <v>0</v>
      </c>
      <c r="L515" s="36">
        <v>0</v>
      </c>
      <c r="M515" s="36">
        <v>0</v>
      </c>
      <c r="N515" s="36">
        <v>0</v>
      </c>
      <c r="O515" s="36">
        <v>0</v>
      </c>
      <c r="P515" s="36">
        <v>0</v>
      </c>
    </row>
    <row r="516" spans="1:16" s="43" customFormat="1">
      <c r="A516" s="71" t="s">
        <v>311</v>
      </c>
      <c r="B516" s="36">
        <v>12334</v>
      </c>
      <c r="C516" s="36" t="s">
        <v>3336</v>
      </c>
      <c r="D516" s="36">
        <v>2</v>
      </c>
      <c r="E516" s="36">
        <v>0</v>
      </c>
      <c r="F516" s="36">
        <v>0</v>
      </c>
      <c r="G516" s="36">
        <v>0</v>
      </c>
      <c r="H516" s="36">
        <v>0</v>
      </c>
      <c r="I516" s="36">
        <v>1</v>
      </c>
      <c r="J516" s="36">
        <v>0</v>
      </c>
      <c r="K516" s="36">
        <v>0</v>
      </c>
      <c r="L516" s="36">
        <v>0</v>
      </c>
      <c r="M516" s="36">
        <v>0</v>
      </c>
      <c r="N516" s="36">
        <v>0</v>
      </c>
      <c r="O516" s="36">
        <v>0</v>
      </c>
      <c r="P516" s="36">
        <v>0</v>
      </c>
    </row>
    <row r="517" spans="1:16" s="43" customFormat="1">
      <c r="A517" s="71" t="s">
        <v>311</v>
      </c>
      <c r="B517" s="36">
        <v>12334</v>
      </c>
      <c r="C517" s="36" t="s">
        <v>3337</v>
      </c>
      <c r="D517" s="36">
        <v>3</v>
      </c>
      <c r="E517" s="36">
        <v>0</v>
      </c>
      <c r="F517" s="36">
        <v>0</v>
      </c>
      <c r="G517" s="36">
        <v>0</v>
      </c>
      <c r="H517" s="36">
        <v>0</v>
      </c>
      <c r="I517" s="36">
        <v>0</v>
      </c>
      <c r="J517" s="36">
        <v>0</v>
      </c>
      <c r="K517" s="36">
        <v>0</v>
      </c>
      <c r="L517" s="36">
        <v>1</v>
      </c>
      <c r="M517" s="36">
        <v>0</v>
      </c>
      <c r="N517" s="36">
        <v>0</v>
      </c>
      <c r="O517" s="36">
        <v>0</v>
      </c>
      <c r="P517" s="36">
        <v>0</v>
      </c>
    </row>
    <row r="518" spans="1:16" s="43" customFormat="1">
      <c r="A518" s="71" t="s">
        <v>311</v>
      </c>
      <c r="B518" s="36">
        <v>12334</v>
      </c>
      <c r="C518" s="36" t="s">
        <v>3338</v>
      </c>
      <c r="D518" s="36">
        <v>4</v>
      </c>
      <c r="E518" s="36">
        <v>0</v>
      </c>
      <c r="F518" s="36">
        <v>0</v>
      </c>
      <c r="G518" s="36">
        <v>0</v>
      </c>
      <c r="H518" s="36">
        <v>0</v>
      </c>
      <c r="I518" s="36">
        <v>1</v>
      </c>
      <c r="J518" s="36">
        <v>0</v>
      </c>
      <c r="K518" s="36">
        <v>0</v>
      </c>
      <c r="L518" s="36">
        <v>1</v>
      </c>
      <c r="M518" s="36">
        <v>0</v>
      </c>
      <c r="N518" s="36">
        <v>0</v>
      </c>
      <c r="O518" s="36">
        <v>0</v>
      </c>
      <c r="P518" s="36">
        <v>0</v>
      </c>
    </row>
    <row r="519" spans="1:16" s="43" customFormat="1">
      <c r="A519" s="36" t="s">
        <v>411</v>
      </c>
      <c r="B519" s="36">
        <v>12341</v>
      </c>
      <c r="C519" s="36" t="s">
        <v>3226</v>
      </c>
      <c r="D519" s="36">
        <v>1</v>
      </c>
      <c r="E519" s="36">
        <v>0</v>
      </c>
      <c r="F519" s="36">
        <v>0</v>
      </c>
      <c r="G519" s="36">
        <v>0</v>
      </c>
      <c r="H519" s="36">
        <v>0</v>
      </c>
      <c r="I519" s="36">
        <v>0</v>
      </c>
      <c r="J519" s="36">
        <v>0</v>
      </c>
      <c r="K519" s="36">
        <v>0</v>
      </c>
      <c r="L519" s="36">
        <v>0</v>
      </c>
      <c r="M519" s="36">
        <v>0</v>
      </c>
      <c r="N519" s="36">
        <v>0</v>
      </c>
      <c r="O519" s="36">
        <v>0</v>
      </c>
      <c r="P519" s="36">
        <v>0</v>
      </c>
    </row>
    <row r="520" spans="1:16" s="43" customFormat="1">
      <c r="A520" s="36" t="s">
        <v>411</v>
      </c>
      <c r="B520" s="36">
        <v>12341</v>
      </c>
      <c r="C520" s="36" t="s">
        <v>3225</v>
      </c>
      <c r="D520" s="36">
        <v>2</v>
      </c>
      <c r="E520" s="36">
        <v>0</v>
      </c>
      <c r="F520" s="36">
        <v>0</v>
      </c>
      <c r="G520" s="36">
        <v>0</v>
      </c>
      <c r="H520" s="36">
        <v>1</v>
      </c>
      <c r="I520" s="36">
        <v>0</v>
      </c>
      <c r="J520" s="36">
        <v>0</v>
      </c>
      <c r="K520" s="36">
        <v>1</v>
      </c>
      <c r="L520" s="36">
        <v>0</v>
      </c>
      <c r="M520" s="36">
        <v>1</v>
      </c>
      <c r="N520" s="36">
        <v>1</v>
      </c>
      <c r="O520" s="36">
        <v>0</v>
      </c>
      <c r="P520" s="36">
        <v>0</v>
      </c>
    </row>
    <row r="521" spans="1:16" s="43" customFormat="1">
      <c r="A521" s="43" t="s">
        <v>412</v>
      </c>
      <c r="B521" s="36">
        <v>12342</v>
      </c>
      <c r="C521" s="36" t="s">
        <v>3253</v>
      </c>
      <c r="D521" s="36">
        <v>1</v>
      </c>
      <c r="E521" s="36">
        <v>0</v>
      </c>
      <c r="F521" s="36">
        <v>0</v>
      </c>
      <c r="G521" s="36">
        <v>0</v>
      </c>
      <c r="H521" s="36">
        <v>0</v>
      </c>
      <c r="I521" s="36">
        <v>0</v>
      </c>
      <c r="J521" s="36">
        <v>0</v>
      </c>
      <c r="K521" s="36">
        <v>1</v>
      </c>
      <c r="L521" s="36">
        <v>1</v>
      </c>
      <c r="M521" s="36">
        <v>0</v>
      </c>
      <c r="N521" s="36">
        <v>0</v>
      </c>
      <c r="O521" s="36">
        <v>0</v>
      </c>
      <c r="P521" s="36">
        <v>0</v>
      </c>
    </row>
    <row r="522" spans="1:16" s="43" customFormat="1">
      <c r="A522" s="43" t="s">
        <v>412</v>
      </c>
      <c r="B522" s="36">
        <v>12342</v>
      </c>
      <c r="C522" s="36" t="s">
        <v>3339</v>
      </c>
      <c r="D522" s="36">
        <v>2</v>
      </c>
      <c r="E522" s="36">
        <v>0</v>
      </c>
      <c r="F522" s="36">
        <v>0</v>
      </c>
      <c r="G522" s="36">
        <v>0</v>
      </c>
      <c r="H522" s="36">
        <v>0</v>
      </c>
      <c r="I522" s="36">
        <v>0</v>
      </c>
      <c r="J522" s="36">
        <v>0</v>
      </c>
      <c r="K522" s="36">
        <v>1</v>
      </c>
      <c r="L522" s="36">
        <v>0</v>
      </c>
      <c r="M522" s="36">
        <v>1</v>
      </c>
      <c r="N522" s="36">
        <v>0</v>
      </c>
      <c r="O522" s="36">
        <v>0</v>
      </c>
      <c r="P522" s="36">
        <v>0</v>
      </c>
    </row>
    <row r="523" spans="1:16" s="43" customFormat="1">
      <c r="A523" s="43" t="s">
        <v>413</v>
      </c>
      <c r="B523" s="36">
        <v>12348</v>
      </c>
      <c r="C523" s="43" t="s">
        <v>3245</v>
      </c>
      <c r="D523" s="36">
        <v>1</v>
      </c>
      <c r="E523" s="36">
        <v>0</v>
      </c>
      <c r="F523" s="36">
        <v>0</v>
      </c>
      <c r="G523" s="36">
        <v>0</v>
      </c>
      <c r="H523" s="36">
        <v>1</v>
      </c>
      <c r="I523" s="36">
        <v>0</v>
      </c>
      <c r="J523" s="36">
        <v>1</v>
      </c>
      <c r="K523" s="36">
        <v>0</v>
      </c>
      <c r="L523" s="36">
        <v>1</v>
      </c>
      <c r="M523" s="36">
        <v>0</v>
      </c>
      <c r="N523" s="36">
        <v>0</v>
      </c>
      <c r="O523" s="36">
        <v>0</v>
      </c>
      <c r="P523" s="36">
        <v>0</v>
      </c>
    </row>
    <row r="524" spans="1:16" s="43" customFormat="1">
      <c r="A524" s="43" t="s">
        <v>413</v>
      </c>
      <c r="B524" s="36">
        <v>12348</v>
      </c>
      <c r="C524" s="43" t="s">
        <v>3340</v>
      </c>
      <c r="D524" s="36">
        <v>2</v>
      </c>
      <c r="E524" s="36">
        <v>0</v>
      </c>
      <c r="F524" s="36">
        <v>1</v>
      </c>
      <c r="G524" s="36">
        <v>1</v>
      </c>
      <c r="H524" s="36">
        <v>1</v>
      </c>
      <c r="I524" s="36">
        <v>0</v>
      </c>
      <c r="J524" s="36">
        <v>1</v>
      </c>
      <c r="K524" s="36">
        <v>0</v>
      </c>
      <c r="L524" s="36">
        <v>1</v>
      </c>
      <c r="M524" s="36">
        <v>1</v>
      </c>
      <c r="N524" s="36">
        <v>1</v>
      </c>
      <c r="O524" s="36">
        <v>0</v>
      </c>
      <c r="P524" s="36">
        <v>0</v>
      </c>
    </row>
    <row r="525" spans="1:16" s="43" customFormat="1">
      <c r="A525" s="43" t="s">
        <v>414</v>
      </c>
      <c r="B525" s="36">
        <v>12352</v>
      </c>
      <c r="C525" s="36" t="s">
        <v>3229</v>
      </c>
      <c r="D525" s="36">
        <v>1</v>
      </c>
      <c r="E525" s="36">
        <v>0</v>
      </c>
      <c r="F525" s="36">
        <v>0</v>
      </c>
      <c r="G525" s="36">
        <v>0</v>
      </c>
      <c r="H525" s="36">
        <v>0</v>
      </c>
      <c r="I525" s="36">
        <v>0</v>
      </c>
      <c r="J525" s="36">
        <v>0</v>
      </c>
      <c r="K525" s="36">
        <v>0</v>
      </c>
      <c r="L525" s="36">
        <v>0</v>
      </c>
      <c r="M525" s="36">
        <v>0</v>
      </c>
      <c r="N525" s="36">
        <v>0</v>
      </c>
      <c r="O525" s="36">
        <v>0</v>
      </c>
      <c r="P525" s="36">
        <v>0</v>
      </c>
    </row>
    <row r="526" spans="1:16" s="43" customFormat="1">
      <c r="A526" s="43" t="s">
        <v>414</v>
      </c>
      <c r="B526" s="36">
        <v>12352</v>
      </c>
      <c r="C526" s="36" t="s">
        <v>3277</v>
      </c>
      <c r="D526" s="36">
        <v>2</v>
      </c>
      <c r="E526" s="36">
        <v>0</v>
      </c>
      <c r="F526" s="36">
        <v>1</v>
      </c>
      <c r="G526" s="36">
        <v>1</v>
      </c>
      <c r="H526" s="36">
        <v>0</v>
      </c>
      <c r="I526" s="36">
        <v>0</v>
      </c>
      <c r="J526" s="36">
        <v>0</v>
      </c>
      <c r="K526" s="36">
        <v>0</v>
      </c>
      <c r="L526" s="36">
        <v>0</v>
      </c>
      <c r="M526" s="36">
        <v>0</v>
      </c>
      <c r="N526" s="36">
        <v>1</v>
      </c>
      <c r="O526" s="36">
        <v>0</v>
      </c>
      <c r="P526" s="36">
        <v>0</v>
      </c>
    </row>
    <row r="527" spans="1:16" s="43" customFormat="1">
      <c r="A527" s="43" t="s">
        <v>415</v>
      </c>
      <c r="B527" s="36">
        <v>12356</v>
      </c>
      <c r="C527" s="36" t="s">
        <v>3341</v>
      </c>
      <c r="D527" s="36">
        <v>1</v>
      </c>
      <c r="E527" s="36">
        <v>0</v>
      </c>
      <c r="F527" s="36">
        <v>0</v>
      </c>
      <c r="G527" s="36">
        <v>0</v>
      </c>
      <c r="H527" s="36">
        <v>0</v>
      </c>
      <c r="I527" s="36">
        <v>0</v>
      </c>
      <c r="J527" s="36">
        <v>0</v>
      </c>
      <c r="K527" s="36">
        <v>0</v>
      </c>
      <c r="L527" s="36">
        <v>1</v>
      </c>
      <c r="M527" s="36">
        <v>0</v>
      </c>
      <c r="N527" s="36">
        <v>0</v>
      </c>
      <c r="O527" s="36">
        <v>0</v>
      </c>
      <c r="P527" s="36">
        <v>0</v>
      </c>
    </row>
    <row r="528" spans="1:16" s="43" customFormat="1">
      <c r="A528" s="43" t="s">
        <v>415</v>
      </c>
      <c r="B528" s="36">
        <v>12356</v>
      </c>
      <c r="C528" s="36" t="s">
        <v>3342</v>
      </c>
      <c r="D528" s="36">
        <v>2</v>
      </c>
      <c r="E528" s="36">
        <v>0</v>
      </c>
      <c r="F528" s="36">
        <v>1</v>
      </c>
      <c r="G528" s="36">
        <v>0</v>
      </c>
      <c r="H528" s="36">
        <v>0</v>
      </c>
      <c r="I528" s="36">
        <v>0</v>
      </c>
      <c r="J528" s="36">
        <v>0</v>
      </c>
      <c r="K528" s="36">
        <v>1</v>
      </c>
      <c r="L528" s="36">
        <v>1</v>
      </c>
      <c r="M528" s="36">
        <v>1</v>
      </c>
      <c r="N528" s="36">
        <v>0</v>
      </c>
      <c r="O528" s="36">
        <v>0</v>
      </c>
      <c r="P528" s="36">
        <v>0</v>
      </c>
    </row>
    <row r="529" spans="1:16" s="43" customFormat="1">
      <c r="A529" s="149" t="s">
        <v>689</v>
      </c>
      <c r="B529" s="148">
        <v>12364</v>
      </c>
      <c r="C529" s="148" t="s">
        <v>3226</v>
      </c>
      <c r="D529" s="148">
        <v>1</v>
      </c>
      <c r="E529" s="148">
        <v>0</v>
      </c>
      <c r="F529" s="148">
        <v>0</v>
      </c>
      <c r="G529" s="148">
        <v>0</v>
      </c>
      <c r="H529" s="148">
        <v>0</v>
      </c>
      <c r="I529" s="148">
        <v>0</v>
      </c>
      <c r="J529" s="148">
        <v>0</v>
      </c>
      <c r="K529" s="148">
        <v>0</v>
      </c>
      <c r="L529" s="148">
        <v>0</v>
      </c>
      <c r="M529" s="148">
        <v>0</v>
      </c>
      <c r="N529" s="148">
        <v>0</v>
      </c>
      <c r="O529" s="148">
        <v>0</v>
      </c>
      <c r="P529" s="148">
        <v>0</v>
      </c>
    </row>
    <row r="530" spans="1:16" s="43" customFormat="1">
      <c r="A530" s="149" t="s">
        <v>689</v>
      </c>
      <c r="B530" s="148">
        <v>12364</v>
      </c>
      <c r="C530" s="148" t="s">
        <v>3225</v>
      </c>
      <c r="D530" s="148">
        <v>2</v>
      </c>
      <c r="E530" s="148">
        <v>1</v>
      </c>
      <c r="F530" s="148">
        <v>0</v>
      </c>
      <c r="G530" s="148">
        <v>0</v>
      </c>
      <c r="H530" s="148">
        <v>0</v>
      </c>
      <c r="I530" s="148">
        <v>1</v>
      </c>
      <c r="J530" s="148">
        <v>0</v>
      </c>
      <c r="K530" s="148">
        <v>0</v>
      </c>
      <c r="L530" s="148">
        <v>0</v>
      </c>
      <c r="M530" s="148">
        <v>0</v>
      </c>
      <c r="N530" s="148">
        <v>0</v>
      </c>
      <c r="O530" s="148">
        <v>0</v>
      </c>
      <c r="P530" s="148">
        <v>0</v>
      </c>
    </row>
    <row r="531" spans="1:16" s="43" customFormat="1">
      <c r="A531" s="43" t="s">
        <v>416</v>
      </c>
      <c r="B531" s="36">
        <v>12383</v>
      </c>
      <c r="C531" s="36" t="s">
        <v>3221</v>
      </c>
      <c r="D531" s="36">
        <v>1</v>
      </c>
      <c r="E531" s="36">
        <v>0</v>
      </c>
      <c r="F531" s="36">
        <v>0</v>
      </c>
      <c r="G531" s="36">
        <v>0</v>
      </c>
      <c r="H531" s="36">
        <v>0</v>
      </c>
      <c r="I531" s="36">
        <v>0</v>
      </c>
      <c r="J531" s="36">
        <v>0</v>
      </c>
      <c r="K531" s="36">
        <v>0</v>
      </c>
      <c r="L531" s="36">
        <v>0</v>
      </c>
      <c r="M531" s="36">
        <v>0</v>
      </c>
      <c r="N531" s="36">
        <v>0</v>
      </c>
      <c r="O531" s="36">
        <v>0</v>
      </c>
      <c r="P531" s="36">
        <v>0</v>
      </c>
    </row>
    <row r="532" spans="1:16" s="43" customFormat="1">
      <c r="A532" s="43" t="s">
        <v>416</v>
      </c>
      <c r="B532" s="36">
        <v>12383</v>
      </c>
      <c r="C532" s="36" t="s">
        <v>3343</v>
      </c>
      <c r="D532" s="36">
        <v>2</v>
      </c>
      <c r="E532" s="36">
        <v>0</v>
      </c>
      <c r="F532" s="36">
        <v>1</v>
      </c>
      <c r="G532" s="36">
        <v>1</v>
      </c>
      <c r="H532" s="36">
        <v>0</v>
      </c>
      <c r="I532" s="36">
        <v>0</v>
      </c>
      <c r="J532" s="36">
        <v>0</v>
      </c>
      <c r="K532" s="36">
        <v>0</v>
      </c>
      <c r="L532" s="36">
        <v>1</v>
      </c>
      <c r="M532" s="36">
        <v>1</v>
      </c>
      <c r="N532" s="36">
        <v>1</v>
      </c>
      <c r="O532" s="36">
        <v>0</v>
      </c>
      <c r="P532" s="36">
        <v>0</v>
      </c>
    </row>
    <row r="533" spans="1:16" s="43" customFormat="1">
      <c r="A533" s="55" t="s">
        <v>312</v>
      </c>
      <c r="B533" s="36">
        <v>12388</v>
      </c>
      <c r="C533" s="36" t="s">
        <v>3245</v>
      </c>
      <c r="D533" s="36">
        <v>1</v>
      </c>
      <c r="E533" s="36">
        <v>0</v>
      </c>
      <c r="F533" s="36">
        <v>0</v>
      </c>
      <c r="G533" s="36">
        <v>0</v>
      </c>
      <c r="H533" s="36">
        <v>0</v>
      </c>
      <c r="I533" s="36">
        <v>1</v>
      </c>
      <c r="J533" s="36">
        <v>0</v>
      </c>
      <c r="K533" s="36">
        <v>0</v>
      </c>
      <c r="L533" s="36">
        <v>1</v>
      </c>
      <c r="M533" s="36">
        <v>0</v>
      </c>
      <c r="N533" s="36">
        <v>0</v>
      </c>
      <c r="O533" s="36">
        <v>0</v>
      </c>
      <c r="P533" s="36">
        <v>0</v>
      </c>
    </row>
    <row r="534" spans="1:16" s="43" customFormat="1">
      <c r="A534" s="55" t="s">
        <v>312</v>
      </c>
      <c r="B534" s="36">
        <v>12388</v>
      </c>
      <c r="C534" s="36" t="s">
        <v>3344</v>
      </c>
      <c r="D534" s="36">
        <v>2</v>
      </c>
      <c r="E534" s="36">
        <v>0</v>
      </c>
      <c r="F534" s="36">
        <v>1</v>
      </c>
      <c r="G534" s="36">
        <v>1</v>
      </c>
      <c r="H534" s="36">
        <v>0</v>
      </c>
      <c r="I534" s="36">
        <v>1</v>
      </c>
      <c r="J534" s="36">
        <v>0</v>
      </c>
      <c r="K534" s="36">
        <v>0</v>
      </c>
      <c r="L534" s="36">
        <v>1</v>
      </c>
      <c r="M534" s="36">
        <v>1</v>
      </c>
      <c r="N534" s="36">
        <v>1</v>
      </c>
      <c r="O534" s="36">
        <v>0</v>
      </c>
      <c r="P534" s="36">
        <v>0</v>
      </c>
    </row>
    <row r="535" spans="1:16" s="43" customFormat="1">
      <c r="A535" s="150" t="s">
        <v>1295</v>
      </c>
      <c r="B535" s="153">
        <v>12410</v>
      </c>
      <c r="C535" s="153" t="s">
        <v>3362</v>
      </c>
      <c r="D535" s="153">
        <v>1</v>
      </c>
      <c r="E535" s="36">
        <v>0</v>
      </c>
      <c r="F535" s="36">
        <v>0</v>
      </c>
      <c r="G535" s="36">
        <v>0</v>
      </c>
      <c r="H535" s="36">
        <v>0</v>
      </c>
      <c r="I535" s="36">
        <v>0</v>
      </c>
      <c r="J535" s="36">
        <v>0</v>
      </c>
      <c r="K535" s="36">
        <v>0</v>
      </c>
      <c r="L535" s="36">
        <v>0</v>
      </c>
      <c r="M535" s="36">
        <v>0</v>
      </c>
      <c r="N535" s="153">
        <v>1</v>
      </c>
      <c r="O535" s="36">
        <v>0</v>
      </c>
      <c r="P535" s="36">
        <v>0</v>
      </c>
    </row>
    <row r="536" spans="1:16" s="43" customFormat="1">
      <c r="A536" s="150" t="s">
        <v>1295</v>
      </c>
      <c r="B536" s="153">
        <v>12410</v>
      </c>
      <c r="C536" s="153" t="s">
        <v>3363</v>
      </c>
      <c r="D536" s="153">
        <v>2</v>
      </c>
      <c r="E536" s="36">
        <v>0</v>
      </c>
      <c r="F536" s="36">
        <v>0</v>
      </c>
      <c r="G536" s="36">
        <v>0</v>
      </c>
      <c r="H536" s="36">
        <v>0</v>
      </c>
      <c r="I536" s="36">
        <v>0</v>
      </c>
      <c r="J536" s="36">
        <v>0</v>
      </c>
      <c r="K536" s="36">
        <v>0</v>
      </c>
      <c r="L536" s="36">
        <v>0</v>
      </c>
      <c r="M536" s="36">
        <v>0</v>
      </c>
      <c r="N536" s="153">
        <v>1</v>
      </c>
      <c r="O536" s="36">
        <v>0</v>
      </c>
      <c r="P536" s="153">
        <v>1</v>
      </c>
    </row>
    <row r="537" spans="1:16" s="43" customFormat="1">
      <c r="A537" s="43" t="s">
        <v>314</v>
      </c>
      <c r="B537" s="36">
        <v>12420</v>
      </c>
      <c r="C537" s="36" t="s">
        <v>3226</v>
      </c>
      <c r="D537" s="36">
        <v>1</v>
      </c>
      <c r="E537" s="36">
        <v>0</v>
      </c>
      <c r="F537" s="36">
        <v>0</v>
      </c>
      <c r="G537" s="36">
        <v>0</v>
      </c>
      <c r="H537" s="36">
        <v>0</v>
      </c>
      <c r="I537" s="36">
        <v>0</v>
      </c>
      <c r="J537" s="36">
        <v>0</v>
      </c>
      <c r="K537" s="36">
        <v>0</v>
      </c>
      <c r="L537" s="36">
        <v>1</v>
      </c>
      <c r="M537" s="36">
        <v>0</v>
      </c>
      <c r="N537" s="36">
        <v>0</v>
      </c>
      <c r="O537" s="36">
        <v>0</v>
      </c>
      <c r="P537" s="36">
        <v>0</v>
      </c>
    </row>
    <row r="538" spans="1:16" s="43" customFormat="1">
      <c r="A538" s="43" t="s">
        <v>314</v>
      </c>
      <c r="B538" s="36">
        <v>12420</v>
      </c>
      <c r="C538" s="36" t="s">
        <v>3296</v>
      </c>
      <c r="D538" s="36">
        <v>2</v>
      </c>
      <c r="E538" s="36">
        <v>0</v>
      </c>
      <c r="F538" s="36">
        <v>1</v>
      </c>
      <c r="G538" s="36">
        <v>0</v>
      </c>
      <c r="H538" s="36">
        <v>0</v>
      </c>
      <c r="I538" s="36">
        <v>0</v>
      </c>
      <c r="J538" s="36">
        <v>0</v>
      </c>
      <c r="K538" s="36">
        <v>0</v>
      </c>
      <c r="L538" s="36">
        <v>1</v>
      </c>
      <c r="M538" s="36">
        <v>1</v>
      </c>
      <c r="N538" s="36">
        <v>0</v>
      </c>
      <c r="O538" s="36">
        <v>0</v>
      </c>
      <c r="P538" s="36">
        <v>0</v>
      </c>
    </row>
    <row r="539" spans="1:16" s="43" customFormat="1">
      <c r="A539" s="36" t="s">
        <v>316</v>
      </c>
      <c r="B539" s="36">
        <v>12431</v>
      </c>
      <c r="C539" s="36" t="s">
        <v>3221</v>
      </c>
      <c r="D539" s="36">
        <v>1</v>
      </c>
      <c r="E539" s="36">
        <v>0</v>
      </c>
      <c r="F539" s="36">
        <v>0</v>
      </c>
      <c r="G539" s="36">
        <v>0</v>
      </c>
      <c r="H539" s="36">
        <v>0</v>
      </c>
      <c r="I539" s="36">
        <v>0</v>
      </c>
      <c r="J539" s="36">
        <v>0</v>
      </c>
      <c r="K539" s="36">
        <v>0</v>
      </c>
      <c r="L539" s="36">
        <v>0</v>
      </c>
      <c r="M539" s="36">
        <v>0</v>
      </c>
      <c r="N539" s="36">
        <v>0</v>
      </c>
      <c r="O539" s="36">
        <v>0</v>
      </c>
      <c r="P539" s="36">
        <v>0</v>
      </c>
    </row>
    <row r="540" spans="1:16" s="43" customFormat="1">
      <c r="A540" s="36" t="s">
        <v>316</v>
      </c>
      <c r="B540" s="36">
        <v>12431</v>
      </c>
      <c r="C540" s="36" t="s">
        <v>3222</v>
      </c>
      <c r="D540" s="36">
        <v>2</v>
      </c>
      <c r="E540" s="36">
        <v>0</v>
      </c>
      <c r="F540" s="36">
        <v>1</v>
      </c>
      <c r="G540" s="36">
        <v>0</v>
      </c>
      <c r="H540" s="36">
        <v>0</v>
      </c>
      <c r="I540" s="36">
        <v>1</v>
      </c>
      <c r="J540" s="36">
        <v>0</v>
      </c>
      <c r="K540" s="36">
        <v>0</v>
      </c>
      <c r="L540" s="36">
        <v>0</v>
      </c>
      <c r="M540" s="36">
        <v>0</v>
      </c>
      <c r="N540" s="36">
        <v>0</v>
      </c>
      <c r="O540" s="36">
        <v>0</v>
      </c>
      <c r="P540" s="36">
        <v>0</v>
      </c>
    </row>
    <row r="541" spans="1:16" s="43" customFormat="1">
      <c r="A541" s="36" t="s">
        <v>418</v>
      </c>
      <c r="B541" s="36">
        <v>12433</v>
      </c>
      <c r="C541" s="43" t="s">
        <v>3226</v>
      </c>
      <c r="D541" s="36">
        <v>1</v>
      </c>
      <c r="E541" s="36">
        <v>0</v>
      </c>
      <c r="F541" s="36">
        <v>0</v>
      </c>
      <c r="G541" s="36">
        <v>0</v>
      </c>
      <c r="H541" s="36">
        <v>0</v>
      </c>
      <c r="I541" s="36">
        <v>0</v>
      </c>
      <c r="J541" s="36">
        <v>0</v>
      </c>
      <c r="K541" s="36">
        <v>0</v>
      </c>
      <c r="L541" s="36">
        <v>0</v>
      </c>
      <c r="M541" s="36">
        <v>0</v>
      </c>
      <c r="N541" s="36">
        <v>0</v>
      </c>
      <c r="O541" s="36">
        <v>0</v>
      </c>
      <c r="P541" s="36">
        <v>0</v>
      </c>
    </row>
    <row r="542" spans="1:16" s="43" customFormat="1">
      <c r="A542" s="36" t="s">
        <v>418</v>
      </c>
      <c r="B542" s="36">
        <v>12433</v>
      </c>
      <c r="C542" s="36" t="s">
        <v>3225</v>
      </c>
      <c r="D542" s="36">
        <v>2</v>
      </c>
      <c r="E542" s="36">
        <v>0</v>
      </c>
      <c r="F542" s="36">
        <v>1</v>
      </c>
      <c r="G542" s="36">
        <v>0</v>
      </c>
      <c r="H542" s="36">
        <v>0</v>
      </c>
      <c r="I542" s="36">
        <v>0</v>
      </c>
      <c r="J542" s="36">
        <v>0</v>
      </c>
      <c r="K542" s="36">
        <v>1</v>
      </c>
      <c r="L542" s="36">
        <v>1</v>
      </c>
      <c r="M542" s="36">
        <v>1</v>
      </c>
      <c r="N542" s="36">
        <v>0</v>
      </c>
      <c r="O542" s="36">
        <v>0</v>
      </c>
      <c r="P542" s="36">
        <v>0</v>
      </c>
    </row>
    <row r="543" spans="1:16" s="43" customFormat="1">
      <c r="A543" s="36" t="s">
        <v>419</v>
      </c>
      <c r="B543" s="36">
        <v>12443</v>
      </c>
      <c r="C543" s="36" t="s">
        <v>3226</v>
      </c>
      <c r="D543" s="36">
        <v>1</v>
      </c>
      <c r="E543" s="36">
        <v>0</v>
      </c>
      <c r="F543" s="36">
        <v>0</v>
      </c>
      <c r="G543" s="36">
        <v>0</v>
      </c>
      <c r="H543" s="36">
        <v>0</v>
      </c>
      <c r="I543" s="36">
        <v>0</v>
      </c>
      <c r="J543" s="36">
        <v>0</v>
      </c>
      <c r="K543" s="36">
        <v>1</v>
      </c>
      <c r="L543" s="36">
        <v>0</v>
      </c>
      <c r="M543" s="36">
        <v>1</v>
      </c>
      <c r="N543" s="36">
        <v>0</v>
      </c>
      <c r="O543" s="36">
        <v>0</v>
      </c>
      <c r="P543" s="36">
        <v>0</v>
      </c>
    </row>
    <row r="544" spans="1:16" s="43" customFormat="1">
      <c r="A544" s="36" t="s">
        <v>419</v>
      </c>
      <c r="B544" s="36">
        <v>12443</v>
      </c>
      <c r="C544" s="36" t="s">
        <v>3345</v>
      </c>
      <c r="D544" s="36">
        <v>2</v>
      </c>
      <c r="E544" s="36">
        <v>0</v>
      </c>
      <c r="F544" s="36">
        <v>0</v>
      </c>
      <c r="G544" s="36">
        <v>0</v>
      </c>
      <c r="H544" s="36">
        <v>0</v>
      </c>
      <c r="I544" s="36">
        <v>0</v>
      </c>
      <c r="J544" s="36">
        <v>0</v>
      </c>
      <c r="K544" s="36">
        <v>1</v>
      </c>
      <c r="L544" s="36">
        <v>0</v>
      </c>
      <c r="M544" s="36">
        <v>1</v>
      </c>
      <c r="N544" s="36">
        <v>0</v>
      </c>
      <c r="O544" s="36">
        <v>0</v>
      </c>
      <c r="P544" s="36">
        <v>0</v>
      </c>
    </row>
    <row r="545" spans="1:16" s="43" customFormat="1">
      <c r="A545" s="36" t="s">
        <v>420</v>
      </c>
      <c r="B545" s="36">
        <v>12459</v>
      </c>
      <c r="C545" s="36" t="s">
        <v>3221</v>
      </c>
      <c r="D545" s="36">
        <v>1</v>
      </c>
      <c r="E545" s="36">
        <v>0</v>
      </c>
      <c r="F545" s="36">
        <v>0</v>
      </c>
      <c r="G545" s="36">
        <v>0</v>
      </c>
      <c r="H545" s="36">
        <v>0</v>
      </c>
      <c r="I545" s="36">
        <v>0</v>
      </c>
      <c r="J545" s="36">
        <v>0</v>
      </c>
      <c r="K545" s="36">
        <v>0</v>
      </c>
      <c r="L545" s="36">
        <v>0</v>
      </c>
      <c r="M545" s="36">
        <v>0</v>
      </c>
      <c r="N545" s="36">
        <v>0</v>
      </c>
      <c r="O545" s="36">
        <v>0</v>
      </c>
      <c r="P545" s="36">
        <v>0</v>
      </c>
    </row>
    <row r="546" spans="1:16" s="43" customFormat="1">
      <c r="A546" s="36" t="s">
        <v>420</v>
      </c>
      <c r="B546" s="36">
        <v>12459</v>
      </c>
      <c r="C546" s="36" t="s">
        <v>3222</v>
      </c>
      <c r="D546" s="36">
        <v>2</v>
      </c>
      <c r="E546" s="36">
        <v>0</v>
      </c>
      <c r="F546" s="36">
        <v>1</v>
      </c>
      <c r="G546" s="36">
        <v>1</v>
      </c>
      <c r="H546" s="36">
        <v>1</v>
      </c>
      <c r="I546" s="36">
        <v>0</v>
      </c>
      <c r="J546" s="36">
        <v>0</v>
      </c>
      <c r="K546" s="36">
        <v>1</v>
      </c>
      <c r="L546" s="36">
        <v>1</v>
      </c>
      <c r="M546" s="36">
        <v>1</v>
      </c>
      <c r="N546" s="36">
        <v>1</v>
      </c>
      <c r="O546" s="36">
        <v>0</v>
      </c>
      <c r="P546" s="36">
        <v>0</v>
      </c>
    </row>
    <row r="547" spans="1:16" s="43" customFormat="1">
      <c r="A547" s="36" t="s">
        <v>421</v>
      </c>
      <c r="B547" s="36">
        <v>12481</v>
      </c>
      <c r="C547" s="43" t="s">
        <v>3272</v>
      </c>
      <c r="D547" s="36">
        <v>1</v>
      </c>
      <c r="E547" s="36">
        <v>0</v>
      </c>
      <c r="F547" s="36">
        <v>0</v>
      </c>
      <c r="G547" s="36">
        <v>0</v>
      </c>
      <c r="H547" s="36">
        <v>0</v>
      </c>
      <c r="I547" s="36">
        <v>0</v>
      </c>
      <c r="J547" s="36">
        <v>0</v>
      </c>
      <c r="K547" s="36">
        <v>0</v>
      </c>
      <c r="L547" s="36">
        <v>0</v>
      </c>
      <c r="M547" s="36">
        <v>0</v>
      </c>
      <c r="N547" s="36">
        <v>0</v>
      </c>
      <c r="O547" s="36">
        <v>0</v>
      </c>
      <c r="P547" s="36">
        <v>0</v>
      </c>
    </row>
    <row r="548" spans="1:16" s="43" customFormat="1">
      <c r="A548" s="36" t="s">
        <v>421</v>
      </c>
      <c r="B548" s="36">
        <v>12481</v>
      </c>
      <c r="C548" s="36" t="s">
        <v>3346</v>
      </c>
      <c r="D548" s="36">
        <v>2</v>
      </c>
      <c r="E548" s="36">
        <v>0</v>
      </c>
      <c r="F548" s="36">
        <v>1</v>
      </c>
      <c r="G548" s="36">
        <v>0</v>
      </c>
      <c r="H548" s="36">
        <v>0</v>
      </c>
      <c r="I548" s="36">
        <v>0</v>
      </c>
      <c r="J548" s="36">
        <v>0</v>
      </c>
      <c r="K548" s="36">
        <v>0</v>
      </c>
      <c r="L548" s="36">
        <v>1</v>
      </c>
      <c r="M548" s="36">
        <v>0</v>
      </c>
      <c r="N548" s="36">
        <v>0</v>
      </c>
      <c r="O548" s="36">
        <v>0</v>
      </c>
      <c r="P548" s="36">
        <v>0</v>
      </c>
    </row>
    <row r="549" spans="1:16" s="43" customFormat="1">
      <c r="A549" s="36" t="s">
        <v>422</v>
      </c>
      <c r="B549" s="36">
        <v>12509</v>
      </c>
      <c r="C549" s="43" t="s">
        <v>3226</v>
      </c>
      <c r="D549" s="36">
        <v>1</v>
      </c>
      <c r="E549" s="36">
        <v>0</v>
      </c>
      <c r="F549" s="36">
        <v>1</v>
      </c>
      <c r="G549" s="36">
        <v>0</v>
      </c>
      <c r="H549" s="36">
        <v>0</v>
      </c>
      <c r="I549" s="36">
        <v>0</v>
      </c>
      <c r="J549" s="36">
        <v>0</v>
      </c>
      <c r="K549" s="36">
        <v>0</v>
      </c>
      <c r="L549" s="36">
        <v>0</v>
      </c>
      <c r="M549" s="36">
        <v>0</v>
      </c>
      <c r="N549" s="36">
        <v>0</v>
      </c>
      <c r="O549" s="36">
        <v>0</v>
      </c>
      <c r="P549" s="36">
        <v>0</v>
      </c>
    </row>
    <row r="550" spans="1:16" s="43" customFormat="1">
      <c r="A550" s="36" t="s">
        <v>422</v>
      </c>
      <c r="B550" s="36">
        <v>12509</v>
      </c>
      <c r="C550" s="43" t="s">
        <v>3225</v>
      </c>
      <c r="D550" s="36">
        <v>2</v>
      </c>
      <c r="E550" s="36">
        <v>0</v>
      </c>
      <c r="F550" s="36">
        <v>1</v>
      </c>
      <c r="G550" s="36">
        <v>0</v>
      </c>
      <c r="H550" s="36">
        <v>1</v>
      </c>
      <c r="I550" s="36">
        <v>0</v>
      </c>
      <c r="J550" s="36">
        <v>0</v>
      </c>
      <c r="K550" s="36">
        <v>1</v>
      </c>
      <c r="L550" s="36">
        <v>0</v>
      </c>
      <c r="M550" s="36">
        <v>1</v>
      </c>
      <c r="N550" s="36">
        <v>0</v>
      </c>
      <c r="O550" s="36">
        <v>0</v>
      </c>
      <c r="P550" s="36">
        <v>0</v>
      </c>
    </row>
    <row r="551" spans="1:16" s="43" customFormat="1">
      <c r="A551" s="43" t="s">
        <v>423</v>
      </c>
      <c r="B551" s="36">
        <v>12511</v>
      </c>
      <c r="C551" s="43" t="s">
        <v>3238</v>
      </c>
      <c r="D551" s="36">
        <v>1</v>
      </c>
      <c r="E551" s="36">
        <v>0</v>
      </c>
      <c r="F551" s="36">
        <v>0</v>
      </c>
      <c r="G551" s="36">
        <v>0</v>
      </c>
      <c r="H551" s="36">
        <v>0</v>
      </c>
      <c r="I551" s="36">
        <v>0</v>
      </c>
      <c r="J551" s="36">
        <v>0</v>
      </c>
      <c r="K551" s="36">
        <v>0</v>
      </c>
      <c r="L551" s="36">
        <v>0</v>
      </c>
      <c r="M551" s="36">
        <v>0</v>
      </c>
      <c r="N551" s="36">
        <v>0</v>
      </c>
      <c r="O551" s="36">
        <v>0</v>
      </c>
      <c r="P551" s="36">
        <v>0</v>
      </c>
    </row>
    <row r="552" spans="1:16" s="43" customFormat="1">
      <c r="A552" s="43" t="s">
        <v>423</v>
      </c>
      <c r="B552" s="36">
        <v>12511</v>
      </c>
      <c r="C552" s="43" t="s">
        <v>3225</v>
      </c>
      <c r="D552" s="36">
        <v>2</v>
      </c>
      <c r="E552" s="36">
        <v>0</v>
      </c>
      <c r="F552" s="36">
        <v>1</v>
      </c>
      <c r="G552" s="36">
        <v>0</v>
      </c>
      <c r="H552" s="36">
        <v>0</v>
      </c>
      <c r="I552" s="36">
        <v>0</v>
      </c>
      <c r="J552" s="36">
        <v>0</v>
      </c>
      <c r="K552" s="36">
        <v>0</v>
      </c>
      <c r="L552" s="36">
        <v>0</v>
      </c>
      <c r="M552" s="36">
        <v>1</v>
      </c>
      <c r="N552" s="36">
        <v>0</v>
      </c>
      <c r="O552" s="36">
        <v>0</v>
      </c>
      <c r="P552" s="36">
        <v>0</v>
      </c>
    </row>
    <row r="553" spans="1:16" s="43" customFormat="1">
      <c r="A553" s="151" t="s">
        <v>424</v>
      </c>
      <c r="B553" s="151">
        <v>12551</v>
      </c>
      <c r="C553" s="151" t="s">
        <v>3295</v>
      </c>
      <c r="D553" s="151">
        <v>1</v>
      </c>
      <c r="E553" s="36">
        <v>0</v>
      </c>
      <c r="F553" s="36">
        <v>0</v>
      </c>
      <c r="G553" s="36">
        <v>0</v>
      </c>
      <c r="H553" s="36">
        <v>0</v>
      </c>
      <c r="I553" s="36">
        <v>0</v>
      </c>
      <c r="J553" s="36">
        <v>0</v>
      </c>
      <c r="K553" s="36">
        <v>0</v>
      </c>
      <c r="L553" s="36">
        <v>0</v>
      </c>
      <c r="M553" s="36">
        <v>0</v>
      </c>
      <c r="N553" s="36">
        <v>0</v>
      </c>
      <c r="O553" s="36">
        <v>0</v>
      </c>
      <c r="P553" s="36">
        <v>0</v>
      </c>
    </row>
    <row r="554" spans="1:16" s="43" customFormat="1">
      <c r="A554" s="151" t="s">
        <v>424</v>
      </c>
      <c r="B554" s="151">
        <v>12551</v>
      </c>
      <c r="C554" s="151" t="s">
        <v>3347</v>
      </c>
      <c r="D554" s="151">
        <v>2</v>
      </c>
      <c r="E554" s="36">
        <v>0</v>
      </c>
      <c r="F554" s="36">
        <v>1</v>
      </c>
      <c r="G554" s="36">
        <v>1</v>
      </c>
      <c r="H554" s="36">
        <v>1</v>
      </c>
      <c r="I554" s="36">
        <v>0</v>
      </c>
      <c r="J554" s="36">
        <v>0</v>
      </c>
      <c r="K554" s="36">
        <v>1</v>
      </c>
      <c r="L554" s="36">
        <v>1</v>
      </c>
      <c r="M554" s="36">
        <v>1</v>
      </c>
      <c r="N554" s="36">
        <v>0</v>
      </c>
      <c r="O554" s="36">
        <v>0</v>
      </c>
      <c r="P554" s="36">
        <v>0</v>
      </c>
    </row>
    <row r="555" spans="1:16" s="43" customFormat="1">
      <c r="A555" s="151" t="s">
        <v>318</v>
      </c>
      <c r="B555" s="151">
        <v>12576</v>
      </c>
      <c r="C555" s="151" t="s">
        <v>3221</v>
      </c>
      <c r="D555" s="151">
        <v>1</v>
      </c>
      <c r="E555" s="36">
        <v>0</v>
      </c>
      <c r="F555" s="36">
        <v>0</v>
      </c>
      <c r="G555" s="36">
        <v>0</v>
      </c>
      <c r="H555" s="36">
        <v>0</v>
      </c>
      <c r="I555" s="36">
        <v>0</v>
      </c>
      <c r="J555" s="36">
        <v>0</v>
      </c>
      <c r="K555" s="36">
        <v>0</v>
      </c>
      <c r="L555" s="36">
        <v>0</v>
      </c>
      <c r="M555" s="36">
        <v>0</v>
      </c>
      <c r="N555" s="36">
        <v>0</v>
      </c>
      <c r="O555" s="36">
        <v>0</v>
      </c>
      <c r="P555" s="36">
        <v>0</v>
      </c>
    </row>
    <row r="556" spans="1:16" s="43" customFormat="1">
      <c r="A556" s="151" t="s">
        <v>318</v>
      </c>
      <c r="B556" s="151">
        <v>12576</v>
      </c>
      <c r="C556" s="151" t="s">
        <v>3348</v>
      </c>
      <c r="D556" s="151">
        <v>2</v>
      </c>
      <c r="E556" s="36">
        <v>0</v>
      </c>
      <c r="F556" s="36">
        <v>0</v>
      </c>
      <c r="G556" s="36">
        <v>1</v>
      </c>
      <c r="H556" s="36">
        <v>1</v>
      </c>
      <c r="I556" s="36">
        <v>0</v>
      </c>
      <c r="J556" s="36">
        <v>0</v>
      </c>
      <c r="K556" s="36">
        <v>0</v>
      </c>
      <c r="L556" s="36">
        <v>1</v>
      </c>
      <c r="M556" s="36">
        <v>0</v>
      </c>
      <c r="N556" s="36">
        <v>0</v>
      </c>
      <c r="O556" s="36">
        <v>0</v>
      </c>
      <c r="P556" s="36">
        <v>0</v>
      </c>
    </row>
    <row r="557" spans="1:16" s="43" customFormat="1">
      <c r="A557" s="151" t="s">
        <v>318</v>
      </c>
      <c r="B557" s="151">
        <v>12576</v>
      </c>
      <c r="C557" s="151" t="s">
        <v>3349</v>
      </c>
      <c r="D557" s="151">
        <v>3</v>
      </c>
      <c r="E557" s="36">
        <v>0</v>
      </c>
      <c r="F557" s="36">
        <v>0</v>
      </c>
      <c r="G557" s="36">
        <v>1</v>
      </c>
      <c r="H557" s="36">
        <v>1</v>
      </c>
      <c r="I557" s="36">
        <v>0</v>
      </c>
      <c r="J557" s="36">
        <v>0</v>
      </c>
      <c r="K557" s="36">
        <v>0</v>
      </c>
      <c r="L557" s="36">
        <v>1</v>
      </c>
      <c r="M557" s="36">
        <v>0</v>
      </c>
      <c r="N557" s="36">
        <v>0</v>
      </c>
      <c r="O557" s="36">
        <v>0</v>
      </c>
      <c r="P557" s="36">
        <v>0</v>
      </c>
    </row>
    <row r="558" spans="1:16" s="43" customFormat="1">
      <c r="A558" s="151" t="s">
        <v>426</v>
      </c>
      <c r="B558" s="151">
        <v>12590</v>
      </c>
      <c r="C558" s="151" t="s">
        <v>3295</v>
      </c>
      <c r="D558" s="151">
        <v>1</v>
      </c>
      <c r="E558" s="36">
        <v>0</v>
      </c>
      <c r="F558" s="36">
        <v>0</v>
      </c>
      <c r="G558" s="36">
        <v>0</v>
      </c>
      <c r="H558" s="36">
        <v>0</v>
      </c>
      <c r="I558" s="36">
        <v>0</v>
      </c>
      <c r="J558" s="36">
        <v>0</v>
      </c>
      <c r="K558" s="36">
        <v>0</v>
      </c>
      <c r="L558" s="36">
        <v>1</v>
      </c>
      <c r="M558" s="36">
        <v>1</v>
      </c>
      <c r="N558" s="36">
        <v>0</v>
      </c>
      <c r="O558" s="36">
        <v>0</v>
      </c>
      <c r="P558" s="36">
        <v>0</v>
      </c>
    </row>
    <row r="559" spans="1:16" s="43" customFormat="1">
      <c r="A559" s="151" t="s">
        <v>426</v>
      </c>
      <c r="B559" s="151">
        <v>12590</v>
      </c>
      <c r="C559" s="151" t="s">
        <v>3296</v>
      </c>
      <c r="D559" s="151">
        <v>2</v>
      </c>
      <c r="E559" s="36">
        <v>0</v>
      </c>
      <c r="F559" s="36">
        <v>1</v>
      </c>
      <c r="G559" s="36">
        <v>1</v>
      </c>
      <c r="H559" s="36">
        <v>0</v>
      </c>
      <c r="I559" s="36">
        <v>1</v>
      </c>
      <c r="J559" s="36">
        <v>0</v>
      </c>
      <c r="K559" s="36">
        <v>0</v>
      </c>
      <c r="L559" s="36">
        <v>1</v>
      </c>
      <c r="M559" s="36">
        <v>1</v>
      </c>
      <c r="N559" s="36">
        <v>0</v>
      </c>
      <c r="O559" s="36">
        <v>0</v>
      </c>
      <c r="P559" s="36">
        <v>0</v>
      </c>
    </row>
    <row r="560" spans="1:16" s="43" customFormat="1">
      <c r="A560" s="152" t="s">
        <v>728</v>
      </c>
      <c r="B560" s="152">
        <v>12605</v>
      </c>
      <c r="C560" s="152" t="s">
        <v>3229</v>
      </c>
      <c r="D560" s="152">
        <v>1</v>
      </c>
      <c r="E560" s="148">
        <v>0</v>
      </c>
      <c r="F560" s="148">
        <v>0</v>
      </c>
      <c r="G560" s="148">
        <v>0</v>
      </c>
      <c r="H560" s="148">
        <v>0</v>
      </c>
      <c r="I560" s="148">
        <v>0</v>
      </c>
      <c r="J560" s="148">
        <v>0</v>
      </c>
      <c r="K560" s="148">
        <v>0</v>
      </c>
      <c r="L560" s="148">
        <v>0</v>
      </c>
      <c r="M560" s="148">
        <v>0</v>
      </c>
      <c r="N560" s="148">
        <v>0</v>
      </c>
      <c r="O560" s="148">
        <v>0</v>
      </c>
      <c r="P560" s="148">
        <v>0</v>
      </c>
    </row>
    <row r="561" spans="1:16" s="43" customFormat="1">
      <c r="A561" s="152" t="s">
        <v>728</v>
      </c>
      <c r="B561" s="152">
        <v>12605</v>
      </c>
      <c r="C561" s="152" t="s">
        <v>3222</v>
      </c>
      <c r="D561" s="152">
        <v>2</v>
      </c>
      <c r="E561" s="148">
        <v>0</v>
      </c>
      <c r="F561" s="148">
        <v>1</v>
      </c>
      <c r="G561" s="148">
        <v>0</v>
      </c>
      <c r="H561" s="148">
        <v>0</v>
      </c>
      <c r="I561" s="148">
        <v>0</v>
      </c>
      <c r="J561" s="148">
        <v>0</v>
      </c>
      <c r="K561" s="148">
        <v>0</v>
      </c>
      <c r="L561" s="148">
        <v>1</v>
      </c>
      <c r="M561" s="148">
        <v>1</v>
      </c>
      <c r="N561" s="148">
        <v>0</v>
      </c>
      <c r="O561" s="148">
        <v>0</v>
      </c>
      <c r="P561" s="148">
        <v>0</v>
      </c>
    </row>
    <row r="562" spans="1:16" s="43" customFormat="1">
      <c r="A562" s="151" t="s">
        <v>319</v>
      </c>
      <c r="B562" s="151">
        <v>12624</v>
      </c>
      <c r="C562" s="151" t="s">
        <v>3295</v>
      </c>
      <c r="D562" s="151">
        <v>1</v>
      </c>
      <c r="E562" s="36">
        <v>0</v>
      </c>
      <c r="F562" s="36">
        <v>0</v>
      </c>
      <c r="G562" s="36">
        <v>0</v>
      </c>
      <c r="H562" s="36">
        <v>0</v>
      </c>
      <c r="I562" s="36">
        <v>1</v>
      </c>
      <c r="J562" s="36">
        <v>0</v>
      </c>
      <c r="K562" s="36">
        <v>0</v>
      </c>
      <c r="L562" s="36">
        <v>0</v>
      </c>
      <c r="M562" s="36">
        <v>0</v>
      </c>
      <c r="N562" s="36">
        <v>0</v>
      </c>
      <c r="O562" s="36">
        <v>0</v>
      </c>
      <c r="P562" s="36">
        <v>0</v>
      </c>
    </row>
    <row r="563" spans="1:16" s="43" customFormat="1">
      <c r="A563" s="151" t="s">
        <v>319</v>
      </c>
      <c r="B563" s="151">
        <v>12624</v>
      </c>
      <c r="C563" s="151" t="s">
        <v>3296</v>
      </c>
      <c r="D563" s="151">
        <v>2</v>
      </c>
      <c r="E563" s="36">
        <v>0</v>
      </c>
      <c r="F563" s="36">
        <v>0</v>
      </c>
      <c r="G563" s="36">
        <v>0</v>
      </c>
      <c r="H563" s="36">
        <v>1</v>
      </c>
      <c r="I563" s="36">
        <v>1</v>
      </c>
      <c r="J563" s="36">
        <v>1</v>
      </c>
      <c r="K563" s="36">
        <v>1</v>
      </c>
      <c r="L563" s="36">
        <v>0</v>
      </c>
      <c r="M563" s="36">
        <v>1</v>
      </c>
      <c r="N563" s="36">
        <v>0</v>
      </c>
      <c r="O563" s="36">
        <v>0</v>
      </c>
      <c r="P563" s="36">
        <v>0</v>
      </c>
    </row>
    <row r="564" spans="1:16" s="43" customFormat="1">
      <c r="A564" s="151" t="s">
        <v>320</v>
      </c>
      <c r="B564" s="151">
        <v>12802</v>
      </c>
      <c r="C564" s="151" t="s">
        <v>3350</v>
      </c>
      <c r="D564" s="151">
        <v>1</v>
      </c>
      <c r="E564" s="36">
        <v>0</v>
      </c>
      <c r="F564" s="36">
        <v>0</v>
      </c>
      <c r="G564" s="36">
        <v>0</v>
      </c>
      <c r="H564" s="36">
        <v>0</v>
      </c>
      <c r="I564" s="36">
        <v>0</v>
      </c>
      <c r="J564" s="36">
        <v>0</v>
      </c>
      <c r="K564" s="36">
        <v>0</v>
      </c>
      <c r="L564" s="36">
        <v>0</v>
      </c>
      <c r="M564" s="36">
        <v>0</v>
      </c>
      <c r="N564" s="36">
        <v>0</v>
      </c>
      <c r="O564" s="36">
        <v>0</v>
      </c>
      <c r="P564" s="36">
        <v>0</v>
      </c>
    </row>
    <row r="565" spans="1:16" s="43" customFormat="1">
      <c r="A565" s="151" t="s">
        <v>320</v>
      </c>
      <c r="B565" s="151">
        <v>12802</v>
      </c>
      <c r="C565" s="151" t="s">
        <v>3351</v>
      </c>
      <c r="D565" s="151">
        <v>2</v>
      </c>
      <c r="E565" s="36">
        <v>0</v>
      </c>
      <c r="F565" s="36">
        <v>0</v>
      </c>
      <c r="G565" s="36">
        <v>0</v>
      </c>
      <c r="H565" s="36">
        <v>0</v>
      </c>
      <c r="I565" s="36">
        <v>1</v>
      </c>
      <c r="J565" s="36">
        <v>0</v>
      </c>
      <c r="K565" s="36">
        <v>0</v>
      </c>
      <c r="L565" s="36">
        <v>0</v>
      </c>
      <c r="M565" s="36">
        <v>0</v>
      </c>
      <c r="N565" s="36">
        <v>0</v>
      </c>
      <c r="O565" s="36">
        <v>0</v>
      </c>
      <c r="P565" s="36">
        <v>0</v>
      </c>
    </row>
    <row r="566" spans="1:16" s="43" customFormat="1">
      <c r="A566" s="151" t="s">
        <v>427</v>
      </c>
      <c r="B566" s="151">
        <v>12807</v>
      </c>
      <c r="C566" s="151" t="s">
        <v>3229</v>
      </c>
      <c r="D566" s="151">
        <v>1</v>
      </c>
      <c r="E566" s="36">
        <v>0</v>
      </c>
      <c r="F566" s="36">
        <v>0</v>
      </c>
      <c r="G566" s="36">
        <v>0</v>
      </c>
      <c r="H566" s="36">
        <v>0</v>
      </c>
      <c r="I566" s="36">
        <v>0</v>
      </c>
      <c r="J566" s="36">
        <v>0</v>
      </c>
      <c r="K566" s="36">
        <v>0</v>
      </c>
      <c r="L566" s="36">
        <v>1</v>
      </c>
      <c r="M566" s="36">
        <v>1</v>
      </c>
      <c r="N566" s="36">
        <v>0</v>
      </c>
      <c r="O566" s="36">
        <v>0</v>
      </c>
      <c r="P566" s="36">
        <v>0</v>
      </c>
    </row>
    <row r="567" spans="1:16" s="43" customFormat="1">
      <c r="A567" s="151" t="s">
        <v>427</v>
      </c>
      <c r="B567" s="151">
        <v>12807</v>
      </c>
      <c r="C567" s="151" t="s">
        <v>3352</v>
      </c>
      <c r="D567" s="151">
        <v>2</v>
      </c>
      <c r="E567" s="36">
        <v>0</v>
      </c>
      <c r="F567" s="36">
        <v>1</v>
      </c>
      <c r="G567" s="36">
        <v>0</v>
      </c>
      <c r="H567" s="36">
        <v>0</v>
      </c>
      <c r="I567" s="36">
        <v>0</v>
      </c>
      <c r="J567" s="36">
        <v>0</v>
      </c>
      <c r="K567" s="36">
        <v>0</v>
      </c>
      <c r="L567" s="36">
        <v>1</v>
      </c>
      <c r="M567" s="36">
        <v>1</v>
      </c>
      <c r="N567" s="36">
        <v>1</v>
      </c>
      <c r="O567" s="36">
        <v>0</v>
      </c>
      <c r="P567" s="36">
        <v>0</v>
      </c>
    </row>
    <row r="568" spans="1:16" s="43" customFormat="1">
      <c r="A568" s="151" t="s">
        <v>324</v>
      </c>
      <c r="B568" s="151">
        <v>12810</v>
      </c>
      <c r="C568" s="151" t="s">
        <v>3229</v>
      </c>
      <c r="D568" s="151">
        <v>1</v>
      </c>
      <c r="E568" s="36">
        <v>0</v>
      </c>
      <c r="F568" s="36">
        <v>0</v>
      </c>
      <c r="G568" s="36">
        <v>0</v>
      </c>
      <c r="H568" s="36">
        <v>0</v>
      </c>
      <c r="I568" s="36">
        <v>0</v>
      </c>
      <c r="J568" s="36">
        <v>0</v>
      </c>
      <c r="K568" s="36">
        <v>0</v>
      </c>
      <c r="L568" s="36">
        <v>0</v>
      </c>
      <c r="M568" s="36">
        <v>0</v>
      </c>
      <c r="N568" s="36">
        <v>0</v>
      </c>
      <c r="O568" s="36">
        <v>0</v>
      </c>
      <c r="P568" s="36">
        <v>0</v>
      </c>
    </row>
    <row r="569" spans="1:16" s="43" customFormat="1">
      <c r="A569" s="151" t="s">
        <v>324</v>
      </c>
      <c r="B569" s="151">
        <v>12810</v>
      </c>
      <c r="C569" s="151" t="s">
        <v>3222</v>
      </c>
      <c r="D569" s="151">
        <v>2</v>
      </c>
      <c r="E569" s="36">
        <v>0</v>
      </c>
      <c r="F569" s="36">
        <v>1</v>
      </c>
      <c r="G569" s="36">
        <v>1</v>
      </c>
      <c r="H569" s="36">
        <v>1</v>
      </c>
      <c r="I569" s="36">
        <v>1</v>
      </c>
      <c r="J569" s="36">
        <v>1</v>
      </c>
      <c r="K569" s="36">
        <v>0</v>
      </c>
      <c r="L569" s="36">
        <v>0</v>
      </c>
      <c r="M569" s="36">
        <v>1</v>
      </c>
      <c r="N569" s="36">
        <v>0</v>
      </c>
      <c r="O569" s="36">
        <v>0</v>
      </c>
      <c r="P569" s="36">
        <v>0</v>
      </c>
    </row>
    <row r="570" spans="1:16" s="43" customFormat="1">
      <c r="A570" s="151" t="s">
        <v>428</v>
      </c>
      <c r="B570" s="151">
        <v>12816</v>
      </c>
      <c r="C570" s="151" t="s">
        <v>3353</v>
      </c>
      <c r="D570" s="151">
        <v>1</v>
      </c>
      <c r="E570" s="36">
        <v>0</v>
      </c>
      <c r="F570" s="151">
        <v>1</v>
      </c>
      <c r="G570" s="36">
        <v>0</v>
      </c>
      <c r="H570" s="36">
        <v>0</v>
      </c>
      <c r="I570" s="36">
        <v>0</v>
      </c>
      <c r="J570" s="36">
        <v>0</v>
      </c>
      <c r="K570" s="36">
        <v>0</v>
      </c>
      <c r="L570" s="36">
        <v>1</v>
      </c>
      <c r="M570" s="36">
        <v>1</v>
      </c>
      <c r="N570" s="36">
        <v>0</v>
      </c>
      <c r="O570" s="36">
        <v>0</v>
      </c>
      <c r="P570" s="36">
        <v>0</v>
      </c>
    </row>
    <row r="571" spans="1:16" s="43" customFormat="1">
      <c r="A571" s="151" t="s">
        <v>428</v>
      </c>
      <c r="B571" s="151">
        <v>12816</v>
      </c>
      <c r="C571" s="151" t="s">
        <v>3354</v>
      </c>
      <c r="D571" s="151">
        <v>2</v>
      </c>
      <c r="E571" s="36">
        <v>0</v>
      </c>
      <c r="F571" s="36">
        <v>1</v>
      </c>
      <c r="G571" s="36">
        <v>0</v>
      </c>
      <c r="H571" s="36">
        <v>0</v>
      </c>
      <c r="I571" s="36">
        <v>0</v>
      </c>
      <c r="J571" s="36">
        <v>0</v>
      </c>
      <c r="K571" s="36">
        <v>0</v>
      </c>
      <c r="L571" s="36">
        <v>1</v>
      </c>
      <c r="M571" s="36">
        <v>1</v>
      </c>
      <c r="N571" s="36">
        <v>0</v>
      </c>
      <c r="O571" s="36">
        <v>0</v>
      </c>
      <c r="P571" s="36">
        <v>0</v>
      </c>
    </row>
    <row r="572" spans="1:16" s="43" customFormat="1">
      <c r="A572" s="151" t="s">
        <v>326</v>
      </c>
      <c r="B572" s="151">
        <v>12822</v>
      </c>
      <c r="C572" s="151" t="s">
        <v>3229</v>
      </c>
      <c r="D572" s="151">
        <v>1</v>
      </c>
      <c r="E572" s="36">
        <v>0</v>
      </c>
      <c r="F572" s="36">
        <v>0</v>
      </c>
      <c r="G572" s="36">
        <v>0</v>
      </c>
      <c r="H572" s="36">
        <v>0</v>
      </c>
      <c r="I572" s="36">
        <v>0</v>
      </c>
      <c r="J572" s="36">
        <v>0</v>
      </c>
      <c r="K572" s="36">
        <v>0</v>
      </c>
      <c r="L572" s="36">
        <v>0</v>
      </c>
      <c r="M572" s="36">
        <v>0</v>
      </c>
      <c r="N572" s="36">
        <v>0</v>
      </c>
      <c r="O572" s="36">
        <v>0</v>
      </c>
      <c r="P572" s="36">
        <v>0</v>
      </c>
    </row>
    <row r="573" spans="1:16" s="43" customFormat="1">
      <c r="A573" s="151" t="s">
        <v>326</v>
      </c>
      <c r="B573" s="151">
        <v>12822</v>
      </c>
      <c r="C573" s="151" t="s">
        <v>3222</v>
      </c>
      <c r="D573" s="151">
        <v>2</v>
      </c>
      <c r="E573" s="36">
        <v>0</v>
      </c>
      <c r="F573" s="36">
        <v>1</v>
      </c>
      <c r="G573" s="36">
        <v>0</v>
      </c>
      <c r="H573" s="36">
        <v>0</v>
      </c>
      <c r="I573" s="36">
        <v>0</v>
      </c>
      <c r="J573" s="36">
        <v>0</v>
      </c>
      <c r="K573" s="36">
        <v>1</v>
      </c>
      <c r="L573" s="36">
        <v>1</v>
      </c>
      <c r="M573" s="36">
        <v>1</v>
      </c>
      <c r="N573" s="36">
        <v>1</v>
      </c>
      <c r="O573" s="36">
        <v>0</v>
      </c>
      <c r="P573" s="36">
        <v>0</v>
      </c>
    </row>
    <row r="574" spans="1:16" s="43" customFormat="1">
      <c r="A574" s="151" t="s">
        <v>429</v>
      </c>
      <c r="B574" s="151">
        <v>12840</v>
      </c>
      <c r="C574" s="151" t="s">
        <v>3229</v>
      </c>
      <c r="D574" s="151">
        <v>1</v>
      </c>
      <c r="E574" s="36">
        <v>0</v>
      </c>
      <c r="F574" s="36">
        <v>0</v>
      </c>
      <c r="G574" s="36">
        <v>0</v>
      </c>
      <c r="H574" s="36">
        <v>0</v>
      </c>
      <c r="I574" s="36">
        <v>0</v>
      </c>
      <c r="J574" s="36">
        <v>0</v>
      </c>
      <c r="K574" s="36">
        <v>0</v>
      </c>
      <c r="L574" s="36">
        <v>0</v>
      </c>
      <c r="M574" s="36">
        <v>1</v>
      </c>
      <c r="N574" s="36">
        <v>0</v>
      </c>
      <c r="O574" s="36">
        <v>0</v>
      </c>
      <c r="P574" s="36">
        <v>0</v>
      </c>
    </row>
    <row r="575" spans="1:16" s="43" customFormat="1">
      <c r="A575" s="151" t="s">
        <v>429</v>
      </c>
      <c r="B575" s="151">
        <v>12840</v>
      </c>
      <c r="C575" s="151" t="s">
        <v>3355</v>
      </c>
      <c r="D575" s="151">
        <v>2</v>
      </c>
      <c r="E575" s="36">
        <v>0</v>
      </c>
      <c r="F575" s="36">
        <v>0</v>
      </c>
      <c r="G575" s="36">
        <v>0</v>
      </c>
      <c r="H575" s="36">
        <v>0</v>
      </c>
      <c r="I575" s="36">
        <v>0</v>
      </c>
      <c r="J575" s="36">
        <v>1</v>
      </c>
      <c r="K575" s="36">
        <v>1</v>
      </c>
      <c r="L575" s="36">
        <v>0</v>
      </c>
      <c r="M575" s="36">
        <v>1</v>
      </c>
      <c r="N575" s="36">
        <v>0</v>
      </c>
      <c r="O575" s="36">
        <v>0</v>
      </c>
      <c r="P575" s="36">
        <v>1</v>
      </c>
    </row>
    <row r="576" spans="1:16" s="43" customFormat="1">
      <c r="A576" s="151" t="s">
        <v>429</v>
      </c>
      <c r="B576" s="151">
        <v>12840</v>
      </c>
      <c r="C576" s="151" t="s">
        <v>3356</v>
      </c>
      <c r="D576" s="151">
        <v>3</v>
      </c>
      <c r="E576" s="36">
        <v>0</v>
      </c>
      <c r="F576" s="36">
        <v>0</v>
      </c>
      <c r="G576" s="36">
        <v>0</v>
      </c>
      <c r="H576" s="36">
        <v>0</v>
      </c>
      <c r="I576" s="36">
        <v>0</v>
      </c>
      <c r="J576" s="36">
        <v>1</v>
      </c>
      <c r="K576" s="36">
        <v>1</v>
      </c>
      <c r="L576" s="36">
        <v>0</v>
      </c>
      <c r="M576" s="36">
        <v>1</v>
      </c>
      <c r="N576" s="36">
        <v>0</v>
      </c>
      <c r="O576" s="36">
        <v>0</v>
      </c>
      <c r="P576" s="36">
        <v>1</v>
      </c>
    </row>
    <row r="577" spans="1:16" s="43" customFormat="1">
      <c r="A577" s="151" t="s">
        <v>430</v>
      </c>
      <c r="B577" s="151">
        <v>12889</v>
      </c>
      <c r="C577" s="151" t="s">
        <v>3229</v>
      </c>
      <c r="D577" s="151">
        <v>1</v>
      </c>
      <c r="E577" s="36">
        <v>0</v>
      </c>
      <c r="F577" s="36">
        <v>0</v>
      </c>
      <c r="G577" s="36">
        <v>0</v>
      </c>
      <c r="H577" s="36">
        <v>0</v>
      </c>
      <c r="I577" s="36">
        <v>0</v>
      </c>
      <c r="J577" s="36">
        <v>0</v>
      </c>
      <c r="K577" s="36">
        <v>1</v>
      </c>
      <c r="L577" s="36">
        <v>0</v>
      </c>
      <c r="M577" s="36">
        <v>0</v>
      </c>
      <c r="N577" s="36">
        <v>0</v>
      </c>
      <c r="O577" s="36">
        <v>0</v>
      </c>
      <c r="P577" s="36">
        <v>0</v>
      </c>
    </row>
    <row r="578" spans="1:16" s="43" customFormat="1">
      <c r="A578" s="151" t="s">
        <v>430</v>
      </c>
      <c r="B578" s="151">
        <v>12889</v>
      </c>
      <c r="C578" s="151" t="s">
        <v>3222</v>
      </c>
      <c r="D578" s="151">
        <v>2</v>
      </c>
      <c r="E578" s="36">
        <v>0</v>
      </c>
      <c r="F578" s="36">
        <v>1</v>
      </c>
      <c r="G578" s="36">
        <v>0</v>
      </c>
      <c r="H578" s="36">
        <v>0</v>
      </c>
      <c r="I578" s="36">
        <v>0</v>
      </c>
      <c r="J578" s="36">
        <v>0</v>
      </c>
      <c r="K578" s="36">
        <v>1</v>
      </c>
      <c r="L578" s="36">
        <v>1</v>
      </c>
      <c r="M578" s="36">
        <v>1</v>
      </c>
      <c r="N578" s="36">
        <v>0</v>
      </c>
      <c r="O578" s="36">
        <v>0</v>
      </c>
      <c r="P578" s="36">
        <v>0</v>
      </c>
    </row>
    <row r="579" spans="1:16" s="43" customFormat="1">
      <c r="A579" s="43" t="s">
        <v>431</v>
      </c>
      <c r="B579" s="35">
        <v>120041</v>
      </c>
      <c r="C579" s="43" t="s">
        <v>3357</v>
      </c>
      <c r="D579" s="36">
        <v>1</v>
      </c>
      <c r="E579" s="36">
        <v>0</v>
      </c>
      <c r="F579" s="36">
        <v>0</v>
      </c>
      <c r="G579" s="36">
        <v>0</v>
      </c>
      <c r="H579" s="36">
        <v>0</v>
      </c>
      <c r="I579" s="36">
        <v>0</v>
      </c>
      <c r="J579" s="36">
        <v>0</v>
      </c>
      <c r="K579" s="36">
        <v>0</v>
      </c>
      <c r="L579" s="36">
        <v>0</v>
      </c>
      <c r="M579" s="36">
        <v>0</v>
      </c>
      <c r="N579" s="36">
        <v>0</v>
      </c>
      <c r="O579" s="36">
        <v>0</v>
      </c>
      <c r="P579" s="36">
        <v>0</v>
      </c>
    </row>
    <row r="580" spans="1:16" s="43" customFormat="1">
      <c r="A580" s="43" t="s">
        <v>431</v>
      </c>
      <c r="B580" s="35">
        <v>120041</v>
      </c>
      <c r="C580" s="43" t="s">
        <v>3358</v>
      </c>
      <c r="D580" s="36">
        <v>2</v>
      </c>
      <c r="E580" s="36">
        <v>0</v>
      </c>
      <c r="F580" s="36">
        <v>1</v>
      </c>
      <c r="G580" s="36">
        <v>0</v>
      </c>
      <c r="H580" s="36">
        <v>0</v>
      </c>
      <c r="I580" s="36">
        <v>0</v>
      </c>
      <c r="J580" s="36">
        <v>0</v>
      </c>
      <c r="K580" s="36">
        <v>0</v>
      </c>
      <c r="L580" s="36">
        <v>0</v>
      </c>
      <c r="M580" s="36">
        <v>0</v>
      </c>
      <c r="N580" s="36">
        <v>0</v>
      </c>
      <c r="O580" s="36">
        <v>0</v>
      </c>
      <c r="P580" s="36">
        <v>0</v>
      </c>
    </row>
    <row r="581" spans="1:16" s="43" customFormat="1">
      <c r="A581" s="43" t="s">
        <v>431</v>
      </c>
      <c r="B581" s="35">
        <v>120042</v>
      </c>
      <c r="C581" s="43" t="s">
        <v>3359</v>
      </c>
      <c r="D581" s="36">
        <v>1</v>
      </c>
      <c r="E581" s="36">
        <v>0</v>
      </c>
      <c r="F581" s="36">
        <v>1</v>
      </c>
      <c r="G581" s="36">
        <v>0</v>
      </c>
      <c r="H581" s="36">
        <v>0</v>
      </c>
      <c r="I581" s="36">
        <v>0</v>
      </c>
      <c r="J581" s="36">
        <v>0</v>
      </c>
      <c r="K581" s="36">
        <v>0</v>
      </c>
      <c r="L581" s="36">
        <v>0</v>
      </c>
      <c r="M581" s="36">
        <v>0</v>
      </c>
      <c r="N581" s="36">
        <v>0</v>
      </c>
      <c r="O581" s="36">
        <v>0</v>
      </c>
      <c r="P581" s="36">
        <v>0</v>
      </c>
    </row>
    <row r="582" spans="1:16" s="43" customFormat="1">
      <c r="A582" s="43" t="s">
        <v>431</v>
      </c>
      <c r="B582" s="35">
        <v>120042</v>
      </c>
      <c r="C582" s="43" t="s">
        <v>3360</v>
      </c>
      <c r="D582" s="36">
        <v>2</v>
      </c>
      <c r="E582" s="36">
        <v>0</v>
      </c>
      <c r="F582" s="36">
        <v>1</v>
      </c>
      <c r="G582" s="36">
        <v>0</v>
      </c>
      <c r="H582" s="36">
        <v>0</v>
      </c>
      <c r="I582" s="36">
        <v>0</v>
      </c>
      <c r="J582" s="36">
        <v>0</v>
      </c>
      <c r="K582" s="36">
        <v>1</v>
      </c>
      <c r="L582" s="36">
        <v>0</v>
      </c>
      <c r="M582" s="36">
        <v>1</v>
      </c>
      <c r="N582" s="36">
        <v>0</v>
      </c>
      <c r="O582" s="36">
        <v>0</v>
      </c>
      <c r="P582" s="36">
        <v>0</v>
      </c>
    </row>
    <row r="583" spans="1:16" s="43" customFormat="1">
      <c r="A583" s="52" t="s">
        <v>2024</v>
      </c>
      <c r="B583" s="52">
        <v>6525</v>
      </c>
      <c r="C583" s="53" t="s">
        <v>3245</v>
      </c>
      <c r="D583" s="53">
        <v>1</v>
      </c>
      <c r="E583" s="52">
        <v>0</v>
      </c>
      <c r="F583" s="52">
        <v>0</v>
      </c>
      <c r="G583" s="52">
        <v>0</v>
      </c>
      <c r="H583" s="52">
        <v>0</v>
      </c>
      <c r="I583" s="154">
        <v>1</v>
      </c>
      <c r="J583" s="52">
        <v>0</v>
      </c>
      <c r="K583" s="52">
        <v>0</v>
      </c>
      <c r="L583" s="52">
        <v>0</v>
      </c>
      <c r="M583" s="52">
        <v>0</v>
      </c>
      <c r="N583" s="52">
        <v>0</v>
      </c>
      <c r="O583" s="52">
        <v>0</v>
      </c>
      <c r="P583" s="52">
        <v>0</v>
      </c>
    </row>
    <row r="584" spans="1:16" s="43" customFormat="1">
      <c r="A584" s="52" t="s">
        <v>2024</v>
      </c>
      <c r="B584" s="52">
        <v>6525</v>
      </c>
      <c r="C584" s="53" t="s">
        <v>3509</v>
      </c>
      <c r="D584" s="53">
        <v>2</v>
      </c>
      <c r="E584" s="52">
        <v>0</v>
      </c>
      <c r="F584" s="52">
        <v>1</v>
      </c>
      <c r="G584" s="52">
        <v>1</v>
      </c>
      <c r="H584" s="52">
        <v>0</v>
      </c>
      <c r="I584" s="154">
        <v>1</v>
      </c>
      <c r="J584" s="52">
        <v>0</v>
      </c>
      <c r="K584" s="52">
        <v>0</v>
      </c>
      <c r="L584" s="52">
        <v>1</v>
      </c>
      <c r="M584" s="52">
        <v>1</v>
      </c>
      <c r="N584" s="52">
        <v>0</v>
      </c>
      <c r="O584" s="52">
        <v>0</v>
      </c>
      <c r="P584" s="52">
        <v>0</v>
      </c>
    </row>
    <row r="585" spans="1:16" s="43" customFormat="1">
      <c r="A585"/>
      <c r="B585"/>
      <c r="C585"/>
      <c r="D585"/>
      <c r="E585"/>
      <c r="F585"/>
      <c r="G585"/>
      <c r="H585"/>
      <c r="I585"/>
      <c r="J585"/>
      <c r="K585"/>
      <c r="L585"/>
      <c r="M585"/>
      <c r="N585"/>
      <c r="O585"/>
      <c r="P585"/>
    </row>
  </sheetData>
  <sortState xmlns:xlrd2="http://schemas.microsoft.com/office/spreadsheetml/2017/richdata2" ref="A2:XEX591">
    <sortCondition ref="B2:B591"/>
    <sortCondition ref="D2:D591"/>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J242"/>
  <sheetViews>
    <sheetView workbookViewId="0">
      <pane xSplit="5" ySplit="1" topLeftCell="F31" activePane="bottomRight" state="frozen"/>
      <selection pane="topRight" activeCell="F1" sqref="F1"/>
      <selection pane="bottomLeft" activeCell="A2" sqref="A2"/>
      <selection pane="bottomRight" activeCell="C2" sqref="C2"/>
    </sheetView>
  </sheetViews>
  <sheetFormatPr baseColWidth="10" defaultColWidth="12.6640625" defaultRowHeight="13"/>
  <cols>
    <col min="1" max="1" width="20" style="34" customWidth="1"/>
    <col min="2" max="4" width="8.33203125" style="22" customWidth="1"/>
    <col min="5" max="5" width="8.33203125" style="26" customWidth="1"/>
    <col min="6" max="8" width="12.83203125" style="26" customWidth="1"/>
    <col min="9" max="9" width="16.83203125" style="26" customWidth="1"/>
    <col min="10" max="10" width="13.5" style="22" customWidth="1"/>
    <col min="11" max="16" width="12.83203125" style="26" customWidth="1"/>
    <col min="17" max="20" width="12.1640625" style="26" bestFit="1" customWidth="1"/>
    <col min="21" max="21" width="11.83203125" style="26" customWidth="1"/>
    <col min="22" max="22" width="11.6640625" style="26" customWidth="1"/>
    <col min="23" max="23" width="12.83203125" style="26" customWidth="1"/>
    <col min="24" max="24" width="12.5" style="26" customWidth="1"/>
    <col min="25" max="44" width="15.33203125" style="33" customWidth="1"/>
    <col min="45" max="50" width="15.33203125" style="33" hidden="1" customWidth="1"/>
    <col min="51" max="54" width="11.1640625" style="33" customWidth="1"/>
    <col min="55" max="106" width="15.33203125" style="33" customWidth="1"/>
    <col min="107" max="107" width="17.6640625" style="33" customWidth="1"/>
    <col min="108" max="108" width="19.6640625" style="29" customWidth="1"/>
    <col min="109" max="110" width="12.6640625" style="22"/>
    <col min="111" max="111" width="12.6640625" style="26"/>
    <col min="112" max="112" width="12.6640625" style="27"/>
    <col min="113" max="113" width="12.6640625" style="22"/>
    <col min="114" max="114" width="12.6640625" style="26"/>
    <col min="115" max="16384" width="12.6640625" style="22"/>
  </cols>
  <sheetData>
    <row r="1" spans="1:114" ht="98">
      <c r="A1" s="1" t="s">
        <v>3548</v>
      </c>
      <c r="B1" s="4" t="s">
        <v>0</v>
      </c>
      <c r="C1" s="4" t="s">
        <v>3594</v>
      </c>
      <c r="D1" s="4"/>
      <c r="E1" s="4" t="s">
        <v>3549</v>
      </c>
      <c r="F1" s="4" t="s">
        <v>3590</v>
      </c>
      <c r="G1" s="221" t="s">
        <v>3597</v>
      </c>
      <c r="H1" s="221" t="s">
        <v>3598</v>
      </c>
      <c r="I1" s="3" t="s">
        <v>1</v>
      </c>
      <c r="J1" s="2" t="s">
        <v>3550</v>
      </c>
      <c r="K1" s="206" t="s">
        <v>3526</v>
      </c>
      <c r="L1" s="206" t="s">
        <v>3510</v>
      </c>
      <c r="M1" s="206" t="s">
        <v>3511</v>
      </c>
      <c r="N1" s="206" t="s">
        <v>3512</v>
      </c>
      <c r="O1" s="206" t="s">
        <v>3513</v>
      </c>
      <c r="P1" s="206" t="s">
        <v>3551</v>
      </c>
      <c r="Q1" s="5" t="s">
        <v>2</v>
      </c>
      <c r="R1" s="6" t="s">
        <v>3</v>
      </c>
      <c r="S1" s="7" t="s">
        <v>4</v>
      </c>
      <c r="T1" s="159" t="s">
        <v>5</v>
      </c>
      <c r="U1" s="5" t="s">
        <v>6</v>
      </c>
      <c r="V1" s="6" t="s">
        <v>7</v>
      </c>
      <c r="W1" s="7" t="s">
        <v>8</v>
      </c>
      <c r="X1" s="159" t="s">
        <v>9</v>
      </c>
      <c r="Y1" s="8" t="s">
        <v>3552</v>
      </c>
      <c r="Z1" s="8" t="s">
        <v>3553</v>
      </c>
      <c r="AA1" s="9" t="s">
        <v>3554</v>
      </c>
      <c r="AB1" s="8" t="s">
        <v>3555</v>
      </c>
      <c r="AC1" s="9" t="s">
        <v>3556</v>
      </c>
      <c r="AD1" s="10" t="s">
        <v>3557</v>
      </c>
      <c r="AE1" s="10" t="s">
        <v>3558</v>
      </c>
      <c r="AF1" s="10" t="s">
        <v>3559</v>
      </c>
      <c r="AG1" s="10" t="s">
        <v>3560</v>
      </c>
      <c r="AH1" s="16" t="s">
        <v>3561</v>
      </c>
      <c r="AI1" s="11" t="s">
        <v>3562</v>
      </c>
      <c r="AJ1" s="11" t="s">
        <v>3563</v>
      </c>
      <c r="AK1" s="12" t="s">
        <v>3564</v>
      </c>
      <c r="AL1" s="11" t="s">
        <v>3565</v>
      </c>
      <c r="AM1" s="12" t="s">
        <v>3566</v>
      </c>
      <c r="AN1" s="13" t="s">
        <v>3567</v>
      </c>
      <c r="AO1" s="13" t="s">
        <v>3568</v>
      </c>
      <c r="AP1" s="14" t="s">
        <v>3569</v>
      </c>
      <c r="AQ1" s="14" t="s">
        <v>3570</v>
      </c>
      <c r="AR1" s="14" t="s">
        <v>3571</v>
      </c>
      <c r="AS1" s="15" t="s">
        <v>14</v>
      </c>
      <c r="AT1" s="15" t="s">
        <v>15</v>
      </c>
      <c r="AU1" s="15" t="s">
        <v>16</v>
      </c>
      <c r="AV1" s="15" t="s">
        <v>15</v>
      </c>
      <c r="AW1" s="15" t="s">
        <v>17</v>
      </c>
      <c r="AX1" s="15" t="s">
        <v>15</v>
      </c>
      <c r="AY1" s="8" t="s">
        <v>18</v>
      </c>
      <c r="AZ1" s="10" t="s">
        <v>19</v>
      </c>
      <c r="BA1" s="11" t="s">
        <v>20</v>
      </c>
      <c r="BB1" s="13" t="s">
        <v>21</v>
      </c>
      <c r="BC1" s="8" t="s">
        <v>3572</v>
      </c>
      <c r="BD1" s="8" t="s">
        <v>3573</v>
      </c>
      <c r="BE1" s="8" t="s">
        <v>3574</v>
      </c>
      <c r="BF1" s="8" t="s">
        <v>3595</v>
      </c>
      <c r="BG1" s="8" t="s">
        <v>3596</v>
      </c>
      <c r="BH1" s="8" t="s">
        <v>3575</v>
      </c>
      <c r="BI1" s="9" t="s">
        <v>3576</v>
      </c>
      <c r="BJ1" s="8" t="s">
        <v>23</v>
      </c>
      <c r="BK1" s="8" t="s">
        <v>24</v>
      </c>
      <c r="BL1" s="8" t="s">
        <v>25</v>
      </c>
      <c r="BM1" s="8" t="s">
        <v>26</v>
      </c>
      <c r="BN1" s="8" t="s">
        <v>27</v>
      </c>
      <c r="BO1" s="8" t="s">
        <v>28</v>
      </c>
      <c r="BP1" s="10" t="s">
        <v>3577</v>
      </c>
      <c r="BQ1" s="10" t="s">
        <v>3578</v>
      </c>
      <c r="BR1" s="10" t="s">
        <v>3579</v>
      </c>
      <c r="BS1" s="10" t="s">
        <v>3595</v>
      </c>
      <c r="BT1" s="10" t="s">
        <v>3596</v>
      </c>
      <c r="BU1" s="16" t="s">
        <v>3580</v>
      </c>
      <c r="BV1" s="16" t="s">
        <v>3581</v>
      </c>
      <c r="BW1" s="10" t="s">
        <v>30</v>
      </c>
      <c r="BX1" s="10" t="s">
        <v>31</v>
      </c>
      <c r="BY1" s="16" t="s">
        <v>32</v>
      </c>
      <c r="BZ1" s="10" t="s">
        <v>33</v>
      </c>
      <c r="CA1" s="16" t="s">
        <v>34</v>
      </c>
      <c r="CB1" s="10" t="s">
        <v>35</v>
      </c>
      <c r="CC1" s="11" t="s">
        <v>3592</v>
      </c>
      <c r="CD1" s="11" t="s">
        <v>3582</v>
      </c>
      <c r="CE1" s="12" t="s">
        <v>3583</v>
      </c>
      <c r="CF1" s="12" t="s">
        <v>3595</v>
      </c>
      <c r="CG1" s="12" t="s">
        <v>3596</v>
      </c>
      <c r="CH1" s="12" t="s">
        <v>3584</v>
      </c>
      <c r="CI1" s="12" t="s">
        <v>3585</v>
      </c>
      <c r="CJ1" s="11" t="s">
        <v>37</v>
      </c>
      <c r="CK1" s="12" t="s">
        <v>38</v>
      </c>
      <c r="CL1" s="12" t="s">
        <v>39</v>
      </c>
      <c r="CM1" s="11" t="s">
        <v>40</v>
      </c>
      <c r="CN1" s="11" t="s">
        <v>41</v>
      </c>
      <c r="CO1" s="11" t="s">
        <v>42</v>
      </c>
      <c r="CP1" s="13" t="s">
        <v>3593</v>
      </c>
      <c r="CQ1" s="13" t="s">
        <v>3586</v>
      </c>
      <c r="CR1" s="14" t="s">
        <v>3587</v>
      </c>
      <c r="CS1" s="14" t="s">
        <v>3595</v>
      </c>
      <c r="CT1" s="14" t="s">
        <v>3596</v>
      </c>
      <c r="CU1" s="14" t="s">
        <v>3588</v>
      </c>
      <c r="CV1" s="14" t="s">
        <v>3589</v>
      </c>
      <c r="CW1" s="13" t="s">
        <v>44</v>
      </c>
      <c r="CX1" s="14" t="s">
        <v>45</v>
      </c>
      <c r="CY1" s="14" t="s">
        <v>46</v>
      </c>
      <c r="CZ1" s="14" t="s">
        <v>47</v>
      </c>
      <c r="DA1" s="14" t="s">
        <v>48</v>
      </c>
      <c r="DB1" s="13" t="s">
        <v>49</v>
      </c>
      <c r="DC1" s="2" t="s">
        <v>50</v>
      </c>
      <c r="DD1" s="165" t="s">
        <v>51</v>
      </c>
      <c r="DE1" s="17" t="s">
        <v>52</v>
      </c>
      <c r="DF1" s="17" t="s">
        <v>53</v>
      </c>
      <c r="DG1" s="3" t="s">
        <v>54</v>
      </c>
      <c r="DH1" s="18" t="s">
        <v>53</v>
      </c>
      <c r="DI1" s="17" t="s">
        <v>55</v>
      </c>
      <c r="DJ1" s="3" t="s">
        <v>56</v>
      </c>
    </row>
    <row r="2" spans="1:114">
      <c r="A2" s="49" t="s">
        <v>395</v>
      </c>
      <c r="B2" s="43">
        <v>12021</v>
      </c>
      <c r="C2" s="34">
        <v>2</v>
      </c>
      <c r="D2" s="43">
        <v>1</v>
      </c>
      <c r="E2" s="48" t="s">
        <v>139</v>
      </c>
      <c r="F2" s="26" t="s">
        <v>59</v>
      </c>
      <c r="G2" s="48">
        <f t="shared" ref="G2:G65" si="0">SUM(AY2:BB2)</f>
        <v>46</v>
      </c>
      <c r="H2" s="26" t="s">
        <v>59</v>
      </c>
      <c r="I2" s="26" t="s">
        <v>59</v>
      </c>
      <c r="J2" s="48" t="s">
        <v>59</v>
      </c>
      <c r="K2" s="26" t="s">
        <v>59</v>
      </c>
      <c r="L2" s="26" t="s">
        <v>59</v>
      </c>
      <c r="M2" s="26" t="s">
        <v>59</v>
      </c>
      <c r="N2" s="26" t="s">
        <v>59</v>
      </c>
      <c r="O2" s="26" t="s">
        <v>59</v>
      </c>
      <c r="P2" s="26" t="s">
        <v>59</v>
      </c>
      <c r="Q2" s="48" t="s">
        <v>59</v>
      </c>
      <c r="R2" s="48" t="s">
        <v>59</v>
      </c>
      <c r="S2" s="48" t="s">
        <v>59</v>
      </c>
      <c r="T2" s="48" t="s">
        <v>59</v>
      </c>
      <c r="U2" s="48">
        <v>23</v>
      </c>
      <c r="V2" s="48">
        <v>23</v>
      </c>
      <c r="W2" s="48" t="s">
        <v>59</v>
      </c>
      <c r="X2" s="48" t="s">
        <v>59</v>
      </c>
      <c r="Y2" s="48">
        <v>8.1</v>
      </c>
      <c r="Z2" s="48">
        <v>0.97</v>
      </c>
      <c r="AA2" s="48" t="s">
        <v>61</v>
      </c>
      <c r="AB2" s="48" t="s">
        <v>61</v>
      </c>
      <c r="AC2" s="48" t="s">
        <v>61</v>
      </c>
      <c r="AD2" s="48">
        <v>8.1999999999999993</v>
      </c>
      <c r="AE2" s="48">
        <v>1.65</v>
      </c>
      <c r="AF2" s="48" t="s">
        <v>61</v>
      </c>
      <c r="AG2" s="48" t="s">
        <v>61</v>
      </c>
      <c r="AH2" s="48" t="s">
        <v>61</v>
      </c>
      <c r="AI2" s="48" t="s">
        <v>59</v>
      </c>
      <c r="AJ2" s="48" t="s">
        <v>59</v>
      </c>
      <c r="AK2" s="48" t="s">
        <v>59</v>
      </c>
      <c r="AL2" s="48" t="s">
        <v>59</v>
      </c>
      <c r="AM2" s="48" t="s">
        <v>59</v>
      </c>
      <c r="AN2" s="48" t="s">
        <v>59</v>
      </c>
      <c r="AO2" s="48" t="s">
        <v>59</v>
      </c>
      <c r="AP2" s="48" t="s">
        <v>59</v>
      </c>
      <c r="AQ2" s="48" t="s">
        <v>59</v>
      </c>
      <c r="AR2" s="48" t="s">
        <v>59</v>
      </c>
      <c r="AS2" s="48">
        <v>0.251</v>
      </c>
      <c r="AT2" s="48" t="s">
        <v>64</v>
      </c>
      <c r="AU2" s="48" t="s">
        <v>59</v>
      </c>
      <c r="AV2" s="48" t="s">
        <v>59</v>
      </c>
      <c r="AW2" s="48" t="s">
        <v>59</v>
      </c>
      <c r="AX2" s="48" t="s">
        <v>59</v>
      </c>
      <c r="AY2" s="73">
        <v>23</v>
      </c>
      <c r="AZ2" s="73">
        <v>23</v>
      </c>
      <c r="BA2" s="73" t="s">
        <v>59</v>
      </c>
      <c r="BB2" s="73" t="s">
        <v>59</v>
      </c>
      <c r="BC2" s="48">
        <v>7.5</v>
      </c>
      <c r="BD2" s="48">
        <v>0.64</v>
      </c>
      <c r="BE2" s="48" t="s">
        <v>61</v>
      </c>
      <c r="BF2" s="48">
        <v>0</v>
      </c>
      <c r="BG2" s="48">
        <v>1</v>
      </c>
      <c r="BH2" s="48" t="s">
        <v>61</v>
      </c>
      <c r="BI2" s="48" t="s">
        <v>61</v>
      </c>
      <c r="BJ2" s="48" t="s">
        <v>61</v>
      </c>
      <c r="BK2" s="48" t="s">
        <v>61</v>
      </c>
      <c r="BL2" s="48" t="s">
        <v>61</v>
      </c>
      <c r="BM2" s="48" t="s">
        <v>61</v>
      </c>
      <c r="BN2" s="48" t="s">
        <v>61</v>
      </c>
      <c r="BO2" s="48" t="s">
        <v>61</v>
      </c>
      <c r="BP2" s="48">
        <v>6.6</v>
      </c>
      <c r="BQ2" s="48">
        <v>0.59</v>
      </c>
      <c r="BR2" s="48" t="s">
        <v>61</v>
      </c>
      <c r="BS2" s="26">
        <v>0</v>
      </c>
      <c r="BT2" s="26">
        <v>1</v>
      </c>
      <c r="BU2" s="48" t="s">
        <v>61</v>
      </c>
      <c r="BV2" s="48" t="s">
        <v>61</v>
      </c>
      <c r="BW2" s="48" t="s">
        <v>61</v>
      </c>
      <c r="BX2" s="48" t="s">
        <v>61</v>
      </c>
      <c r="BY2" s="48" t="s">
        <v>61</v>
      </c>
      <c r="BZ2" s="48" t="s">
        <v>61</v>
      </c>
      <c r="CA2" s="48" t="s">
        <v>61</v>
      </c>
      <c r="CB2" s="48" t="s">
        <v>61</v>
      </c>
      <c r="CC2" s="48" t="s">
        <v>59</v>
      </c>
      <c r="CD2" s="48" t="s">
        <v>59</v>
      </c>
      <c r="CE2" s="48" t="s">
        <v>59</v>
      </c>
      <c r="CF2" s="48"/>
      <c r="CG2" s="48"/>
      <c r="CH2" s="48" t="s">
        <v>59</v>
      </c>
      <c r="CI2" s="48" t="s">
        <v>59</v>
      </c>
      <c r="CJ2" s="48" t="s">
        <v>59</v>
      </c>
      <c r="CK2" s="48" t="s">
        <v>59</v>
      </c>
      <c r="CL2" s="48" t="s">
        <v>59</v>
      </c>
      <c r="CM2" s="48" t="s">
        <v>59</v>
      </c>
      <c r="CN2" s="48" t="s">
        <v>59</v>
      </c>
      <c r="CO2" s="48" t="s">
        <v>59</v>
      </c>
      <c r="CP2" s="48" t="s">
        <v>59</v>
      </c>
      <c r="CQ2" s="48" t="s">
        <v>59</v>
      </c>
      <c r="CR2" s="48" t="s">
        <v>59</v>
      </c>
      <c r="CS2" s="48"/>
      <c r="CT2" s="48"/>
      <c r="CU2" s="48" t="s">
        <v>59</v>
      </c>
      <c r="CV2" s="48" t="s">
        <v>59</v>
      </c>
      <c r="CW2" s="48" t="s">
        <v>59</v>
      </c>
      <c r="CX2" s="48" t="s">
        <v>59</v>
      </c>
      <c r="CY2" s="48" t="s">
        <v>59</v>
      </c>
      <c r="CZ2" s="48" t="s">
        <v>59</v>
      </c>
      <c r="DA2" s="48" t="s">
        <v>59</v>
      </c>
      <c r="DB2" s="48" t="s">
        <v>59</v>
      </c>
      <c r="DC2" s="48">
        <v>12</v>
      </c>
      <c r="DD2" s="55"/>
      <c r="DE2" s="43"/>
      <c r="DF2" s="43"/>
      <c r="DG2" s="43"/>
      <c r="DH2" s="43"/>
      <c r="DI2" s="43"/>
      <c r="DJ2" s="43"/>
    </row>
    <row r="3" spans="1:114">
      <c r="A3" s="34" t="s">
        <v>203</v>
      </c>
      <c r="B3" s="34">
        <v>5518</v>
      </c>
      <c r="C3" s="34">
        <v>2</v>
      </c>
      <c r="D3" s="43">
        <v>1</v>
      </c>
      <c r="E3" s="26" t="s">
        <v>139</v>
      </c>
      <c r="F3" s="26" t="s">
        <v>59</v>
      </c>
      <c r="G3" s="48">
        <f t="shared" si="0"/>
        <v>60</v>
      </c>
      <c r="H3" s="26" t="s">
        <v>59</v>
      </c>
      <c r="I3" s="26" t="s">
        <v>60</v>
      </c>
      <c r="J3" s="26" t="s">
        <v>59</v>
      </c>
      <c r="K3" s="26" t="s">
        <v>59</v>
      </c>
      <c r="L3" s="26" t="s">
        <v>59</v>
      </c>
      <c r="M3" s="26" t="s">
        <v>59</v>
      </c>
      <c r="N3" s="26" t="s">
        <v>59</v>
      </c>
      <c r="O3" s="26" t="s">
        <v>59</v>
      </c>
      <c r="P3" s="26" t="s">
        <v>59</v>
      </c>
      <c r="Q3" s="26" t="s">
        <v>60</v>
      </c>
      <c r="R3" s="26" t="s">
        <v>60</v>
      </c>
      <c r="S3" s="26" t="s">
        <v>60</v>
      </c>
      <c r="T3" s="26" t="s">
        <v>60</v>
      </c>
      <c r="U3" s="26">
        <v>30</v>
      </c>
      <c r="V3" s="26">
        <v>30</v>
      </c>
      <c r="W3" s="26" t="s">
        <v>60</v>
      </c>
      <c r="X3" s="26" t="s">
        <v>60</v>
      </c>
      <c r="Y3" s="26">
        <v>8.2200000000000006</v>
      </c>
      <c r="Z3" s="26">
        <v>0.72</v>
      </c>
      <c r="AA3" s="26" t="s">
        <v>61</v>
      </c>
      <c r="AB3" s="26" t="s">
        <v>61</v>
      </c>
      <c r="AC3" s="27" t="s">
        <v>61</v>
      </c>
      <c r="AD3" s="26">
        <v>8.31</v>
      </c>
      <c r="AE3" s="26">
        <v>0.65</v>
      </c>
      <c r="AF3" s="26" t="s">
        <v>61</v>
      </c>
      <c r="AG3" s="26" t="s">
        <v>61</v>
      </c>
      <c r="AH3" s="27" t="s">
        <v>61</v>
      </c>
      <c r="AI3" s="26" t="s">
        <v>60</v>
      </c>
      <c r="AJ3" s="26" t="s">
        <v>60</v>
      </c>
      <c r="AK3" s="26" t="s">
        <v>59</v>
      </c>
      <c r="AL3" s="26" t="s">
        <v>59</v>
      </c>
      <c r="AM3" s="26" t="s">
        <v>59</v>
      </c>
      <c r="AN3" s="26" t="s">
        <v>60</v>
      </c>
      <c r="AO3" s="26" t="s">
        <v>60</v>
      </c>
      <c r="AP3" s="26" t="s">
        <v>59</v>
      </c>
      <c r="AQ3" s="26" t="s">
        <v>59</v>
      </c>
      <c r="AR3" s="26" t="s">
        <v>59</v>
      </c>
      <c r="AS3" s="26" t="s">
        <v>61</v>
      </c>
      <c r="AT3" s="26" t="s">
        <v>64</v>
      </c>
      <c r="AU3" s="26" t="s">
        <v>59</v>
      </c>
      <c r="AV3" s="26" t="s">
        <v>59</v>
      </c>
      <c r="AW3" s="26" t="s">
        <v>59</v>
      </c>
      <c r="AX3" s="26" t="s">
        <v>59</v>
      </c>
      <c r="AY3" s="186">
        <v>30</v>
      </c>
      <c r="AZ3" s="186">
        <v>30</v>
      </c>
      <c r="BA3" s="186" t="s">
        <v>60</v>
      </c>
      <c r="BB3" s="186" t="s">
        <v>60</v>
      </c>
      <c r="BC3" s="26">
        <v>8.34</v>
      </c>
      <c r="BD3" s="26">
        <v>0.67</v>
      </c>
      <c r="BE3" s="26" t="s">
        <v>61</v>
      </c>
      <c r="BF3" s="48">
        <v>0</v>
      </c>
      <c r="BG3" s="48">
        <v>1</v>
      </c>
      <c r="BH3" s="26" t="s">
        <v>61</v>
      </c>
      <c r="BI3" s="26" t="s">
        <v>61</v>
      </c>
      <c r="BJ3" s="26">
        <v>0.12</v>
      </c>
      <c r="BK3" s="26">
        <v>0.65</v>
      </c>
      <c r="BL3" s="26" t="s">
        <v>61</v>
      </c>
      <c r="BM3" s="26">
        <v>-0.13</v>
      </c>
      <c r="BN3" s="26">
        <v>0.36</v>
      </c>
      <c r="BO3" s="26">
        <v>0.33300000000000002</v>
      </c>
      <c r="BP3" s="26">
        <v>8.18</v>
      </c>
      <c r="BQ3" s="26">
        <v>0.59</v>
      </c>
      <c r="BR3" s="26" t="s">
        <v>61</v>
      </c>
      <c r="BS3" s="26">
        <v>0</v>
      </c>
      <c r="BT3" s="26">
        <v>1</v>
      </c>
      <c r="BU3" s="26" t="s">
        <v>61</v>
      </c>
      <c r="BV3" s="26" t="s">
        <v>61</v>
      </c>
      <c r="BW3" s="26">
        <v>-0.14000000000000001</v>
      </c>
      <c r="BX3" s="26">
        <v>0.53</v>
      </c>
      <c r="BY3" s="26" t="s">
        <v>61</v>
      </c>
      <c r="BZ3" s="26">
        <v>-0.33</v>
      </c>
      <c r="CA3" s="26">
        <v>0.06</v>
      </c>
      <c r="CB3" s="26">
        <v>0.16600000000000001</v>
      </c>
      <c r="CC3" s="26" t="s">
        <v>60</v>
      </c>
      <c r="CD3" s="26" t="s">
        <v>60</v>
      </c>
      <c r="CE3" s="26" t="s">
        <v>59</v>
      </c>
      <c r="CF3" s="26"/>
      <c r="CG3" s="26"/>
      <c r="CH3" s="26" t="s">
        <v>59</v>
      </c>
      <c r="CI3" s="26" t="s">
        <v>59</v>
      </c>
      <c r="CJ3" s="26" t="s">
        <v>59</v>
      </c>
      <c r="CK3" s="26" t="s">
        <v>59</v>
      </c>
      <c r="CL3" s="26" t="s">
        <v>59</v>
      </c>
      <c r="CM3" s="26" t="s">
        <v>59</v>
      </c>
      <c r="CN3" s="26" t="s">
        <v>59</v>
      </c>
      <c r="CO3" s="26" t="s">
        <v>59</v>
      </c>
      <c r="CP3" s="26" t="s">
        <v>60</v>
      </c>
      <c r="CQ3" s="26" t="s">
        <v>60</v>
      </c>
      <c r="CR3" s="26" t="s">
        <v>59</v>
      </c>
      <c r="CS3" s="26"/>
      <c r="CT3" s="26"/>
      <c r="CU3" s="26" t="s">
        <v>59</v>
      </c>
      <c r="CV3" s="26" t="s">
        <v>59</v>
      </c>
      <c r="CW3" s="26" t="s">
        <v>59</v>
      </c>
      <c r="CX3" s="26" t="s">
        <v>59</v>
      </c>
      <c r="CY3" s="26" t="s">
        <v>59</v>
      </c>
      <c r="CZ3" s="26" t="s">
        <v>59</v>
      </c>
      <c r="DA3" s="26" t="s">
        <v>59</v>
      </c>
      <c r="DB3" s="26" t="s">
        <v>59</v>
      </c>
      <c r="DC3" s="26">
        <v>6</v>
      </c>
    </row>
    <row r="4" spans="1:114" s="25" customFormat="1">
      <c r="A4" s="49" t="s">
        <v>332</v>
      </c>
      <c r="B4" s="43">
        <v>9075</v>
      </c>
      <c r="C4" s="34">
        <v>2</v>
      </c>
      <c r="D4" s="43">
        <v>1</v>
      </c>
      <c r="E4" s="48" t="s">
        <v>139</v>
      </c>
      <c r="F4" s="26" t="s">
        <v>59</v>
      </c>
      <c r="G4" s="48">
        <f t="shared" si="0"/>
        <v>92</v>
      </c>
      <c r="H4" s="26" t="s">
        <v>59</v>
      </c>
      <c r="I4" s="26" t="s">
        <v>59</v>
      </c>
      <c r="J4" s="48" t="s">
        <v>59</v>
      </c>
      <c r="K4" s="26" t="s">
        <v>59</v>
      </c>
      <c r="L4" s="26" t="s">
        <v>59</v>
      </c>
      <c r="M4" s="26" t="s">
        <v>59</v>
      </c>
      <c r="N4" s="26" t="s">
        <v>59</v>
      </c>
      <c r="O4" s="26" t="s">
        <v>59</v>
      </c>
      <c r="P4" s="26" t="s">
        <v>59</v>
      </c>
      <c r="Q4" s="48" t="s">
        <v>59</v>
      </c>
      <c r="R4" s="48" t="s">
        <v>59</v>
      </c>
      <c r="S4" s="48" t="s">
        <v>59</v>
      </c>
      <c r="T4" s="48" t="s">
        <v>59</v>
      </c>
      <c r="U4" s="48">
        <v>45</v>
      </c>
      <c r="V4" s="48">
        <v>47</v>
      </c>
      <c r="W4" s="48" t="s">
        <v>59</v>
      </c>
      <c r="X4" s="48" t="s">
        <v>59</v>
      </c>
      <c r="Y4" s="48">
        <v>9.8000000000000007</v>
      </c>
      <c r="Z4" s="48">
        <v>1.2</v>
      </c>
      <c r="AA4" s="48" t="s">
        <v>61</v>
      </c>
      <c r="AB4" s="48" t="s">
        <v>61</v>
      </c>
      <c r="AC4" s="48" t="s">
        <v>61</v>
      </c>
      <c r="AD4" s="48">
        <v>9.8000000000000007</v>
      </c>
      <c r="AE4" s="48">
        <v>1.3</v>
      </c>
      <c r="AF4" s="48" t="s">
        <v>61</v>
      </c>
      <c r="AG4" s="48" t="s">
        <v>61</v>
      </c>
      <c r="AH4" s="48" t="s">
        <v>61</v>
      </c>
      <c r="AI4" s="48" t="s">
        <v>59</v>
      </c>
      <c r="AJ4" s="48" t="s">
        <v>59</v>
      </c>
      <c r="AK4" s="48" t="s">
        <v>59</v>
      </c>
      <c r="AL4" s="48" t="s">
        <v>59</v>
      </c>
      <c r="AM4" s="48" t="s">
        <v>59</v>
      </c>
      <c r="AN4" s="48" t="s">
        <v>59</v>
      </c>
      <c r="AO4" s="48" t="s">
        <v>59</v>
      </c>
      <c r="AP4" s="48" t="s">
        <v>59</v>
      </c>
      <c r="AQ4" s="48" t="s">
        <v>59</v>
      </c>
      <c r="AR4" s="48" t="s">
        <v>59</v>
      </c>
      <c r="AS4" s="48">
        <v>0.75900000000000001</v>
      </c>
      <c r="AT4" s="48" t="s">
        <v>64</v>
      </c>
      <c r="AU4" s="48" t="s">
        <v>59</v>
      </c>
      <c r="AV4" s="48" t="s">
        <v>59</v>
      </c>
      <c r="AW4" s="48" t="s">
        <v>59</v>
      </c>
      <c r="AX4" s="48" t="s">
        <v>59</v>
      </c>
      <c r="AY4" s="73">
        <v>45</v>
      </c>
      <c r="AZ4" s="73">
        <v>47</v>
      </c>
      <c r="BA4" s="73" t="s">
        <v>59</v>
      </c>
      <c r="BB4" s="73" t="s">
        <v>59</v>
      </c>
      <c r="BC4" s="48">
        <v>7.8</v>
      </c>
      <c r="BD4" s="48">
        <v>0.8</v>
      </c>
      <c r="BE4" s="48" t="s">
        <v>61</v>
      </c>
      <c r="BF4" s="48">
        <v>0</v>
      </c>
      <c r="BG4" s="48">
        <v>1</v>
      </c>
      <c r="BH4" s="48" t="s">
        <v>61</v>
      </c>
      <c r="BI4" s="48" t="s">
        <v>61</v>
      </c>
      <c r="BJ4" s="48" t="s">
        <v>61</v>
      </c>
      <c r="BK4" s="48" t="s">
        <v>61</v>
      </c>
      <c r="BL4" s="48" t="s">
        <v>61</v>
      </c>
      <c r="BM4" s="48" t="s">
        <v>61</v>
      </c>
      <c r="BN4" s="48" t="s">
        <v>61</v>
      </c>
      <c r="BO4" s="48" t="s">
        <v>61</v>
      </c>
      <c r="BP4" s="48">
        <v>7.4</v>
      </c>
      <c r="BQ4" s="48">
        <v>0.7</v>
      </c>
      <c r="BR4" s="48" t="s">
        <v>61</v>
      </c>
      <c r="BS4" s="26">
        <v>0</v>
      </c>
      <c r="BT4" s="26">
        <v>1</v>
      </c>
      <c r="BU4" s="48" t="s">
        <v>61</v>
      </c>
      <c r="BV4" s="48" t="s">
        <v>61</v>
      </c>
      <c r="BW4" s="48" t="s">
        <v>61</v>
      </c>
      <c r="BX4" s="48" t="s">
        <v>61</v>
      </c>
      <c r="BY4" s="48" t="s">
        <v>61</v>
      </c>
      <c r="BZ4" s="48" t="s">
        <v>61</v>
      </c>
      <c r="CA4" s="48" t="s">
        <v>61</v>
      </c>
      <c r="CB4" s="48" t="s">
        <v>61</v>
      </c>
      <c r="CC4" s="48" t="s">
        <v>59</v>
      </c>
      <c r="CD4" s="48" t="s">
        <v>59</v>
      </c>
      <c r="CE4" s="48" t="s">
        <v>59</v>
      </c>
      <c r="CF4" s="48"/>
      <c r="CG4" s="48"/>
      <c r="CH4" s="48" t="s">
        <v>59</v>
      </c>
      <c r="CI4" s="48" t="s">
        <v>59</v>
      </c>
      <c r="CJ4" s="48" t="s">
        <v>59</v>
      </c>
      <c r="CK4" s="48" t="s">
        <v>59</v>
      </c>
      <c r="CL4" s="48" t="s">
        <v>59</v>
      </c>
      <c r="CM4" s="48" t="s">
        <v>59</v>
      </c>
      <c r="CN4" s="48" t="s">
        <v>59</v>
      </c>
      <c r="CO4" s="48" t="s">
        <v>59</v>
      </c>
      <c r="CP4" s="48" t="s">
        <v>59</v>
      </c>
      <c r="CQ4" s="48" t="s">
        <v>59</v>
      </c>
      <c r="CR4" s="48" t="s">
        <v>59</v>
      </c>
      <c r="CS4" s="48"/>
      <c r="CT4" s="48"/>
      <c r="CU4" s="48" t="s">
        <v>59</v>
      </c>
      <c r="CV4" s="48" t="s">
        <v>59</v>
      </c>
      <c r="CW4" s="48" t="s">
        <v>59</v>
      </c>
      <c r="CX4" s="48" t="s">
        <v>59</v>
      </c>
      <c r="CY4" s="48" t="s">
        <v>59</v>
      </c>
      <c r="CZ4" s="48" t="s">
        <v>59</v>
      </c>
      <c r="DA4" s="48" t="s">
        <v>59</v>
      </c>
      <c r="DB4" s="48" t="s">
        <v>59</v>
      </c>
      <c r="DC4" s="48">
        <v>3</v>
      </c>
      <c r="DD4" s="55"/>
      <c r="DE4" s="43"/>
      <c r="DF4" s="43"/>
      <c r="DG4" s="43"/>
      <c r="DH4" s="43"/>
      <c r="DI4" s="43"/>
      <c r="DJ4" s="43"/>
    </row>
    <row r="5" spans="1:114">
      <c r="A5" s="34" t="s">
        <v>147</v>
      </c>
      <c r="B5" s="34">
        <v>390</v>
      </c>
      <c r="C5" s="34">
        <v>2</v>
      </c>
      <c r="D5" s="43">
        <v>1</v>
      </c>
      <c r="E5" s="26" t="s">
        <v>139</v>
      </c>
      <c r="F5" s="26" t="s">
        <v>59</v>
      </c>
      <c r="G5" s="48">
        <f t="shared" si="0"/>
        <v>21</v>
      </c>
      <c r="H5" s="26" t="s">
        <v>59</v>
      </c>
      <c r="I5" s="26" t="s">
        <v>60</v>
      </c>
      <c r="J5" s="26" t="s">
        <v>59</v>
      </c>
      <c r="K5" s="26" t="s">
        <v>59</v>
      </c>
      <c r="L5" s="26" t="s">
        <v>59</v>
      </c>
      <c r="M5" s="26" t="s">
        <v>59</v>
      </c>
      <c r="N5" s="26" t="s">
        <v>59</v>
      </c>
      <c r="O5" s="26" t="s">
        <v>59</v>
      </c>
      <c r="P5" s="26" t="s">
        <v>59</v>
      </c>
      <c r="Q5" s="26" t="s">
        <v>60</v>
      </c>
      <c r="R5" s="26" t="s">
        <v>60</v>
      </c>
      <c r="S5" s="26" t="s">
        <v>60</v>
      </c>
      <c r="T5" s="26" t="s">
        <v>60</v>
      </c>
      <c r="U5" s="26">
        <v>18</v>
      </c>
      <c r="V5" s="26">
        <v>30</v>
      </c>
      <c r="W5" s="26" t="s">
        <v>60</v>
      </c>
      <c r="X5" s="26" t="s">
        <v>60</v>
      </c>
      <c r="Y5" s="26">
        <v>8</v>
      </c>
      <c r="Z5" s="26">
        <v>2.1</v>
      </c>
      <c r="AA5" s="26" t="s">
        <v>61</v>
      </c>
      <c r="AB5" s="26" t="s">
        <v>61</v>
      </c>
      <c r="AC5" s="27" t="s">
        <v>61</v>
      </c>
      <c r="AD5" s="26">
        <v>8.3000000000000007</v>
      </c>
      <c r="AE5" s="26">
        <v>2.2999999999999998</v>
      </c>
      <c r="AF5" s="26" t="s">
        <v>61</v>
      </c>
      <c r="AG5" s="26" t="s">
        <v>61</v>
      </c>
      <c r="AH5" s="27" t="s">
        <v>61</v>
      </c>
      <c r="AI5" s="26" t="s">
        <v>60</v>
      </c>
      <c r="AJ5" s="26" t="s">
        <v>60</v>
      </c>
      <c r="AK5" s="26" t="s">
        <v>59</v>
      </c>
      <c r="AL5" s="26" t="s">
        <v>59</v>
      </c>
      <c r="AM5" s="26" t="s">
        <v>59</v>
      </c>
      <c r="AN5" s="26" t="s">
        <v>60</v>
      </c>
      <c r="AO5" s="26" t="s">
        <v>60</v>
      </c>
      <c r="AP5" s="26" t="s">
        <v>59</v>
      </c>
      <c r="AQ5" s="26" t="s">
        <v>59</v>
      </c>
      <c r="AR5" s="26" t="s">
        <v>59</v>
      </c>
      <c r="AS5" s="26" t="s">
        <v>61</v>
      </c>
      <c r="AT5" s="26" t="s">
        <v>64</v>
      </c>
      <c r="AU5" s="26" t="s">
        <v>59</v>
      </c>
      <c r="AV5" s="26" t="s">
        <v>59</v>
      </c>
      <c r="AW5" s="26" t="s">
        <v>59</v>
      </c>
      <c r="AX5" s="26" t="s">
        <v>59</v>
      </c>
      <c r="AY5" s="186">
        <v>10</v>
      </c>
      <c r="AZ5" s="186">
        <v>11</v>
      </c>
      <c r="BA5" s="186" t="s">
        <v>60</v>
      </c>
      <c r="BB5" s="186" t="s">
        <v>60</v>
      </c>
      <c r="BC5" s="26">
        <v>6.8</v>
      </c>
      <c r="BD5" s="26">
        <v>1.1000000000000001</v>
      </c>
      <c r="BE5" s="26" t="s">
        <v>61</v>
      </c>
      <c r="BF5" s="48">
        <v>0</v>
      </c>
      <c r="BG5" s="48">
        <v>1</v>
      </c>
      <c r="BH5" s="26" t="s">
        <v>61</v>
      </c>
      <c r="BI5" s="26" t="s">
        <v>61</v>
      </c>
      <c r="BJ5" s="26" t="s">
        <v>61</v>
      </c>
      <c r="BK5" s="26" t="s">
        <v>61</v>
      </c>
      <c r="BL5" s="26" t="s">
        <v>61</v>
      </c>
      <c r="BM5" s="26" t="s">
        <v>61</v>
      </c>
      <c r="BN5" s="26" t="s">
        <v>61</v>
      </c>
      <c r="BO5" s="26" t="s">
        <v>61</v>
      </c>
      <c r="BP5" s="26">
        <v>7.1</v>
      </c>
      <c r="BQ5" s="26">
        <v>0.7</v>
      </c>
      <c r="BR5" s="26" t="s">
        <v>61</v>
      </c>
      <c r="BS5" s="26">
        <v>0</v>
      </c>
      <c r="BT5" s="26">
        <v>1</v>
      </c>
      <c r="BU5" s="27" t="s">
        <v>61</v>
      </c>
      <c r="BV5" s="27" t="s">
        <v>61</v>
      </c>
      <c r="BW5" s="26" t="s">
        <v>61</v>
      </c>
      <c r="BX5" s="26" t="s">
        <v>61</v>
      </c>
      <c r="BY5" s="27" t="s">
        <v>61</v>
      </c>
      <c r="BZ5" s="26" t="s">
        <v>61</v>
      </c>
      <c r="CA5" s="27" t="s">
        <v>61</v>
      </c>
      <c r="CB5" s="26" t="s">
        <v>61</v>
      </c>
      <c r="CC5" s="26" t="s">
        <v>60</v>
      </c>
      <c r="CD5" s="26" t="s">
        <v>60</v>
      </c>
      <c r="CE5" s="26" t="s">
        <v>59</v>
      </c>
      <c r="CF5" s="26"/>
      <c r="CG5" s="26"/>
      <c r="CH5" s="26" t="s">
        <v>59</v>
      </c>
      <c r="CI5" s="26" t="s">
        <v>59</v>
      </c>
      <c r="CJ5" s="26" t="s">
        <v>59</v>
      </c>
      <c r="CK5" s="26" t="s">
        <v>59</v>
      </c>
      <c r="CL5" s="26" t="s">
        <v>59</v>
      </c>
      <c r="CM5" s="26" t="s">
        <v>59</v>
      </c>
      <c r="CN5" s="26" t="s">
        <v>59</v>
      </c>
      <c r="CO5" s="26" t="s">
        <v>59</v>
      </c>
      <c r="CP5" s="26" t="s">
        <v>60</v>
      </c>
      <c r="CQ5" s="26" t="s">
        <v>60</v>
      </c>
      <c r="CR5" s="26" t="s">
        <v>59</v>
      </c>
      <c r="CS5" s="26"/>
      <c r="CT5" s="26"/>
      <c r="CU5" s="26" t="s">
        <v>59</v>
      </c>
      <c r="CV5" s="26" t="s">
        <v>59</v>
      </c>
      <c r="CW5" s="26" t="s">
        <v>59</v>
      </c>
      <c r="CX5" s="26" t="s">
        <v>59</v>
      </c>
      <c r="CY5" s="26" t="s">
        <v>59</v>
      </c>
      <c r="CZ5" s="26" t="s">
        <v>59</v>
      </c>
      <c r="DA5" s="26" t="s">
        <v>59</v>
      </c>
      <c r="DB5" s="26" t="s">
        <v>59</v>
      </c>
      <c r="DC5" s="26">
        <v>8</v>
      </c>
    </row>
    <row r="6" spans="1:114">
      <c r="A6" s="34" t="s">
        <v>179</v>
      </c>
      <c r="B6" s="34">
        <v>3864</v>
      </c>
      <c r="C6" s="34">
        <v>2</v>
      </c>
      <c r="D6" s="43">
        <v>1</v>
      </c>
      <c r="E6" s="26" t="s">
        <v>139</v>
      </c>
      <c r="F6" s="26" t="s">
        <v>59</v>
      </c>
      <c r="G6" s="48">
        <f t="shared" si="0"/>
        <v>67</v>
      </c>
      <c r="H6" s="26" t="s">
        <v>59</v>
      </c>
      <c r="I6" s="26" t="s">
        <v>60</v>
      </c>
      <c r="J6" s="26" t="s">
        <v>59</v>
      </c>
      <c r="K6" s="26" t="s">
        <v>59</v>
      </c>
      <c r="L6" s="26" t="s">
        <v>59</v>
      </c>
      <c r="M6" s="26" t="s">
        <v>59</v>
      </c>
      <c r="N6" s="26" t="s">
        <v>59</v>
      </c>
      <c r="O6" s="26" t="s">
        <v>59</v>
      </c>
      <c r="P6" s="26" t="s">
        <v>59</v>
      </c>
      <c r="Q6" s="26" t="s">
        <v>60</v>
      </c>
      <c r="R6" s="26" t="s">
        <v>60</v>
      </c>
      <c r="S6" s="26" t="s">
        <v>60</v>
      </c>
      <c r="T6" s="26" t="s">
        <v>60</v>
      </c>
      <c r="U6" s="186">
        <f>67/2</f>
        <v>33.5</v>
      </c>
      <c r="V6" s="186">
        <f>67/2</f>
        <v>33.5</v>
      </c>
      <c r="W6" s="26" t="s">
        <v>60</v>
      </c>
      <c r="X6" s="26" t="s">
        <v>60</v>
      </c>
      <c r="Y6" s="26">
        <v>10.3</v>
      </c>
      <c r="Z6" s="26">
        <v>2.1</v>
      </c>
      <c r="AA6" s="27" t="s">
        <v>61</v>
      </c>
      <c r="AB6" s="27" t="s">
        <v>61</v>
      </c>
      <c r="AC6" s="27" t="s">
        <v>61</v>
      </c>
      <c r="AD6" s="26">
        <v>10.199999999999999</v>
      </c>
      <c r="AE6" s="26">
        <v>2.8</v>
      </c>
      <c r="AF6" s="27" t="s">
        <v>61</v>
      </c>
      <c r="AG6" s="27" t="s">
        <v>61</v>
      </c>
      <c r="AH6" s="27" t="s">
        <v>61</v>
      </c>
      <c r="AI6" s="26" t="s">
        <v>59</v>
      </c>
      <c r="AJ6" s="26" t="s">
        <v>59</v>
      </c>
      <c r="AK6" s="26" t="s">
        <v>59</v>
      </c>
      <c r="AL6" s="26" t="s">
        <v>59</v>
      </c>
      <c r="AM6" s="26" t="s">
        <v>59</v>
      </c>
      <c r="AN6" s="26" t="s">
        <v>59</v>
      </c>
      <c r="AO6" s="26" t="s">
        <v>59</v>
      </c>
      <c r="AP6" s="26" t="s">
        <v>59</v>
      </c>
      <c r="AQ6" s="26" t="s">
        <v>59</v>
      </c>
      <c r="AR6" s="26" t="s">
        <v>59</v>
      </c>
      <c r="AS6" s="26" t="s">
        <v>61</v>
      </c>
      <c r="AT6" s="26" t="s">
        <v>64</v>
      </c>
      <c r="AU6" s="26" t="s">
        <v>59</v>
      </c>
      <c r="AV6" s="26" t="s">
        <v>59</v>
      </c>
      <c r="AW6" s="26" t="s">
        <v>59</v>
      </c>
      <c r="AX6" s="26" t="s">
        <v>59</v>
      </c>
      <c r="AY6" s="186">
        <f>67/2</f>
        <v>33.5</v>
      </c>
      <c r="AZ6" s="186">
        <f>67/2</f>
        <v>33.5</v>
      </c>
      <c r="BA6" s="186" t="s">
        <v>59</v>
      </c>
      <c r="BB6" s="186" t="s">
        <v>59</v>
      </c>
      <c r="BC6" s="26">
        <v>10.4</v>
      </c>
      <c r="BD6" s="26">
        <v>2.1</v>
      </c>
      <c r="BE6" s="27" t="s">
        <v>61</v>
      </c>
      <c r="BF6" s="48">
        <v>0</v>
      </c>
      <c r="BG6" s="48">
        <v>1</v>
      </c>
      <c r="BH6" s="27" t="s">
        <v>61</v>
      </c>
      <c r="BI6" s="27" t="s">
        <v>61</v>
      </c>
      <c r="BJ6" s="27" t="s">
        <v>61</v>
      </c>
      <c r="BK6" s="27" t="s">
        <v>61</v>
      </c>
      <c r="BL6" s="27" t="s">
        <v>61</v>
      </c>
      <c r="BM6" s="27" t="s">
        <v>61</v>
      </c>
      <c r="BN6" s="27" t="s">
        <v>61</v>
      </c>
      <c r="BO6" s="27" t="s">
        <v>61</v>
      </c>
      <c r="BP6" s="26">
        <v>8.8000000000000007</v>
      </c>
      <c r="BQ6" s="26">
        <v>0.7</v>
      </c>
      <c r="BR6" s="27" t="s">
        <v>61</v>
      </c>
      <c r="BS6" s="26">
        <v>0</v>
      </c>
      <c r="BT6" s="26">
        <v>1</v>
      </c>
      <c r="BU6" s="27" t="s">
        <v>61</v>
      </c>
      <c r="BV6" s="27" t="s">
        <v>61</v>
      </c>
      <c r="BW6" s="27" t="s">
        <v>61</v>
      </c>
      <c r="BX6" s="27" t="s">
        <v>61</v>
      </c>
      <c r="BY6" s="27" t="s">
        <v>61</v>
      </c>
      <c r="BZ6" s="27" t="s">
        <v>61</v>
      </c>
      <c r="CA6" s="27" t="s">
        <v>61</v>
      </c>
      <c r="CB6" s="27" t="s">
        <v>180</v>
      </c>
      <c r="CC6" s="26" t="s">
        <v>59</v>
      </c>
      <c r="CD6" s="26" t="s">
        <v>59</v>
      </c>
      <c r="CE6" s="26" t="s">
        <v>59</v>
      </c>
      <c r="CF6" s="26"/>
      <c r="CG6" s="26"/>
      <c r="CH6" s="26" t="s">
        <v>59</v>
      </c>
      <c r="CI6" s="26" t="s">
        <v>59</v>
      </c>
      <c r="CJ6" s="26" t="s">
        <v>59</v>
      </c>
      <c r="CK6" s="26" t="s">
        <v>59</v>
      </c>
      <c r="CL6" s="26" t="s">
        <v>59</v>
      </c>
      <c r="CM6" s="26" t="s">
        <v>59</v>
      </c>
      <c r="CN6" s="26" t="s">
        <v>59</v>
      </c>
      <c r="CO6" s="26" t="s">
        <v>59</v>
      </c>
      <c r="CP6" s="26" t="s">
        <v>59</v>
      </c>
      <c r="CQ6" s="26" t="s">
        <v>59</v>
      </c>
      <c r="CR6" s="26" t="s">
        <v>59</v>
      </c>
      <c r="CS6" s="26"/>
      <c r="CT6" s="26"/>
      <c r="CU6" s="26" t="s">
        <v>59</v>
      </c>
      <c r="CV6" s="26" t="s">
        <v>59</v>
      </c>
      <c r="CW6" s="26" t="s">
        <v>59</v>
      </c>
      <c r="CX6" s="26" t="s">
        <v>59</v>
      </c>
      <c r="CY6" s="26" t="s">
        <v>59</v>
      </c>
      <c r="CZ6" s="26" t="s">
        <v>59</v>
      </c>
      <c r="DA6" s="26" t="s">
        <v>59</v>
      </c>
      <c r="DB6" s="26" t="s">
        <v>59</v>
      </c>
      <c r="DC6" s="26">
        <v>6</v>
      </c>
    </row>
    <row r="7" spans="1:114">
      <c r="A7" s="49" t="s">
        <v>369</v>
      </c>
      <c r="B7" s="43">
        <v>10349</v>
      </c>
      <c r="C7" s="34">
        <v>2</v>
      </c>
      <c r="D7" s="43">
        <v>1</v>
      </c>
      <c r="E7" s="48" t="s">
        <v>139</v>
      </c>
      <c r="F7" s="26" t="s">
        <v>59</v>
      </c>
      <c r="G7" s="48">
        <f t="shared" si="0"/>
        <v>122</v>
      </c>
      <c r="H7" s="26" t="s">
        <v>59</v>
      </c>
      <c r="I7" s="26" t="s">
        <v>59</v>
      </c>
      <c r="J7" s="48" t="s">
        <v>59</v>
      </c>
      <c r="K7" s="26" t="s">
        <v>59</v>
      </c>
      <c r="L7" s="26" t="s">
        <v>59</v>
      </c>
      <c r="M7" s="26" t="s">
        <v>59</v>
      </c>
      <c r="N7" s="26" t="s">
        <v>59</v>
      </c>
      <c r="O7" s="26" t="s">
        <v>59</v>
      </c>
      <c r="P7" s="26" t="s">
        <v>59</v>
      </c>
      <c r="Q7" s="48" t="s">
        <v>59</v>
      </c>
      <c r="R7" s="48" t="s">
        <v>59</v>
      </c>
      <c r="S7" s="48" t="s">
        <v>59</v>
      </c>
      <c r="T7" s="48" t="s">
        <v>59</v>
      </c>
      <c r="U7" s="48">
        <v>61</v>
      </c>
      <c r="V7" s="48">
        <v>61</v>
      </c>
      <c r="W7" s="48" t="s">
        <v>59</v>
      </c>
      <c r="X7" s="48" t="s">
        <v>59</v>
      </c>
      <c r="Y7" s="48">
        <v>8.141</v>
      </c>
      <c r="Z7" s="223">
        <v>0.98699999999999999</v>
      </c>
      <c r="AA7" s="48" t="s">
        <v>61</v>
      </c>
      <c r="AB7" s="48" t="s">
        <v>61</v>
      </c>
      <c r="AC7" s="48" t="s">
        <v>61</v>
      </c>
      <c r="AD7" s="48">
        <v>8.0079999999999991</v>
      </c>
      <c r="AE7" s="223">
        <v>0.97199999999999998</v>
      </c>
      <c r="AF7" s="48" t="s">
        <v>61</v>
      </c>
      <c r="AG7" s="48" t="s">
        <v>61</v>
      </c>
      <c r="AH7" s="48" t="s">
        <v>61</v>
      </c>
      <c r="AI7" s="48" t="s">
        <v>59</v>
      </c>
      <c r="AJ7" s="48" t="s">
        <v>59</v>
      </c>
      <c r="AK7" s="48" t="s">
        <v>59</v>
      </c>
      <c r="AL7" s="48" t="s">
        <v>59</v>
      </c>
      <c r="AM7" s="48" t="s">
        <v>59</v>
      </c>
      <c r="AN7" s="48" t="s">
        <v>59</v>
      </c>
      <c r="AO7" s="48" t="s">
        <v>59</v>
      </c>
      <c r="AP7" s="48" t="s">
        <v>59</v>
      </c>
      <c r="AQ7" s="48" t="s">
        <v>59</v>
      </c>
      <c r="AR7" s="48" t="s">
        <v>59</v>
      </c>
      <c r="AS7" s="48">
        <v>0.45600000000000002</v>
      </c>
      <c r="AT7" s="48" t="s">
        <v>64</v>
      </c>
      <c r="AU7" s="48" t="s">
        <v>59</v>
      </c>
      <c r="AV7" s="48" t="s">
        <v>59</v>
      </c>
      <c r="AW7" s="48" t="s">
        <v>59</v>
      </c>
      <c r="AX7" s="48" t="s">
        <v>59</v>
      </c>
      <c r="AY7" s="73">
        <v>61</v>
      </c>
      <c r="AZ7" s="73">
        <v>61</v>
      </c>
      <c r="BA7" s="73" t="s">
        <v>59</v>
      </c>
      <c r="BB7" s="73" t="s">
        <v>59</v>
      </c>
      <c r="BC7" s="48">
        <v>8.1890000000000001</v>
      </c>
      <c r="BD7" s="190">
        <v>1.153</v>
      </c>
      <c r="BE7" s="48" t="s">
        <v>61</v>
      </c>
      <c r="BF7" s="48">
        <v>7</v>
      </c>
      <c r="BG7" s="48">
        <v>1</v>
      </c>
      <c r="BH7" s="48" t="s">
        <v>61</v>
      </c>
      <c r="BI7" s="48" t="s">
        <v>61</v>
      </c>
      <c r="BJ7" s="48" t="s">
        <v>61</v>
      </c>
      <c r="BK7" s="48" t="s">
        <v>61</v>
      </c>
      <c r="BL7" s="48" t="s">
        <v>61</v>
      </c>
      <c r="BM7" s="48" t="s">
        <v>61</v>
      </c>
      <c r="BN7" s="48" t="s">
        <v>61</v>
      </c>
      <c r="BO7" s="48">
        <v>0.53400000000000003</v>
      </c>
      <c r="BP7" s="48">
        <v>7.4960000000000004</v>
      </c>
      <c r="BQ7" s="190">
        <v>0.72499999999999998</v>
      </c>
      <c r="BR7" s="48" t="s">
        <v>61</v>
      </c>
      <c r="BS7" s="48">
        <v>7</v>
      </c>
      <c r="BT7" s="26">
        <v>1</v>
      </c>
      <c r="BU7" s="48" t="s">
        <v>61</v>
      </c>
      <c r="BV7" s="48" t="s">
        <v>61</v>
      </c>
      <c r="BW7" s="48" t="s">
        <v>61</v>
      </c>
      <c r="BX7" s="48" t="s">
        <v>61</v>
      </c>
      <c r="BY7" s="48" t="s">
        <v>61</v>
      </c>
      <c r="BZ7" s="48" t="s">
        <v>61</v>
      </c>
      <c r="CA7" s="48" t="s">
        <v>61</v>
      </c>
      <c r="CB7" s="48">
        <v>0</v>
      </c>
      <c r="CC7" s="48" t="s">
        <v>59</v>
      </c>
      <c r="CD7" s="48" t="s">
        <v>59</v>
      </c>
      <c r="CE7" s="48" t="s">
        <v>59</v>
      </c>
      <c r="CF7" s="48"/>
      <c r="CG7" s="48"/>
      <c r="CH7" s="48" t="s">
        <v>59</v>
      </c>
      <c r="CI7" s="48" t="s">
        <v>59</v>
      </c>
      <c r="CJ7" s="48" t="s">
        <v>59</v>
      </c>
      <c r="CK7" s="48" t="s">
        <v>59</v>
      </c>
      <c r="CL7" s="48" t="s">
        <v>59</v>
      </c>
      <c r="CM7" s="48" t="s">
        <v>59</v>
      </c>
      <c r="CN7" s="48" t="s">
        <v>59</v>
      </c>
      <c r="CO7" s="48" t="s">
        <v>59</v>
      </c>
      <c r="CP7" s="48" t="s">
        <v>59</v>
      </c>
      <c r="CQ7" s="48" t="s">
        <v>59</v>
      </c>
      <c r="CR7" s="48" t="s">
        <v>59</v>
      </c>
      <c r="CS7" s="48"/>
      <c r="CT7" s="48"/>
      <c r="CU7" s="48" t="s">
        <v>59</v>
      </c>
      <c r="CV7" s="48" t="s">
        <v>59</v>
      </c>
      <c r="CW7" s="48" t="s">
        <v>59</v>
      </c>
      <c r="CX7" s="48" t="s">
        <v>59</v>
      </c>
      <c r="CY7" s="48" t="s">
        <v>59</v>
      </c>
      <c r="CZ7" s="48" t="s">
        <v>59</v>
      </c>
      <c r="DA7" s="48" t="s">
        <v>59</v>
      </c>
      <c r="DB7" s="48" t="s">
        <v>59</v>
      </c>
      <c r="DC7" s="48">
        <v>6</v>
      </c>
      <c r="DD7" s="55"/>
      <c r="DE7" s="43"/>
      <c r="DF7" s="43"/>
      <c r="DG7" s="43"/>
      <c r="DH7" s="43"/>
      <c r="DI7" s="43"/>
      <c r="DJ7" s="43"/>
    </row>
    <row r="8" spans="1:114" ht="14">
      <c r="A8" s="49" t="s">
        <v>357</v>
      </c>
      <c r="B8" s="43">
        <v>10223</v>
      </c>
      <c r="C8" s="34">
        <v>2</v>
      </c>
      <c r="D8" s="43">
        <v>1</v>
      </c>
      <c r="E8" s="48" t="s">
        <v>139</v>
      </c>
      <c r="F8" s="26" t="s">
        <v>59</v>
      </c>
      <c r="G8" s="48">
        <f t="shared" si="0"/>
        <v>47</v>
      </c>
      <c r="H8" s="26" t="s">
        <v>59</v>
      </c>
      <c r="I8" s="26" t="s">
        <v>59</v>
      </c>
      <c r="J8" s="48" t="s">
        <v>59</v>
      </c>
      <c r="K8" s="26" t="s">
        <v>59</v>
      </c>
      <c r="L8" s="26" t="s">
        <v>59</v>
      </c>
      <c r="M8" s="26" t="s">
        <v>59</v>
      </c>
      <c r="N8" s="26" t="s">
        <v>59</v>
      </c>
      <c r="O8" s="26" t="s">
        <v>59</v>
      </c>
      <c r="P8" s="26" t="s">
        <v>59</v>
      </c>
      <c r="Q8" s="48" t="s">
        <v>59</v>
      </c>
      <c r="R8" s="48" t="s">
        <v>59</v>
      </c>
      <c r="S8" s="48" t="s">
        <v>59</v>
      </c>
      <c r="T8" s="48" t="s">
        <v>59</v>
      </c>
      <c r="U8" s="48">
        <v>23</v>
      </c>
      <c r="V8" s="48">
        <v>24</v>
      </c>
      <c r="W8" s="48" t="s">
        <v>59</v>
      </c>
      <c r="X8" s="48" t="s">
        <v>59</v>
      </c>
      <c r="Y8" s="69">
        <v>8.5</v>
      </c>
      <c r="Z8" s="69">
        <v>1.2</v>
      </c>
      <c r="AA8" s="69" t="s">
        <v>61</v>
      </c>
      <c r="AB8" s="69" t="s">
        <v>61</v>
      </c>
      <c r="AC8" s="69" t="s">
        <v>61</v>
      </c>
      <c r="AD8" s="69">
        <v>8.8000000000000007</v>
      </c>
      <c r="AE8" s="69">
        <v>1.3</v>
      </c>
      <c r="AF8" s="69" t="s">
        <v>61</v>
      </c>
      <c r="AG8" s="69" t="s">
        <v>61</v>
      </c>
      <c r="AH8" s="69" t="s">
        <v>61</v>
      </c>
      <c r="AI8" s="69" t="s">
        <v>59</v>
      </c>
      <c r="AJ8" s="69" t="s">
        <v>59</v>
      </c>
      <c r="AK8" s="69" t="s">
        <v>59</v>
      </c>
      <c r="AL8" s="69" t="s">
        <v>59</v>
      </c>
      <c r="AM8" s="69" t="s">
        <v>59</v>
      </c>
      <c r="AN8" s="69" t="s">
        <v>59</v>
      </c>
      <c r="AO8" s="69" t="s">
        <v>59</v>
      </c>
      <c r="AP8" s="69" t="s">
        <v>59</v>
      </c>
      <c r="AQ8" s="69" t="s">
        <v>59</v>
      </c>
      <c r="AR8" s="69" t="s">
        <v>59</v>
      </c>
      <c r="AS8" s="69">
        <v>0.42499999999999999</v>
      </c>
      <c r="AT8" s="69" t="s">
        <v>64</v>
      </c>
      <c r="AU8" s="69" t="s">
        <v>59</v>
      </c>
      <c r="AV8" s="69" t="s">
        <v>59</v>
      </c>
      <c r="AW8" s="69" t="s">
        <v>59</v>
      </c>
      <c r="AX8" s="69" t="s">
        <v>59</v>
      </c>
      <c r="AY8" s="215">
        <v>23</v>
      </c>
      <c r="AZ8" s="215">
        <v>24</v>
      </c>
      <c r="BA8" s="215" t="s">
        <v>59</v>
      </c>
      <c r="BB8" s="215" t="s">
        <v>59</v>
      </c>
      <c r="BC8" s="69">
        <v>8.4</v>
      </c>
      <c r="BD8" s="69">
        <v>1.4</v>
      </c>
      <c r="BE8" s="69" t="s">
        <v>61</v>
      </c>
      <c r="BF8" s="48">
        <v>0</v>
      </c>
      <c r="BG8" s="48">
        <v>1</v>
      </c>
      <c r="BH8" s="69" t="s">
        <v>61</v>
      </c>
      <c r="BI8" s="69" t="s">
        <v>61</v>
      </c>
      <c r="BJ8" s="69" t="s">
        <v>61</v>
      </c>
      <c r="BK8" s="69" t="s">
        <v>61</v>
      </c>
      <c r="BL8" s="69" t="s">
        <v>61</v>
      </c>
      <c r="BM8" s="69" t="s">
        <v>61</v>
      </c>
      <c r="BN8" s="69" t="s">
        <v>61</v>
      </c>
      <c r="BO8" s="69">
        <v>0.51</v>
      </c>
      <c r="BP8" s="69">
        <v>7.6</v>
      </c>
      <c r="BQ8" s="69">
        <v>0.74</v>
      </c>
      <c r="BR8" s="69" t="s">
        <v>61</v>
      </c>
      <c r="BS8" s="26">
        <v>0</v>
      </c>
      <c r="BT8" s="26">
        <v>1</v>
      </c>
      <c r="BU8" s="69" t="s">
        <v>61</v>
      </c>
      <c r="BV8" s="69" t="s">
        <v>61</v>
      </c>
      <c r="BW8" s="69" t="s">
        <v>61</v>
      </c>
      <c r="BX8" s="69" t="s">
        <v>61</v>
      </c>
      <c r="BY8" s="69" t="s">
        <v>61</v>
      </c>
      <c r="BZ8" s="69" t="s">
        <v>61</v>
      </c>
      <c r="CA8" s="69" t="s">
        <v>61</v>
      </c>
      <c r="CB8" s="69" t="s">
        <v>119</v>
      </c>
      <c r="CC8" s="69" t="s">
        <v>59</v>
      </c>
      <c r="CD8" s="69" t="s">
        <v>59</v>
      </c>
      <c r="CE8" s="69" t="s">
        <v>59</v>
      </c>
      <c r="CF8" s="69"/>
      <c r="CG8" s="69"/>
      <c r="CH8" s="69" t="s">
        <v>59</v>
      </c>
      <c r="CI8" s="69" t="s">
        <v>59</v>
      </c>
      <c r="CJ8" s="69" t="s">
        <v>59</v>
      </c>
      <c r="CK8" s="69" t="s">
        <v>59</v>
      </c>
      <c r="CL8" s="69" t="s">
        <v>59</v>
      </c>
      <c r="CM8" s="69" t="s">
        <v>59</v>
      </c>
      <c r="CN8" s="69" t="s">
        <v>59</v>
      </c>
      <c r="CO8" s="69" t="s">
        <v>59</v>
      </c>
      <c r="CP8" s="69" t="s">
        <v>59</v>
      </c>
      <c r="CQ8" s="69" t="s">
        <v>59</v>
      </c>
      <c r="CR8" s="69" t="s">
        <v>59</v>
      </c>
      <c r="CS8" s="69"/>
      <c r="CT8" s="69"/>
      <c r="CU8" s="69" t="s">
        <v>59</v>
      </c>
      <c r="CV8" s="69" t="s">
        <v>59</v>
      </c>
      <c r="CW8" s="69" t="s">
        <v>59</v>
      </c>
      <c r="CX8" s="69" t="s">
        <v>59</v>
      </c>
      <c r="CY8" s="69" t="s">
        <v>59</v>
      </c>
      <c r="CZ8" s="69" t="s">
        <v>59</v>
      </c>
      <c r="DA8" s="69" t="s">
        <v>59</v>
      </c>
      <c r="DB8" s="69" t="s">
        <v>59</v>
      </c>
      <c r="DC8" s="69">
        <v>6</v>
      </c>
      <c r="DD8" s="55"/>
      <c r="DE8" s="43"/>
      <c r="DF8" s="43"/>
      <c r="DG8" s="43"/>
      <c r="DH8" s="43"/>
      <c r="DI8" s="43"/>
      <c r="DJ8" s="43"/>
    </row>
    <row r="9" spans="1:114" ht="14">
      <c r="A9" s="49" t="s">
        <v>405</v>
      </c>
      <c r="B9" s="43">
        <v>12239</v>
      </c>
      <c r="C9" s="34">
        <v>2</v>
      </c>
      <c r="D9" s="43">
        <v>1</v>
      </c>
      <c r="E9" s="48" t="s">
        <v>139</v>
      </c>
      <c r="F9" s="26" t="s">
        <v>59</v>
      </c>
      <c r="G9" s="48">
        <f t="shared" si="0"/>
        <v>53</v>
      </c>
      <c r="H9" s="26" t="s">
        <v>59</v>
      </c>
      <c r="I9" s="26" t="s">
        <v>59</v>
      </c>
      <c r="J9" s="48" t="s">
        <v>59</v>
      </c>
      <c r="K9" s="26" t="s">
        <v>59</v>
      </c>
      <c r="L9" s="26" t="s">
        <v>59</v>
      </c>
      <c r="M9" s="26" t="s">
        <v>59</v>
      </c>
      <c r="N9" s="26" t="s">
        <v>59</v>
      </c>
      <c r="O9" s="26" t="s">
        <v>59</v>
      </c>
      <c r="P9" s="26" t="s">
        <v>59</v>
      </c>
      <c r="Q9" s="48" t="s">
        <v>59</v>
      </c>
      <c r="R9" s="48" t="s">
        <v>59</v>
      </c>
      <c r="S9" s="48" t="s">
        <v>59</v>
      </c>
      <c r="T9" s="48" t="s">
        <v>59</v>
      </c>
      <c r="U9" s="48">
        <v>36</v>
      </c>
      <c r="V9" s="48">
        <v>36</v>
      </c>
      <c r="W9" s="48" t="s">
        <v>59</v>
      </c>
      <c r="X9" s="48" t="s">
        <v>59</v>
      </c>
      <c r="Y9" s="69">
        <v>8.4700000000000006</v>
      </c>
      <c r="Z9" s="69">
        <v>0.86</v>
      </c>
      <c r="AA9" s="69" t="s">
        <v>61</v>
      </c>
      <c r="AB9" s="69" t="s">
        <v>61</v>
      </c>
      <c r="AC9" s="69" t="s">
        <v>61</v>
      </c>
      <c r="AD9" s="69">
        <v>9.08</v>
      </c>
      <c r="AE9" s="69">
        <v>1.18</v>
      </c>
      <c r="AF9" s="69" t="s">
        <v>61</v>
      </c>
      <c r="AG9" s="69" t="s">
        <v>61</v>
      </c>
      <c r="AH9" s="69" t="s">
        <v>61</v>
      </c>
      <c r="AI9" s="69" t="s">
        <v>59</v>
      </c>
      <c r="AJ9" s="69" t="s">
        <v>59</v>
      </c>
      <c r="AK9" s="69" t="s">
        <v>59</v>
      </c>
      <c r="AL9" s="69" t="s">
        <v>59</v>
      </c>
      <c r="AM9" s="69" t="s">
        <v>59</v>
      </c>
      <c r="AN9" s="69" t="s">
        <v>59</v>
      </c>
      <c r="AO9" s="69" t="s">
        <v>59</v>
      </c>
      <c r="AP9" s="69" t="s">
        <v>59</v>
      </c>
      <c r="AQ9" s="69" t="s">
        <v>59</v>
      </c>
      <c r="AR9" s="69" t="s">
        <v>59</v>
      </c>
      <c r="AS9" s="69">
        <v>0.02</v>
      </c>
      <c r="AT9" s="69" t="s">
        <v>64</v>
      </c>
      <c r="AU9" s="69" t="s">
        <v>59</v>
      </c>
      <c r="AV9" s="69" t="s">
        <v>59</v>
      </c>
      <c r="AW9" s="69" t="s">
        <v>59</v>
      </c>
      <c r="AX9" s="69" t="s">
        <v>59</v>
      </c>
      <c r="AY9" s="215">
        <v>28</v>
      </c>
      <c r="AZ9" s="215">
        <v>25</v>
      </c>
      <c r="BA9" s="215" t="s">
        <v>59</v>
      </c>
      <c r="BB9" s="215" t="s">
        <v>59</v>
      </c>
      <c r="BC9" s="69">
        <v>8.58</v>
      </c>
      <c r="BD9" s="69">
        <v>1.1599999999999999</v>
      </c>
      <c r="BE9" s="69" t="s">
        <v>61</v>
      </c>
      <c r="BF9" s="48">
        <v>0</v>
      </c>
      <c r="BG9" s="48">
        <v>1</v>
      </c>
      <c r="BH9" s="69" t="s">
        <v>61</v>
      </c>
      <c r="BI9" s="69" t="s">
        <v>61</v>
      </c>
      <c r="BJ9" s="69" t="s">
        <v>61</v>
      </c>
      <c r="BK9" s="69" t="s">
        <v>61</v>
      </c>
      <c r="BL9" s="69" t="s">
        <v>61</v>
      </c>
      <c r="BM9" s="69" t="s">
        <v>61</v>
      </c>
      <c r="BN9" s="69" t="s">
        <v>61</v>
      </c>
      <c r="BO9" s="69" t="s">
        <v>61</v>
      </c>
      <c r="BP9" s="69">
        <v>7.8</v>
      </c>
      <c r="BQ9" s="69">
        <v>0.75</v>
      </c>
      <c r="BR9" s="69" t="s">
        <v>61</v>
      </c>
      <c r="BS9" s="26">
        <v>0</v>
      </c>
      <c r="BT9" s="26">
        <v>1</v>
      </c>
      <c r="BU9" s="69" t="s">
        <v>61</v>
      </c>
      <c r="BV9" s="69" t="s">
        <v>61</v>
      </c>
      <c r="BW9" s="69" t="s">
        <v>61</v>
      </c>
      <c r="BX9" s="69" t="s">
        <v>61</v>
      </c>
      <c r="BY9" s="69" t="s">
        <v>61</v>
      </c>
      <c r="BZ9" s="69" t="s">
        <v>61</v>
      </c>
      <c r="CA9" s="69" t="s">
        <v>61</v>
      </c>
      <c r="CB9" s="69" t="s">
        <v>162</v>
      </c>
      <c r="CC9" s="69" t="s">
        <v>59</v>
      </c>
      <c r="CD9" s="69" t="s">
        <v>59</v>
      </c>
      <c r="CE9" s="69" t="s">
        <v>59</v>
      </c>
      <c r="CF9" s="69"/>
      <c r="CG9" s="69"/>
      <c r="CH9" s="69" t="s">
        <v>59</v>
      </c>
      <c r="CI9" s="69" t="s">
        <v>59</v>
      </c>
      <c r="CJ9" s="69" t="s">
        <v>59</v>
      </c>
      <c r="CK9" s="69" t="s">
        <v>59</v>
      </c>
      <c r="CL9" s="69" t="s">
        <v>59</v>
      </c>
      <c r="CM9" s="69" t="s">
        <v>59</v>
      </c>
      <c r="CN9" s="69" t="s">
        <v>59</v>
      </c>
      <c r="CO9" s="69" t="s">
        <v>59</v>
      </c>
      <c r="CP9" s="69" t="s">
        <v>59</v>
      </c>
      <c r="CQ9" s="69" t="s">
        <v>59</v>
      </c>
      <c r="CR9" s="69" t="s">
        <v>59</v>
      </c>
      <c r="CS9" s="69"/>
      <c r="CT9" s="69"/>
      <c r="CU9" s="69" t="s">
        <v>59</v>
      </c>
      <c r="CV9" s="69" t="s">
        <v>59</v>
      </c>
      <c r="CW9" s="69" t="s">
        <v>59</v>
      </c>
      <c r="CX9" s="69" t="s">
        <v>59</v>
      </c>
      <c r="CY9" s="69" t="s">
        <v>59</v>
      </c>
      <c r="CZ9" s="69" t="s">
        <v>59</v>
      </c>
      <c r="DA9" s="69" t="s">
        <v>59</v>
      </c>
      <c r="DB9" s="69" t="s">
        <v>59</v>
      </c>
      <c r="DC9" s="69">
        <v>9</v>
      </c>
      <c r="DD9" s="43"/>
      <c r="DE9" s="43"/>
      <c r="DF9" s="43"/>
      <c r="DG9" s="43"/>
      <c r="DH9" s="43"/>
      <c r="DI9" s="43"/>
      <c r="DJ9" s="43"/>
    </row>
    <row r="10" spans="1:114">
      <c r="A10" s="34" t="s">
        <v>199</v>
      </c>
      <c r="B10" s="34">
        <v>5360</v>
      </c>
      <c r="C10" s="34">
        <v>2</v>
      </c>
      <c r="D10" s="43">
        <v>1</v>
      </c>
      <c r="E10" s="26" t="s">
        <v>139</v>
      </c>
      <c r="F10" s="26" t="s">
        <v>59</v>
      </c>
      <c r="G10" s="48">
        <f t="shared" si="0"/>
        <v>51</v>
      </c>
      <c r="H10" s="26" t="s">
        <v>59</v>
      </c>
      <c r="I10" s="26" t="s">
        <v>60</v>
      </c>
      <c r="J10" s="26" t="s">
        <v>59</v>
      </c>
      <c r="K10" s="26" t="s">
        <v>59</v>
      </c>
      <c r="L10" s="26" t="s">
        <v>59</v>
      </c>
      <c r="M10" s="26" t="s">
        <v>59</v>
      </c>
      <c r="N10" s="26" t="s">
        <v>59</v>
      </c>
      <c r="O10" s="26" t="s">
        <v>59</v>
      </c>
      <c r="P10" s="26" t="s">
        <v>59</v>
      </c>
      <c r="Q10" s="26" t="s">
        <v>60</v>
      </c>
      <c r="R10" s="26" t="s">
        <v>60</v>
      </c>
      <c r="S10" s="26" t="s">
        <v>60</v>
      </c>
      <c r="T10" s="26" t="s">
        <v>60</v>
      </c>
      <c r="U10" s="26">
        <v>26</v>
      </c>
      <c r="V10" s="26">
        <v>25</v>
      </c>
      <c r="W10" s="26" t="s">
        <v>60</v>
      </c>
      <c r="X10" s="26" t="s">
        <v>60</v>
      </c>
      <c r="Y10" s="26">
        <v>7.59</v>
      </c>
      <c r="Z10" s="26">
        <v>1.0900000000000001</v>
      </c>
      <c r="AA10" s="26" t="s">
        <v>61</v>
      </c>
      <c r="AB10" s="26" t="s">
        <v>61</v>
      </c>
      <c r="AC10" s="27" t="s">
        <v>61</v>
      </c>
      <c r="AD10" s="26">
        <v>8.09</v>
      </c>
      <c r="AE10" s="26">
        <v>1.72</v>
      </c>
      <c r="AF10" s="26" t="s">
        <v>61</v>
      </c>
      <c r="AG10" s="26" t="s">
        <v>61</v>
      </c>
      <c r="AH10" s="27" t="s">
        <v>61</v>
      </c>
      <c r="AI10" s="26" t="s">
        <v>60</v>
      </c>
      <c r="AJ10" s="26" t="s">
        <v>60</v>
      </c>
      <c r="AK10" s="26" t="s">
        <v>59</v>
      </c>
      <c r="AL10" s="26" t="s">
        <v>59</v>
      </c>
      <c r="AM10" s="26" t="s">
        <v>59</v>
      </c>
      <c r="AN10" s="26" t="s">
        <v>60</v>
      </c>
      <c r="AO10" s="26" t="s">
        <v>60</v>
      </c>
      <c r="AP10" s="26" t="s">
        <v>59</v>
      </c>
      <c r="AQ10" s="26" t="s">
        <v>59</v>
      </c>
      <c r="AR10" s="26" t="s">
        <v>59</v>
      </c>
      <c r="AS10" s="26">
        <v>0.22900000000000001</v>
      </c>
      <c r="AT10" s="26" t="s">
        <v>64</v>
      </c>
      <c r="AU10" s="26" t="s">
        <v>59</v>
      </c>
      <c r="AV10" s="26" t="s">
        <v>59</v>
      </c>
      <c r="AW10" s="26" t="s">
        <v>59</v>
      </c>
      <c r="AX10" s="26" t="s">
        <v>59</v>
      </c>
      <c r="AY10" s="186">
        <v>26</v>
      </c>
      <c r="AZ10" s="186">
        <v>25</v>
      </c>
      <c r="BA10" s="186" t="s">
        <v>60</v>
      </c>
      <c r="BB10" s="186" t="s">
        <v>60</v>
      </c>
      <c r="BC10" s="26">
        <v>8.4</v>
      </c>
      <c r="BD10" s="26">
        <v>1.04</v>
      </c>
      <c r="BE10" s="26" t="s">
        <v>61</v>
      </c>
      <c r="BF10" s="48">
        <v>0</v>
      </c>
      <c r="BG10" s="48">
        <v>1</v>
      </c>
      <c r="BH10" s="27" t="s">
        <v>61</v>
      </c>
      <c r="BI10" s="27" t="s">
        <v>61</v>
      </c>
      <c r="BJ10" s="26">
        <v>0.81</v>
      </c>
      <c r="BK10" s="26" t="s">
        <v>61</v>
      </c>
      <c r="BL10" s="26" t="s">
        <v>61</v>
      </c>
      <c r="BM10" s="26" t="s">
        <v>61</v>
      </c>
      <c r="BN10" s="26" t="s">
        <v>61</v>
      </c>
      <c r="BO10" s="26" t="s">
        <v>162</v>
      </c>
      <c r="BP10" s="26">
        <v>6.77</v>
      </c>
      <c r="BQ10" s="26">
        <v>0.77</v>
      </c>
      <c r="BR10" s="26" t="s">
        <v>61</v>
      </c>
      <c r="BS10" s="26">
        <v>0</v>
      </c>
      <c r="BT10" s="26">
        <v>1</v>
      </c>
      <c r="BU10" s="27" t="s">
        <v>61</v>
      </c>
      <c r="BV10" s="27" t="s">
        <v>61</v>
      </c>
      <c r="BW10" s="26">
        <v>-1.32</v>
      </c>
      <c r="BX10" s="26" t="s">
        <v>61</v>
      </c>
      <c r="BY10" s="27" t="s">
        <v>61</v>
      </c>
      <c r="BZ10" s="26" t="s">
        <v>61</v>
      </c>
      <c r="CA10" s="27" t="s">
        <v>61</v>
      </c>
      <c r="CB10" s="26" t="s">
        <v>162</v>
      </c>
      <c r="CC10" s="26" t="s">
        <v>60</v>
      </c>
      <c r="CD10" s="26" t="s">
        <v>60</v>
      </c>
      <c r="CE10" s="26" t="s">
        <v>59</v>
      </c>
      <c r="CF10" s="26"/>
      <c r="CG10" s="26"/>
      <c r="CH10" s="26" t="s">
        <v>59</v>
      </c>
      <c r="CI10" s="26" t="s">
        <v>59</v>
      </c>
      <c r="CJ10" s="26" t="s">
        <v>59</v>
      </c>
      <c r="CK10" s="26" t="s">
        <v>59</v>
      </c>
      <c r="CL10" s="26" t="s">
        <v>59</v>
      </c>
      <c r="CM10" s="26" t="s">
        <v>59</v>
      </c>
      <c r="CN10" s="26" t="s">
        <v>59</v>
      </c>
      <c r="CO10" s="26" t="s">
        <v>59</v>
      </c>
      <c r="CP10" s="26" t="s">
        <v>60</v>
      </c>
      <c r="CQ10" s="26" t="s">
        <v>60</v>
      </c>
      <c r="CR10" s="26" t="s">
        <v>59</v>
      </c>
      <c r="CS10" s="26"/>
      <c r="CT10" s="26"/>
      <c r="CU10" s="26" t="s">
        <v>59</v>
      </c>
      <c r="CV10" s="26" t="s">
        <v>59</v>
      </c>
      <c r="CW10" s="26" t="s">
        <v>59</v>
      </c>
      <c r="CX10" s="26" t="s">
        <v>59</v>
      </c>
      <c r="CY10" s="26" t="s">
        <v>59</v>
      </c>
      <c r="CZ10" s="26" t="s">
        <v>59</v>
      </c>
      <c r="DA10" s="26" t="s">
        <v>59</v>
      </c>
      <c r="DB10" s="26" t="s">
        <v>59</v>
      </c>
      <c r="DC10" s="26">
        <v>12</v>
      </c>
    </row>
    <row r="11" spans="1:114">
      <c r="A11" s="34" t="s">
        <v>250</v>
      </c>
      <c r="B11" s="34">
        <v>8079</v>
      </c>
      <c r="C11" s="34">
        <v>2</v>
      </c>
      <c r="D11" s="43">
        <v>1</v>
      </c>
      <c r="E11" s="26" t="s">
        <v>139</v>
      </c>
      <c r="F11" s="26" t="s">
        <v>59</v>
      </c>
      <c r="G11" s="48">
        <f t="shared" si="0"/>
        <v>111</v>
      </c>
      <c r="H11" s="26" t="s">
        <v>59</v>
      </c>
      <c r="I11" s="26" t="s">
        <v>59</v>
      </c>
      <c r="J11" s="26" t="s">
        <v>59</v>
      </c>
      <c r="K11" s="26" t="s">
        <v>59</v>
      </c>
      <c r="L11" s="26" t="s">
        <v>59</v>
      </c>
      <c r="M11" s="26" t="s">
        <v>59</v>
      </c>
      <c r="N11" s="26" t="s">
        <v>59</v>
      </c>
      <c r="O11" s="26" t="s">
        <v>59</v>
      </c>
      <c r="P11" s="26" t="s">
        <v>59</v>
      </c>
      <c r="Q11" s="26" t="s">
        <v>59</v>
      </c>
      <c r="R11" s="26" t="s">
        <v>59</v>
      </c>
      <c r="S11" s="26" t="s">
        <v>60</v>
      </c>
      <c r="T11" s="26" t="s">
        <v>60</v>
      </c>
      <c r="U11" s="26">
        <v>54</v>
      </c>
      <c r="V11" s="26">
        <v>57</v>
      </c>
      <c r="W11" s="26" t="s">
        <v>60</v>
      </c>
      <c r="X11" s="26" t="s">
        <v>60</v>
      </c>
      <c r="Y11" s="26">
        <v>7.4</v>
      </c>
      <c r="Z11" s="26">
        <v>0.9</v>
      </c>
      <c r="AA11" s="26" t="s">
        <v>61</v>
      </c>
      <c r="AB11" s="26" t="s">
        <v>61</v>
      </c>
      <c r="AC11" s="27" t="s">
        <v>61</v>
      </c>
      <c r="AD11" s="26">
        <v>7.6</v>
      </c>
      <c r="AE11" s="26">
        <v>0.9</v>
      </c>
      <c r="AF11" s="26" t="s">
        <v>61</v>
      </c>
      <c r="AG11" s="26" t="s">
        <v>61</v>
      </c>
      <c r="AH11" s="27" t="s">
        <v>61</v>
      </c>
      <c r="AI11" s="26" t="s">
        <v>60</v>
      </c>
      <c r="AJ11" s="26" t="s">
        <v>60</v>
      </c>
      <c r="AK11" s="26" t="s">
        <v>59</v>
      </c>
      <c r="AL11" s="26" t="s">
        <v>59</v>
      </c>
      <c r="AM11" s="26" t="s">
        <v>59</v>
      </c>
      <c r="AN11" s="26" t="s">
        <v>60</v>
      </c>
      <c r="AO11" s="26" t="s">
        <v>60</v>
      </c>
      <c r="AP11" s="26" t="s">
        <v>59</v>
      </c>
      <c r="AQ11" s="26" t="s">
        <v>59</v>
      </c>
      <c r="AR11" s="26" t="s">
        <v>59</v>
      </c>
      <c r="AS11" s="26">
        <v>0.25</v>
      </c>
      <c r="AT11" s="26" t="s">
        <v>64</v>
      </c>
      <c r="AU11" s="26" t="s">
        <v>59</v>
      </c>
      <c r="AV11" s="26" t="s">
        <v>59</v>
      </c>
      <c r="AW11" s="26" t="s">
        <v>59</v>
      </c>
      <c r="AX11" s="26" t="s">
        <v>59</v>
      </c>
      <c r="AY11" s="186">
        <v>54</v>
      </c>
      <c r="AZ11" s="186">
        <v>57</v>
      </c>
      <c r="BA11" s="186" t="s">
        <v>60</v>
      </c>
      <c r="BB11" s="186" t="s">
        <v>60</v>
      </c>
      <c r="BC11" s="26">
        <v>7.6</v>
      </c>
      <c r="BD11" s="26">
        <v>1</v>
      </c>
      <c r="BE11" s="26" t="s">
        <v>61</v>
      </c>
      <c r="BF11" s="48">
        <v>0</v>
      </c>
      <c r="BG11" s="48">
        <v>1</v>
      </c>
      <c r="BH11" s="27" t="s">
        <v>61</v>
      </c>
      <c r="BI11" s="27" t="s">
        <v>61</v>
      </c>
      <c r="BJ11" s="26" t="s">
        <v>61</v>
      </c>
      <c r="BK11" s="26" t="s">
        <v>61</v>
      </c>
      <c r="BL11" s="26" t="s">
        <v>61</v>
      </c>
      <c r="BM11" s="26" t="s">
        <v>61</v>
      </c>
      <c r="BN11" s="26" t="s">
        <v>61</v>
      </c>
      <c r="BO11" s="26">
        <v>3.3000000000000002E-2</v>
      </c>
      <c r="BP11" s="26">
        <v>7.1</v>
      </c>
      <c r="BQ11" s="26">
        <v>0.8</v>
      </c>
      <c r="BR11" s="26" t="s">
        <v>61</v>
      </c>
      <c r="BS11" s="26">
        <v>0</v>
      </c>
      <c r="BT11" s="26">
        <v>1</v>
      </c>
      <c r="BU11" s="27" t="s">
        <v>61</v>
      </c>
      <c r="BV11" s="27" t="s">
        <v>61</v>
      </c>
      <c r="BW11" s="26" t="s">
        <v>61</v>
      </c>
      <c r="BX11" s="26" t="s">
        <v>61</v>
      </c>
      <c r="BY11" s="27" t="s">
        <v>61</v>
      </c>
      <c r="BZ11" s="26" t="s">
        <v>61</v>
      </c>
      <c r="CA11" s="27" t="s">
        <v>61</v>
      </c>
      <c r="CB11" s="26" t="s">
        <v>119</v>
      </c>
      <c r="CC11" s="26" t="s">
        <v>60</v>
      </c>
      <c r="CD11" s="26" t="s">
        <v>60</v>
      </c>
      <c r="CE11" s="26" t="s">
        <v>59</v>
      </c>
      <c r="CF11" s="26"/>
      <c r="CG11" s="26"/>
      <c r="CH11" s="26" t="s">
        <v>59</v>
      </c>
      <c r="CI11" s="26" t="s">
        <v>59</v>
      </c>
      <c r="CJ11" s="26" t="s">
        <v>59</v>
      </c>
      <c r="CK11" s="26" t="s">
        <v>59</v>
      </c>
      <c r="CL11" s="26" t="s">
        <v>59</v>
      </c>
      <c r="CM11" s="26" t="s">
        <v>59</v>
      </c>
      <c r="CN11" s="26" t="s">
        <v>59</v>
      </c>
      <c r="CO11" s="26" t="s">
        <v>59</v>
      </c>
      <c r="CP11" s="26" t="s">
        <v>60</v>
      </c>
      <c r="CQ11" s="26" t="s">
        <v>60</v>
      </c>
      <c r="CR11" s="26" t="s">
        <v>59</v>
      </c>
      <c r="CS11" s="26"/>
      <c r="CT11" s="26"/>
      <c r="CU11" s="26" t="s">
        <v>59</v>
      </c>
      <c r="CV11" s="26" t="s">
        <v>59</v>
      </c>
      <c r="CW11" s="26" t="s">
        <v>59</v>
      </c>
      <c r="CX11" s="26" t="s">
        <v>59</v>
      </c>
      <c r="CY11" s="26" t="s">
        <v>59</v>
      </c>
      <c r="CZ11" s="26" t="s">
        <v>59</v>
      </c>
      <c r="DA11" s="26" t="s">
        <v>59</v>
      </c>
      <c r="DB11" s="26" t="s">
        <v>59</v>
      </c>
      <c r="DC11" s="26">
        <v>3</v>
      </c>
    </row>
    <row r="12" spans="1:114">
      <c r="A12" s="34" t="s">
        <v>177</v>
      </c>
      <c r="B12" s="22">
        <v>3349</v>
      </c>
      <c r="C12" s="34">
        <v>2</v>
      </c>
      <c r="D12" s="43">
        <v>1</v>
      </c>
      <c r="E12" s="26" t="s">
        <v>139</v>
      </c>
      <c r="F12" s="26" t="s">
        <v>59</v>
      </c>
      <c r="G12" s="48">
        <f t="shared" si="0"/>
        <v>46</v>
      </c>
      <c r="H12" s="26" t="s">
        <v>59</v>
      </c>
      <c r="I12" s="26" t="s">
        <v>60</v>
      </c>
      <c r="J12" s="26" t="s">
        <v>59</v>
      </c>
      <c r="K12" s="26" t="s">
        <v>59</v>
      </c>
      <c r="L12" s="26" t="s">
        <v>59</v>
      </c>
      <c r="M12" s="26" t="s">
        <v>59</v>
      </c>
      <c r="N12" s="26" t="s">
        <v>59</v>
      </c>
      <c r="O12" s="26" t="s">
        <v>59</v>
      </c>
      <c r="P12" s="26" t="s">
        <v>59</v>
      </c>
      <c r="Q12" s="26" t="s">
        <v>60</v>
      </c>
      <c r="R12" s="26" t="s">
        <v>60</v>
      </c>
      <c r="S12" s="26" t="s">
        <v>60</v>
      </c>
      <c r="T12" s="26" t="s">
        <v>60</v>
      </c>
      <c r="U12" s="26">
        <v>23</v>
      </c>
      <c r="V12" s="26">
        <v>23</v>
      </c>
      <c r="W12" s="26" t="s">
        <v>60</v>
      </c>
      <c r="X12" s="26" t="s">
        <v>60</v>
      </c>
      <c r="Y12" s="26">
        <v>9.4</v>
      </c>
      <c r="Z12" s="26">
        <v>0.8</v>
      </c>
      <c r="AA12" s="26" t="s">
        <v>61</v>
      </c>
      <c r="AB12" s="26" t="s">
        <v>61</v>
      </c>
      <c r="AC12" s="27" t="s">
        <v>61</v>
      </c>
      <c r="AD12" s="26">
        <v>9.6</v>
      </c>
      <c r="AE12" s="26">
        <v>1</v>
      </c>
      <c r="AF12" s="26" t="s">
        <v>61</v>
      </c>
      <c r="AG12" s="26" t="s">
        <v>61</v>
      </c>
      <c r="AH12" s="27" t="s">
        <v>61</v>
      </c>
      <c r="AI12" s="26" t="s">
        <v>60</v>
      </c>
      <c r="AJ12" s="26" t="s">
        <v>60</v>
      </c>
      <c r="AK12" s="26" t="s">
        <v>59</v>
      </c>
      <c r="AL12" s="26" t="s">
        <v>59</v>
      </c>
      <c r="AM12" s="26" t="s">
        <v>59</v>
      </c>
      <c r="AN12" s="26" t="s">
        <v>60</v>
      </c>
      <c r="AO12" s="26" t="s">
        <v>60</v>
      </c>
      <c r="AP12" s="26" t="s">
        <v>59</v>
      </c>
      <c r="AQ12" s="26" t="s">
        <v>59</v>
      </c>
      <c r="AR12" s="26" t="s">
        <v>59</v>
      </c>
      <c r="AS12" s="26" t="s">
        <v>61</v>
      </c>
      <c r="AT12" s="26" t="s">
        <v>64</v>
      </c>
      <c r="AU12" s="26" t="s">
        <v>59</v>
      </c>
      <c r="AV12" s="26" t="s">
        <v>59</v>
      </c>
      <c r="AW12" s="26" t="s">
        <v>59</v>
      </c>
      <c r="AX12" s="26" t="s">
        <v>59</v>
      </c>
      <c r="AY12" s="186">
        <v>23</v>
      </c>
      <c r="AZ12" s="186">
        <v>23</v>
      </c>
      <c r="BA12" s="186" t="s">
        <v>60</v>
      </c>
      <c r="BB12" s="186" t="s">
        <v>60</v>
      </c>
      <c r="BC12" s="26">
        <v>8.9</v>
      </c>
      <c r="BD12" s="26">
        <v>1</v>
      </c>
      <c r="BE12" s="26" t="s">
        <v>61</v>
      </c>
      <c r="BF12" s="48">
        <v>0</v>
      </c>
      <c r="BG12" s="48">
        <v>1</v>
      </c>
      <c r="BH12" s="27" t="s">
        <v>61</v>
      </c>
      <c r="BI12" s="27" t="s">
        <v>61</v>
      </c>
      <c r="BJ12" s="26" t="s">
        <v>61</v>
      </c>
      <c r="BK12" s="26" t="s">
        <v>61</v>
      </c>
      <c r="BL12" s="26" t="s">
        <v>61</v>
      </c>
      <c r="BM12" s="26" t="s">
        <v>61</v>
      </c>
      <c r="BN12" s="26" t="s">
        <v>61</v>
      </c>
      <c r="BO12" s="26" t="s">
        <v>61</v>
      </c>
      <c r="BP12" s="26">
        <v>7.8</v>
      </c>
      <c r="BQ12" s="26">
        <v>0.8</v>
      </c>
      <c r="BR12" s="26" t="s">
        <v>61</v>
      </c>
      <c r="BS12" s="26">
        <v>0</v>
      </c>
      <c r="BT12" s="26">
        <v>1</v>
      </c>
      <c r="BU12" s="27" t="s">
        <v>61</v>
      </c>
      <c r="BV12" s="27" t="s">
        <v>61</v>
      </c>
      <c r="BW12" s="26" t="s">
        <v>61</v>
      </c>
      <c r="BX12" s="26" t="s">
        <v>61</v>
      </c>
      <c r="BY12" s="27" t="s">
        <v>61</v>
      </c>
      <c r="BZ12" s="26" t="s">
        <v>61</v>
      </c>
      <c r="CA12" s="27" t="s">
        <v>61</v>
      </c>
      <c r="CB12" s="26" t="s">
        <v>119</v>
      </c>
      <c r="CC12" s="26" t="s">
        <v>60</v>
      </c>
      <c r="CD12" s="26" t="s">
        <v>60</v>
      </c>
      <c r="CE12" s="26" t="s">
        <v>59</v>
      </c>
      <c r="CF12" s="26"/>
      <c r="CG12" s="26"/>
      <c r="CH12" s="26" t="s">
        <v>59</v>
      </c>
      <c r="CI12" s="26" t="s">
        <v>59</v>
      </c>
      <c r="CJ12" s="26" t="s">
        <v>59</v>
      </c>
      <c r="CK12" s="26" t="s">
        <v>59</v>
      </c>
      <c r="CL12" s="26" t="s">
        <v>59</v>
      </c>
      <c r="CM12" s="26" t="s">
        <v>59</v>
      </c>
      <c r="CN12" s="26" t="s">
        <v>59</v>
      </c>
      <c r="CO12" s="26" t="s">
        <v>59</v>
      </c>
      <c r="CP12" s="26" t="s">
        <v>60</v>
      </c>
      <c r="CQ12" s="26" t="s">
        <v>60</v>
      </c>
      <c r="CR12" s="26" t="s">
        <v>59</v>
      </c>
      <c r="CS12" s="26"/>
      <c r="CT12" s="26"/>
      <c r="CU12" s="26" t="s">
        <v>59</v>
      </c>
      <c r="CV12" s="26" t="s">
        <v>59</v>
      </c>
      <c r="CW12" s="26" t="s">
        <v>59</v>
      </c>
      <c r="CX12" s="26" t="s">
        <v>59</v>
      </c>
      <c r="CY12" s="26" t="s">
        <v>59</v>
      </c>
      <c r="CZ12" s="26" t="s">
        <v>59</v>
      </c>
      <c r="DA12" s="26" t="s">
        <v>59</v>
      </c>
      <c r="DB12" s="26" t="s">
        <v>59</v>
      </c>
      <c r="DC12" s="26">
        <v>6</v>
      </c>
    </row>
    <row r="13" spans="1:114">
      <c r="A13" s="34" t="s">
        <v>194</v>
      </c>
      <c r="B13" s="22">
        <v>5148</v>
      </c>
      <c r="C13" s="34">
        <v>2</v>
      </c>
      <c r="D13" s="43">
        <v>1</v>
      </c>
      <c r="E13" s="26" t="s">
        <v>139</v>
      </c>
      <c r="F13" s="26" t="s">
        <v>59</v>
      </c>
      <c r="G13" s="48">
        <f t="shared" si="0"/>
        <v>45</v>
      </c>
      <c r="H13" s="26" t="s">
        <v>59</v>
      </c>
      <c r="I13" s="26" t="s">
        <v>60</v>
      </c>
      <c r="J13" s="26" t="s">
        <v>59</v>
      </c>
      <c r="K13" s="26" t="s">
        <v>59</v>
      </c>
      <c r="L13" s="26" t="s">
        <v>59</v>
      </c>
      <c r="M13" s="26" t="s">
        <v>59</v>
      </c>
      <c r="N13" s="26" t="s">
        <v>59</v>
      </c>
      <c r="O13" s="26" t="s">
        <v>59</v>
      </c>
      <c r="P13" s="26" t="s">
        <v>59</v>
      </c>
      <c r="Q13" s="26" t="s">
        <v>60</v>
      </c>
      <c r="R13" s="26" t="s">
        <v>60</v>
      </c>
      <c r="S13" s="26" t="s">
        <v>60</v>
      </c>
      <c r="T13" s="26" t="s">
        <v>60</v>
      </c>
      <c r="U13" s="26">
        <v>24</v>
      </c>
      <c r="V13" s="26">
        <v>25</v>
      </c>
      <c r="W13" s="26" t="s">
        <v>60</v>
      </c>
      <c r="X13" s="26" t="s">
        <v>60</v>
      </c>
      <c r="Y13" s="26">
        <v>8</v>
      </c>
      <c r="Z13" s="26">
        <v>1.1000000000000001</v>
      </c>
      <c r="AA13" s="26" t="s">
        <v>61</v>
      </c>
      <c r="AB13" s="26" t="s">
        <v>61</v>
      </c>
      <c r="AC13" s="26" t="s">
        <v>61</v>
      </c>
      <c r="AD13" s="26">
        <v>8</v>
      </c>
      <c r="AE13" s="26">
        <v>1.3</v>
      </c>
      <c r="AF13" s="26" t="s">
        <v>61</v>
      </c>
      <c r="AG13" s="26" t="s">
        <v>61</v>
      </c>
      <c r="AH13" s="26" t="s">
        <v>61</v>
      </c>
      <c r="AI13" s="26" t="s">
        <v>60</v>
      </c>
      <c r="AJ13" s="26" t="s">
        <v>60</v>
      </c>
      <c r="AK13" s="26" t="s">
        <v>59</v>
      </c>
      <c r="AL13" s="26" t="s">
        <v>59</v>
      </c>
      <c r="AM13" s="26" t="s">
        <v>59</v>
      </c>
      <c r="AN13" s="26" t="s">
        <v>60</v>
      </c>
      <c r="AO13" s="26" t="s">
        <v>60</v>
      </c>
      <c r="AP13" s="26" t="s">
        <v>59</v>
      </c>
      <c r="AQ13" s="26" t="s">
        <v>59</v>
      </c>
      <c r="AR13" s="26" t="s">
        <v>59</v>
      </c>
      <c r="AS13" s="26" t="s">
        <v>61</v>
      </c>
      <c r="AT13" s="26" t="s">
        <v>64</v>
      </c>
      <c r="AU13" s="26" t="s">
        <v>59</v>
      </c>
      <c r="AV13" s="26" t="s">
        <v>59</v>
      </c>
      <c r="AW13" s="26" t="s">
        <v>59</v>
      </c>
      <c r="AX13" s="26" t="s">
        <v>59</v>
      </c>
      <c r="AY13" s="186">
        <v>21</v>
      </c>
      <c r="AZ13" s="186">
        <v>24</v>
      </c>
      <c r="BA13" s="186" t="s">
        <v>60</v>
      </c>
      <c r="BB13" s="186" t="s">
        <v>60</v>
      </c>
      <c r="BC13" s="26">
        <v>8.4</v>
      </c>
      <c r="BD13" s="26">
        <v>1.3</v>
      </c>
      <c r="BE13" s="26" t="s">
        <v>61</v>
      </c>
      <c r="BF13" s="48">
        <v>0</v>
      </c>
      <c r="BG13" s="48">
        <v>1</v>
      </c>
      <c r="BH13" s="26" t="s">
        <v>61</v>
      </c>
      <c r="BI13" s="26" t="s">
        <v>61</v>
      </c>
      <c r="BJ13" s="26">
        <v>0.39</v>
      </c>
      <c r="BK13" s="26" t="s">
        <v>61</v>
      </c>
      <c r="BL13" s="26">
        <v>0.25</v>
      </c>
      <c r="BM13" s="26" t="s">
        <v>61</v>
      </c>
      <c r="BN13" s="26" t="s">
        <v>61</v>
      </c>
      <c r="BO13" s="26" t="s">
        <v>61</v>
      </c>
      <c r="BP13" s="26">
        <v>7.6</v>
      </c>
      <c r="BQ13" s="26">
        <v>0.8</v>
      </c>
      <c r="BR13" s="26" t="s">
        <v>61</v>
      </c>
      <c r="BS13" s="26">
        <v>0</v>
      </c>
      <c r="BT13" s="26">
        <v>1</v>
      </c>
      <c r="BU13" s="26" t="s">
        <v>61</v>
      </c>
      <c r="BV13" s="26" t="s">
        <v>61</v>
      </c>
      <c r="BW13" s="26">
        <v>-0.4</v>
      </c>
      <c r="BX13" s="26" t="s">
        <v>61</v>
      </c>
      <c r="BY13" s="26">
        <v>0.25</v>
      </c>
      <c r="BZ13" s="26" t="s">
        <v>61</v>
      </c>
      <c r="CA13" s="26" t="s">
        <v>61</v>
      </c>
      <c r="CB13" s="26" t="s">
        <v>61</v>
      </c>
      <c r="CC13" s="26" t="s">
        <v>60</v>
      </c>
      <c r="CD13" s="26" t="s">
        <v>60</v>
      </c>
      <c r="CE13" s="26" t="s">
        <v>59</v>
      </c>
      <c r="CF13" s="26"/>
      <c r="CG13" s="26"/>
      <c r="CH13" s="26" t="s">
        <v>59</v>
      </c>
      <c r="CI13" s="26" t="s">
        <v>59</v>
      </c>
      <c r="CJ13" s="26" t="s">
        <v>59</v>
      </c>
      <c r="CK13" s="26" t="s">
        <v>59</v>
      </c>
      <c r="CL13" s="26" t="s">
        <v>59</v>
      </c>
      <c r="CM13" s="26" t="s">
        <v>59</v>
      </c>
      <c r="CN13" s="26" t="s">
        <v>59</v>
      </c>
      <c r="CO13" s="26" t="s">
        <v>59</v>
      </c>
      <c r="CP13" s="26" t="s">
        <v>60</v>
      </c>
      <c r="CQ13" s="26" t="s">
        <v>60</v>
      </c>
      <c r="CR13" s="26" t="s">
        <v>59</v>
      </c>
      <c r="CS13" s="26"/>
      <c r="CT13" s="26"/>
      <c r="CU13" s="26" t="s">
        <v>59</v>
      </c>
      <c r="CV13" s="26" t="s">
        <v>59</v>
      </c>
      <c r="CW13" s="26" t="s">
        <v>59</v>
      </c>
      <c r="CX13" s="26" t="s">
        <v>59</v>
      </c>
      <c r="CY13" s="26" t="s">
        <v>59</v>
      </c>
      <c r="CZ13" s="26" t="s">
        <v>59</v>
      </c>
      <c r="DA13" s="26" t="s">
        <v>59</v>
      </c>
      <c r="DB13" s="26" t="s">
        <v>59</v>
      </c>
      <c r="DC13" s="26">
        <v>24</v>
      </c>
    </row>
    <row r="14" spans="1:114">
      <c r="A14" s="34" t="s">
        <v>239</v>
      </c>
      <c r="B14" s="34">
        <v>6459</v>
      </c>
      <c r="C14" s="34">
        <v>2</v>
      </c>
      <c r="D14" s="43">
        <v>1</v>
      </c>
      <c r="E14" s="26" t="s">
        <v>139</v>
      </c>
      <c r="F14" s="26" t="s">
        <v>59</v>
      </c>
      <c r="G14" s="48">
        <f t="shared" si="0"/>
        <v>106</v>
      </c>
      <c r="H14" s="26" t="s">
        <v>59</v>
      </c>
      <c r="I14" s="26" t="s">
        <v>59</v>
      </c>
      <c r="J14" s="26" t="s">
        <v>59</v>
      </c>
      <c r="K14" s="26" t="s">
        <v>59</v>
      </c>
      <c r="L14" s="26" t="s">
        <v>59</v>
      </c>
      <c r="M14" s="26" t="s">
        <v>59</v>
      </c>
      <c r="N14" s="26" t="s">
        <v>59</v>
      </c>
      <c r="O14" s="26" t="s">
        <v>59</v>
      </c>
      <c r="P14" s="26" t="s">
        <v>59</v>
      </c>
      <c r="Q14" s="26" t="s">
        <v>59</v>
      </c>
      <c r="R14" s="26" t="s">
        <v>59</v>
      </c>
      <c r="S14" s="26" t="s">
        <v>60</v>
      </c>
      <c r="T14" s="26" t="s">
        <v>60</v>
      </c>
      <c r="U14" s="26">
        <v>57</v>
      </c>
      <c r="V14" s="26">
        <v>49</v>
      </c>
      <c r="W14" s="26" t="s">
        <v>60</v>
      </c>
      <c r="X14" s="26" t="s">
        <v>60</v>
      </c>
      <c r="Y14" s="26">
        <v>7.6</v>
      </c>
      <c r="Z14" s="26">
        <v>1.6</v>
      </c>
      <c r="AA14" s="26" t="s">
        <v>61</v>
      </c>
      <c r="AB14" s="26" t="s">
        <v>61</v>
      </c>
      <c r="AC14" s="27" t="s">
        <v>61</v>
      </c>
      <c r="AD14" s="26">
        <v>7.5</v>
      </c>
      <c r="AE14" s="26">
        <v>1.5</v>
      </c>
      <c r="AF14" s="26" t="s">
        <v>61</v>
      </c>
      <c r="AG14" s="26" t="s">
        <v>61</v>
      </c>
      <c r="AH14" s="27" t="s">
        <v>61</v>
      </c>
      <c r="AI14" s="26" t="s">
        <v>60</v>
      </c>
      <c r="AJ14" s="26" t="s">
        <v>60</v>
      </c>
      <c r="AK14" s="26" t="s">
        <v>59</v>
      </c>
      <c r="AL14" s="26" t="s">
        <v>59</v>
      </c>
      <c r="AM14" s="26" t="s">
        <v>59</v>
      </c>
      <c r="AN14" s="26" t="s">
        <v>60</v>
      </c>
      <c r="AO14" s="26" t="s">
        <v>60</v>
      </c>
      <c r="AP14" s="26" t="s">
        <v>59</v>
      </c>
      <c r="AQ14" s="26" t="s">
        <v>59</v>
      </c>
      <c r="AR14" s="26" t="s">
        <v>59</v>
      </c>
      <c r="AS14" s="26" t="s">
        <v>61</v>
      </c>
      <c r="AT14" s="26" t="s">
        <v>64</v>
      </c>
      <c r="AU14" s="26" t="s">
        <v>59</v>
      </c>
      <c r="AV14" s="26" t="s">
        <v>59</v>
      </c>
      <c r="AW14" s="26" t="s">
        <v>59</v>
      </c>
      <c r="AX14" s="26" t="s">
        <v>59</v>
      </c>
      <c r="AY14" s="186">
        <v>57</v>
      </c>
      <c r="AZ14" s="186">
        <v>49</v>
      </c>
      <c r="BA14" s="186" t="s">
        <v>60</v>
      </c>
      <c r="BB14" s="186" t="s">
        <v>60</v>
      </c>
      <c r="BC14" s="26">
        <v>7.8</v>
      </c>
      <c r="BD14" s="26">
        <v>1.5</v>
      </c>
      <c r="BE14" s="26" t="s">
        <v>61</v>
      </c>
      <c r="BF14" s="48">
        <v>0</v>
      </c>
      <c r="BG14" s="48">
        <v>1</v>
      </c>
      <c r="BH14" s="27" t="s">
        <v>61</v>
      </c>
      <c r="BI14" s="27" t="s">
        <v>61</v>
      </c>
      <c r="BJ14" s="26" t="s">
        <v>61</v>
      </c>
      <c r="BK14" s="26" t="s">
        <v>61</v>
      </c>
      <c r="BL14" s="26" t="s">
        <v>61</v>
      </c>
      <c r="BM14" s="26" t="s">
        <v>61</v>
      </c>
      <c r="BN14" s="26" t="s">
        <v>61</v>
      </c>
      <c r="BO14" s="26" t="s">
        <v>61</v>
      </c>
      <c r="BP14" s="26">
        <v>6.7</v>
      </c>
      <c r="BQ14" s="26">
        <v>0.8</v>
      </c>
      <c r="BR14" s="26" t="s">
        <v>61</v>
      </c>
      <c r="BS14" s="26">
        <v>0</v>
      </c>
      <c r="BT14" s="26">
        <v>1</v>
      </c>
      <c r="BU14" s="27" t="s">
        <v>61</v>
      </c>
      <c r="BV14" s="27" t="s">
        <v>61</v>
      </c>
      <c r="BW14" s="26" t="s">
        <v>61</v>
      </c>
      <c r="BX14" s="26" t="s">
        <v>61</v>
      </c>
      <c r="BY14" s="27" t="s">
        <v>61</v>
      </c>
      <c r="BZ14" s="26" t="s">
        <v>61</v>
      </c>
      <c r="CA14" s="27" t="s">
        <v>61</v>
      </c>
      <c r="CB14" s="26" t="s">
        <v>61</v>
      </c>
      <c r="CC14" s="26" t="s">
        <v>60</v>
      </c>
      <c r="CD14" s="26" t="s">
        <v>60</v>
      </c>
      <c r="CE14" s="26" t="s">
        <v>59</v>
      </c>
      <c r="CF14" s="26"/>
      <c r="CG14" s="26"/>
      <c r="CH14" s="26" t="s">
        <v>59</v>
      </c>
      <c r="CI14" s="26" t="s">
        <v>59</v>
      </c>
      <c r="CJ14" s="26" t="s">
        <v>59</v>
      </c>
      <c r="CK14" s="26" t="s">
        <v>59</v>
      </c>
      <c r="CL14" s="26" t="s">
        <v>59</v>
      </c>
      <c r="CM14" s="26" t="s">
        <v>59</v>
      </c>
      <c r="CN14" s="26" t="s">
        <v>59</v>
      </c>
      <c r="CO14" s="26" t="s">
        <v>59</v>
      </c>
      <c r="CP14" s="26" t="s">
        <v>60</v>
      </c>
      <c r="CQ14" s="26" t="s">
        <v>60</v>
      </c>
      <c r="CR14" s="26" t="s">
        <v>59</v>
      </c>
      <c r="CS14" s="26"/>
      <c r="CT14" s="26"/>
      <c r="CU14" s="26" t="s">
        <v>59</v>
      </c>
      <c r="CV14" s="26" t="s">
        <v>59</v>
      </c>
      <c r="CW14" s="26" t="s">
        <v>59</v>
      </c>
      <c r="CX14" s="26" t="s">
        <v>59</v>
      </c>
      <c r="CY14" s="26" t="s">
        <v>59</v>
      </c>
      <c r="CZ14" s="26" t="s">
        <v>59</v>
      </c>
      <c r="DA14" s="26" t="s">
        <v>59</v>
      </c>
      <c r="DB14" s="26" t="s">
        <v>59</v>
      </c>
      <c r="DC14" s="26">
        <v>24</v>
      </c>
    </row>
    <row r="15" spans="1:114" ht="14">
      <c r="A15" s="49" t="s">
        <v>345</v>
      </c>
      <c r="B15" s="43">
        <v>10112</v>
      </c>
      <c r="C15" s="34">
        <v>2</v>
      </c>
      <c r="D15" s="43">
        <v>1</v>
      </c>
      <c r="E15" s="48" t="s">
        <v>139</v>
      </c>
      <c r="F15" s="26" t="s">
        <v>59</v>
      </c>
      <c r="G15" s="48">
        <f t="shared" si="0"/>
        <v>241</v>
      </c>
      <c r="H15" s="26" t="s">
        <v>59</v>
      </c>
      <c r="I15" s="26" t="s">
        <v>59</v>
      </c>
      <c r="J15" s="48" t="s">
        <v>59</v>
      </c>
      <c r="K15" s="26" t="s">
        <v>59</v>
      </c>
      <c r="L15" s="26" t="s">
        <v>59</v>
      </c>
      <c r="M15" s="26" t="s">
        <v>59</v>
      </c>
      <c r="N15" s="26" t="s">
        <v>59</v>
      </c>
      <c r="O15" s="26" t="s">
        <v>59</v>
      </c>
      <c r="P15" s="26" t="s">
        <v>59</v>
      </c>
      <c r="Q15" s="48" t="s">
        <v>59</v>
      </c>
      <c r="R15" s="48" t="s">
        <v>59</v>
      </c>
      <c r="S15" s="48" t="s">
        <v>59</v>
      </c>
      <c r="T15" s="48" t="s">
        <v>59</v>
      </c>
      <c r="U15" s="48">
        <v>126</v>
      </c>
      <c r="V15" s="48">
        <v>115</v>
      </c>
      <c r="W15" s="48" t="s">
        <v>59</v>
      </c>
      <c r="X15" s="48" t="s">
        <v>59</v>
      </c>
      <c r="Y15" s="69">
        <v>8.89</v>
      </c>
      <c r="Z15" s="69">
        <v>0.95</v>
      </c>
      <c r="AA15" s="69" t="s">
        <v>61</v>
      </c>
      <c r="AB15" s="69" t="s">
        <v>61</v>
      </c>
      <c r="AC15" s="69" t="s">
        <v>61</v>
      </c>
      <c r="AD15" s="69">
        <v>8.83</v>
      </c>
      <c r="AE15" s="69">
        <v>0.94</v>
      </c>
      <c r="AF15" s="69" t="s">
        <v>61</v>
      </c>
      <c r="AG15" s="69" t="s">
        <v>61</v>
      </c>
      <c r="AH15" s="69" t="s">
        <v>61</v>
      </c>
      <c r="AI15" s="69" t="s">
        <v>59</v>
      </c>
      <c r="AJ15" s="69" t="s">
        <v>59</v>
      </c>
      <c r="AK15" s="69" t="s">
        <v>59</v>
      </c>
      <c r="AL15" s="69" t="s">
        <v>59</v>
      </c>
      <c r="AM15" s="69" t="s">
        <v>59</v>
      </c>
      <c r="AN15" s="69" t="s">
        <v>59</v>
      </c>
      <c r="AO15" s="69" t="s">
        <v>59</v>
      </c>
      <c r="AP15" s="69" t="s">
        <v>59</v>
      </c>
      <c r="AQ15" s="69" t="s">
        <v>59</v>
      </c>
      <c r="AR15" s="69" t="s">
        <v>59</v>
      </c>
      <c r="AS15" s="69" t="s">
        <v>61</v>
      </c>
      <c r="AT15" s="69" t="s">
        <v>64</v>
      </c>
      <c r="AU15" s="69" t="s">
        <v>59</v>
      </c>
      <c r="AV15" s="69" t="s">
        <v>59</v>
      </c>
      <c r="AW15" s="69" t="s">
        <v>59</v>
      </c>
      <c r="AX15" s="69" t="s">
        <v>59</v>
      </c>
      <c r="AY15" s="215">
        <v>126</v>
      </c>
      <c r="AZ15" s="215">
        <v>115</v>
      </c>
      <c r="BA15" s="215" t="s">
        <v>59</v>
      </c>
      <c r="BB15" s="215" t="s">
        <v>59</v>
      </c>
      <c r="BC15" s="69">
        <v>8.19</v>
      </c>
      <c r="BD15" s="69">
        <v>0.75</v>
      </c>
      <c r="BE15" s="69" t="s">
        <v>61</v>
      </c>
      <c r="BF15" s="69">
        <v>0</v>
      </c>
      <c r="BG15" s="48">
        <v>1</v>
      </c>
      <c r="BH15" s="69" t="s">
        <v>61</v>
      </c>
      <c r="BI15" s="69" t="s">
        <v>61</v>
      </c>
      <c r="BJ15" s="69">
        <v>-0.7</v>
      </c>
      <c r="BK15" s="69" t="s">
        <v>61</v>
      </c>
      <c r="BL15" s="69">
        <v>0.06</v>
      </c>
      <c r="BM15" s="69" t="s">
        <v>61</v>
      </c>
      <c r="BN15" s="69" t="s">
        <v>61</v>
      </c>
      <c r="BO15" s="69" t="s">
        <v>286</v>
      </c>
      <c r="BP15" s="69">
        <v>8.1300000000000008</v>
      </c>
      <c r="BQ15" s="69">
        <v>0.82</v>
      </c>
      <c r="BR15" s="69" t="s">
        <v>61</v>
      </c>
      <c r="BS15" s="26">
        <v>0</v>
      </c>
      <c r="BT15" s="26">
        <v>1</v>
      </c>
      <c r="BU15" s="69" t="s">
        <v>61</v>
      </c>
      <c r="BV15" s="69" t="s">
        <v>61</v>
      </c>
      <c r="BW15" s="69">
        <v>-0.7</v>
      </c>
      <c r="BX15" s="69" t="s">
        <v>61</v>
      </c>
      <c r="BY15" s="69">
        <v>0.06</v>
      </c>
      <c r="BZ15" s="69" t="s">
        <v>61</v>
      </c>
      <c r="CA15" s="69" t="s">
        <v>61</v>
      </c>
      <c r="CB15" s="69" t="s">
        <v>286</v>
      </c>
      <c r="CC15" s="69" t="s">
        <v>59</v>
      </c>
      <c r="CD15" s="69" t="s">
        <v>59</v>
      </c>
      <c r="CE15" s="69" t="s">
        <v>59</v>
      </c>
      <c r="CF15" s="69"/>
      <c r="CG15" s="69"/>
      <c r="CH15" s="69" t="s">
        <v>59</v>
      </c>
      <c r="CI15" s="69" t="s">
        <v>59</v>
      </c>
      <c r="CJ15" s="69" t="s">
        <v>59</v>
      </c>
      <c r="CK15" s="69" t="s">
        <v>59</v>
      </c>
      <c r="CL15" s="69" t="s">
        <v>59</v>
      </c>
      <c r="CM15" s="69" t="s">
        <v>59</v>
      </c>
      <c r="CN15" s="69" t="s">
        <v>59</v>
      </c>
      <c r="CO15" s="69" t="s">
        <v>59</v>
      </c>
      <c r="CP15" s="69" t="s">
        <v>59</v>
      </c>
      <c r="CQ15" s="69" t="s">
        <v>59</v>
      </c>
      <c r="CR15" s="69" t="s">
        <v>59</v>
      </c>
      <c r="CS15" s="69"/>
      <c r="CT15" s="69"/>
      <c r="CU15" s="69" t="s">
        <v>59</v>
      </c>
      <c r="CV15" s="69" t="s">
        <v>59</v>
      </c>
      <c r="CW15" s="69" t="s">
        <v>59</v>
      </c>
      <c r="CX15" s="69" t="s">
        <v>59</v>
      </c>
      <c r="CY15" s="69" t="s">
        <v>59</v>
      </c>
      <c r="CZ15" s="69" t="s">
        <v>59</v>
      </c>
      <c r="DA15" s="69" t="s">
        <v>59</v>
      </c>
      <c r="DB15" s="69" t="s">
        <v>59</v>
      </c>
      <c r="DC15" s="69">
        <v>11</v>
      </c>
      <c r="DD15" s="55"/>
      <c r="DE15" s="43"/>
      <c r="DF15" s="43"/>
      <c r="DG15" s="43"/>
      <c r="DH15" s="43"/>
      <c r="DI15" s="43"/>
      <c r="DJ15" s="43"/>
    </row>
    <row r="16" spans="1:114">
      <c r="A16" s="34" t="s">
        <v>208</v>
      </c>
      <c r="B16" s="34">
        <v>5683</v>
      </c>
      <c r="C16" s="34">
        <v>2</v>
      </c>
      <c r="D16" s="43">
        <v>1</v>
      </c>
      <c r="E16" s="26" t="s">
        <v>139</v>
      </c>
      <c r="F16" s="26" t="s">
        <v>59</v>
      </c>
      <c r="G16" s="48">
        <f t="shared" si="0"/>
        <v>35</v>
      </c>
      <c r="H16" s="26" t="s">
        <v>59</v>
      </c>
      <c r="I16" s="26" t="s">
        <v>60</v>
      </c>
      <c r="J16" s="26" t="s">
        <v>59</v>
      </c>
      <c r="K16" s="26" t="s">
        <v>59</v>
      </c>
      <c r="L16" s="26" t="s">
        <v>59</v>
      </c>
      <c r="M16" s="26" t="s">
        <v>59</v>
      </c>
      <c r="N16" s="26" t="s">
        <v>59</v>
      </c>
      <c r="O16" s="26" t="s">
        <v>59</v>
      </c>
      <c r="P16" s="26" t="s">
        <v>59</v>
      </c>
      <c r="Q16" s="26" t="s">
        <v>60</v>
      </c>
      <c r="R16" s="26" t="s">
        <v>60</v>
      </c>
      <c r="S16" s="26" t="s">
        <v>60</v>
      </c>
      <c r="T16" s="26" t="s">
        <v>60</v>
      </c>
      <c r="U16" s="26">
        <v>16</v>
      </c>
      <c r="V16" s="26">
        <v>19</v>
      </c>
      <c r="W16" s="26" t="s">
        <v>60</v>
      </c>
      <c r="X16" s="26" t="s">
        <v>60</v>
      </c>
      <c r="Y16" s="26">
        <v>8.9</v>
      </c>
      <c r="Z16" s="26">
        <v>1.3</v>
      </c>
      <c r="AA16" s="26" t="s">
        <v>61</v>
      </c>
      <c r="AB16" s="26" t="s">
        <v>61</v>
      </c>
      <c r="AC16" s="27" t="s">
        <v>61</v>
      </c>
      <c r="AD16" s="26">
        <v>8.4</v>
      </c>
      <c r="AE16" s="26">
        <v>1.2</v>
      </c>
      <c r="AF16" s="26" t="s">
        <v>61</v>
      </c>
      <c r="AG16" s="26" t="s">
        <v>61</v>
      </c>
      <c r="AH16" s="27" t="s">
        <v>61</v>
      </c>
      <c r="AI16" s="26" t="s">
        <v>60</v>
      </c>
      <c r="AJ16" s="26" t="s">
        <v>60</v>
      </c>
      <c r="AK16" s="26" t="s">
        <v>59</v>
      </c>
      <c r="AL16" s="26" t="s">
        <v>59</v>
      </c>
      <c r="AM16" s="26" t="s">
        <v>59</v>
      </c>
      <c r="AN16" s="26" t="s">
        <v>60</v>
      </c>
      <c r="AO16" s="26" t="s">
        <v>60</v>
      </c>
      <c r="AP16" s="26" t="s">
        <v>59</v>
      </c>
      <c r="AQ16" s="26" t="s">
        <v>59</v>
      </c>
      <c r="AR16" s="26" t="s">
        <v>59</v>
      </c>
      <c r="AS16" s="26" t="s">
        <v>61</v>
      </c>
      <c r="AT16" s="26" t="s">
        <v>64</v>
      </c>
      <c r="AU16" s="26" t="s">
        <v>59</v>
      </c>
      <c r="AV16" s="26" t="s">
        <v>59</v>
      </c>
      <c r="AW16" s="26" t="s">
        <v>59</v>
      </c>
      <c r="AX16" s="26" t="s">
        <v>59</v>
      </c>
      <c r="AY16" s="186">
        <v>16</v>
      </c>
      <c r="AZ16" s="186">
        <v>19</v>
      </c>
      <c r="BA16" s="186" t="s">
        <v>60</v>
      </c>
      <c r="BB16" s="186" t="s">
        <v>60</v>
      </c>
      <c r="BC16" s="26">
        <v>7.6</v>
      </c>
      <c r="BD16" s="26">
        <v>0.7</v>
      </c>
      <c r="BE16" s="26" t="s">
        <v>61</v>
      </c>
      <c r="BF16" s="48">
        <v>0</v>
      </c>
      <c r="BG16" s="48">
        <v>1</v>
      </c>
      <c r="BH16" s="26" t="s">
        <v>61</v>
      </c>
      <c r="BI16" s="26" t="s">
        <v>61</v>
      </c>
      <c r="BJ16" s="26" t="s">
        <v>61</v>
      </c>
      <c r="BK16" s="26" t="s">
        <v>61</v>
      </c>
      <c r="BL16" s="26" t="s">
        <v>61</v>
      </c>
      <c r="BM16" s="26" t="s">
        <v>61</v>
      </c>
      <c r="BN16" s="26" t="s">
        <v>61</v>
      </c>
      <c r="BO16" s="26">
        <v>1E-3</v>
      </c>
      <c r="BP16" s="26">
        <v>7.6</v>
      </c>
      <c r="BQ16" s="26">
        <v>0.9</v>
      </c>
      <c r="BR16" s="26" t="s">
        <v>61</v>
      </c>
      <c r="BS16" s="26">
        <v>0</v>
      </c>
      <c r="BT16" s="26">
        <v>1</v>
      </c>
      <c r="BU16" s="27" t="s">
        <v>61</v>
      </c>
      <c r="BV16" s="27" t="s">
        <v>61</v>
      </c>
      <c r="BW16" s="26" t="s">
        <v>61</v>
      </c>
      <c r="BX16" s="26" t="s">
        <v>61</v>
      </c>
      <c r="BY16" s="27" t="s">
        <v>61</v>
      </c>
      <c r="BZ16" s="26" t="s">
        <v>61</v>
      </c>
      <c r="CA16" s="27" t="s">
        <v>61</v>
      </c>
      <c r="CB16" s="26">
        <v>8.0000000000000002E-3</v>
      </c>
      <c r="CC16" s="26" t="s">
        <v>60</v>
      </c>
      <c r="CD16" s="26" t="s">
        <v>60</v>
      </c>
      <c r="CE16" s="26" t="s">
        <v>59</v>
      </c>
      <c r="CF16" s="26"/>
      <c r="CG16" s="26"/>
      <c r="CH16" s="26" t="s">
        <v>59</v>
      </c>
      <c r="CI16" s="26" t="s">
        <v>59</v>
      </c>
      <c r="CJ16" s="26" t="s">
        <v>59</v>
      </c>
      <c r="CK16" s="26" t="s">
        <v>59</v>
      </c>
      <c r="CL16" s="26" t="s">
        <v>59</v>
      </c>
      <c r="CM16" s="26" t="s">
        <v>59</v>
      </c>
      <c r="CN16" s="26" t="s">
        <v>59</v>
      </c>
      <c r="CO16" s="26" t="s">
        <v>59</v>
      </c>
      <c r="CP16" s="26" t="s">
        <v>60</v>
      </c>
      <c r="CQ16" s="26" t="s">
        <v>60</v>
      </c>
      <c r="CR16" s="26" t="s">
        <v>59</v>
      </c>
      <c r="CS16" s="26"/>
      <c r="CT16" s="26"/>
      <c r="CU16" s="26" t="s">
        <v>59</v>
      </c>
      <c r="CV16" s="26" t="s">
        <v>59</v>
      </c>
      <c r="CW16" s="26" t="s">
        <v>59</v>
      </c>
      <c r="CX16" s="26" t="s">
        <v>59</v>
      </c>
      <c r="CY16" s="26" t="s">
        <v>59</v>
      </c>
      <c r="CZ16" s="26" t="s">
        <v>59</v>
      </c>
      <c r="DA16" s="26" t="s">
        <v>59</v>
      </c>
      <c r="DB16" s="26" t="s">
        <v>59</v>
      </c>
      <c r="DC16" s="26">
        <v>12</v>
      </c>
    </row>
    <row r="17" spans="1:114" ht="14">
      <c r="A17" s="49" t="s">
        <v>378</v>
      </c>
      <c r="B17" s="43">
        <v>10791</v>
      </c>
      <c r="C17" s="34">
        <v>2</v>
      </c>
      <c r="D17" s="43">
        <v>1</v>
      </c>
      <c r="E17" s="48" t="s">
        <v>139</v>
      </c>
      <c r="F17" s="26" t="s">
        <v>59</v>
      </c>
      <c r="G17" s="48">
        <f t="shared" si="0"/>
        <v>64</v>
      </c>
      <c r="H17" s="26" t="s">
        <v>59</v>
      </c>
      <c r="I17" s="26" t="s">
        <v>59</v>
      </c>
      <c r="J17" s="48" t="s">
        <v>59</v>
      </c>
      <c r="K17" s="26" t="s">
        <v>59</v>
      </c>
      <c r="L17" s="26" t="s">
        <v>59</v>
      </c>
      <c r="M17" s="26" t="s">
        <v>59</v>
      </c>
      <c r="N17" s="26" t="s">
        <v>59</v>
      </c>
      <c r="O17" s="26" t="s">
        <v>59</v>
      </c>
      <c r="P17" s="26" t="s">
        <v>59</v>
      </c>
      <c r="Q17" s="48" t="s">
        <v>59</v>
      </c>
      <c r="R17" s="48" t="s">
        <v>59</v>
      </c>
      <c r="S17" s="48" t="s">
        <v>59</v>
      </c>
      <c r="T17" s="48" t="s">
        <v>59</v>
      </c>
      <c r="U17" s="48">
        <v>35</v>
      </c>
      <c r="V17" s="48">
        <v>36</v>
      </c>
      <c r="W17" s="48" t="s">
        <v>59</v>
      </c>
      <c r="X17" s="48" t="s">
        <v>59</v>
      </c>
      <c r="Y17" s="69">
        <v>8</v>
      </c>
      <c r="Z17" s="69">
        <v>1</v>
      </c>
      <c r="AA17" s="69" t="s">
        <v>61</v>
      </c>
      <c r="AB17" s="69" t="s">
        <v>61</v>
      </c>
      <c r="AC17" s="69" t="s">
        <v>61</v>
      </c>
      <c r="AD17" s="69">
        <v>8</v>
      </c>
      <c r="AE17" s="69">
        <v>0.8</v>
      </c>
      <c r="AF17" s="69" t="s">
        <v>61</v>
      </c>
      <c r="AG17" s="69" t="s">
        <v>61</v>
      </c>
      <c r="AH17" s="69" t="s">
        <v>61</v>
      </c>
      <c r="AI17" s="69" t="s">
        <v>59</v>
      </c>
      <c r="AJ17" s="69" t="s">
        <v>59</v>
      </c>
      <c r="AK17" s="69" t="s">
        <v>59</v>
      </c>
      <c r="AL17" s="69" t="s">
        <v>59</v>
      </c>
      <c r="AM17" s="69" t="s">
        <v>59</v>
      </c>
      <c r="AN17" s="69" t="s">
        <v>59</v>
      </c>
      <c r="AO17" s="69" t="s">
        <v>59</v>
      </c>
      <c r="AP17" s="69" t="s">
        <v>59</v>
      </c>
      <c r="AQ17" s="69" t="s">
        <v>59</v>
      </c>
      <c r="AR17" s="69" t="s">
        <v>59</v>
      </c>
      <c r="AS17" s="69">
        <v>0.78</v>
      </c>
      <c r="AT17" s="69" t="s">
        <v>64</v>
      </c>
      <c r="AU17" s="69" t="s">
        <v>59</v>
      </c>
      <c r="AV17" s="69" t="s">
        <v>59</v>
      </c>
      <c r="AW17" s="69" t="s">
        <v>59</v>
      </c>
      <c r="AX17" s="69" t="s">
        <v>59</v>
      </c>
      <c r="AY17" s="215">
        <v>32</v>
      </c>
      <c r="AZ17" s="215">
        <v>32</v>
      </c>
      <c r="BA17" s="215" t="s">
        <v>59</v>
      </c>
      <c r="BB17" s="215" t="s">
        <v>59</v>
      </c>
      <c r="BC17" s="69">
        <v>7.8</v>
      </c>
      <c r="BD17" s="69">
        <v>1.1000000000000001</v>
      </c>
      <c r="BE17" s="69" t="s">
        <v>61</v>
      </c>
      <c r="BF17" s="48">
        <v>0</v>
      </c>
      <c r="BG17" s="48">
        <v>1</v>
      </c>
      <c r="BH17" s="69" t="s">
        <v>61</v>
      </c>
      <c r="BI17" s="69" t="s">
        <v>61</v>
      </c>
      <c r="BJ17" s="69">
        <v>-0.2</v>
      </c>
      <c r="BK17" s="69" t="s">
        <v>61</v>
      </c>
      <c r="BL17" s="69" t="s">
        <v>61</v>
      </c>
      <c r="BM17" s="69" t="s">
        <v>61</v>
      </c>
      <c r="BN17" s="69" t="s">
        <v>61</v>
      </c>
      <c r="BO17" s="69">
        <v>0.11</v>
      </c>
      <c r="BP17" s="69">
        <v>7.5</v>
      </c>
      <c r="BQ17" s="69">
        <v>0.9</v>
      </c>
      <c r="BR17" s="69" t="s">
        <v>61</v>
      </c>
      <c r="BS17" s="26">
        <v>0</v>
      </c>
      <c r="BT17" s="26">
        <v>1</v>
      </c>
      <c r="BU17" s="69" t="s">
        <v>61</v>
      </c>
      <c r="BV17" s="69" t="s">
        <v>61</v>
      </c>
      <c r="BW17" s="69">
        <v>-0.5</v>
      </c>
      <c r="BX17" s="69" t="s">
        <v>61</v>
      </c>
      <c r="BY17" s="69" t="s">
        <v>61</v>
      </c>
      <c r="BZ17" s="69" t="s">
        <v>61</v>
      </c>
      <c r="CA17" s="69" t="s">
        <v>61</v>
      </c>
      <c r="CB17" s="69" t="s">
        <v>180</v>
      </c>
      <c r="CC17" s="69" t="s">
        <v>59</v>
      </c>
      <c r="CD17" s="69" t="s">
        <v>59</v>
      </c>
      <c r="CE17" s="69" t="s">
        <v>59</v>
      </c>
      <c r="CF17" s="69"/>
      <c r="CG17" s="69"/>
      <c r="CH17" s="69" t="s">
        <v>59</v>
      </c>
      <c r="CI17" s="69" t="s">
        <v>59</v>
      </c>
      <c r="CJ17" s="69" t="s">
        <v>59</v>
      </c>
      <c r="CK17" s="69" t="s">
        <v>59</v>
      </c>
      <c r="CL17" s="69" t="s">
        <v>59</v>
      </c>
      <c r="CM17" s="69" t="s">
        <v>59</v>
      </c>
      <c r="CN17" s="69" t="s">
        <v>59</v>
      </c>
      <c r="CO17" s="69" t="s">
        <v>59</v>
      </c>
      <c r="CP17" s="69" t="s">
        <v>59</v>
      </c>
      <c r="CQ17" s="69" t="s">
        <v>59</v>
      </c>
      <c r="CR17" s="69" t="s">
        <v>59</v>
      </c>
      <c r="CS17" s="69"/>
      <c r="CT17" s="69"/>
      <c r="CU17" s="69" t="s">
        <v>59</v>
      </c>
      <c r="CV17" s="69" t="s">
        <v>59</v>
      </c>
      <c r="CW17" s="69" t="s">
        <v>59</v>
      </c>
      <c r="CX17" s="69" t="s">
        <v>59</v>
      </c>
      <c r="CY17" s="69" t="s">
        <v>59</v>
      </c>
      <c r="CZ17" s="69" t="s">
        <v>59</v>
      </c>
      <c r="DA17" s="69" t="s">
        <v>59</v>
      </c>
      <c r="DB17" s="69" t="s">
        <v>59</v>
      </c>
      <c r="DC17" s="69">
        <v>3</v>
      </c>
      <c r="DD17" s="55"/>
      <c r="DE17" s="43"/>
      <c r="DF17" s="43"/>
      <c r="DG17" s="43"/>
      <c r="DH17" s="43"/>
      <c r="DI17" s="43"/>
      <c r="DJ17" s="43"/>
    </row>
    <row r="18" spans="1:114">
      <c r="A18" s="49" t="s">
        <v>378</v>
      </c>
      <c r="B18" s="43">
        <v>10839</v>
      </c>
      <c r="C18" s="34">
        <v>2</v>
      </c>
      <c r="D18" s="43">
        <v>1</v>
      </c>
      <c r="E18" s="48" t="s">
        <v>139</v>
      </c>
      <c r="F18" s="26" t="s">
        <v>59</v>
      </c>
      <c r="G18" s="48">
        <f t="shared" si="0"/>
        <v>75</v>
      </c>
      <c r="H18" s="26" t="s">
        <v>59</v>
      </c>
      <c r="I18" s="26" t="s">
        <v>59</v>
      </c>
      <c r="J18" s="48" t="s">
        <v>59</v>
      </c>
      <c r="K18" s="26" t="s">
        <v>59</v>
      </c>
      <c r="L18" s="26" t="s">
        <v>59</v>
      </c>
      <c r="M18" s="26" t="s">
        <v>59</v>
      </c>
      <c r="N18" s="26" t="s">
        <v>59</v>
      </c>
      <c r="O18" s="26" t="s">
        <v>59</v>
      </c>
      <c r="P18" s="26" t="s">
        <v>59</v>
      </c>
      <c r="Q18" s="48" t="s">
        <v>59</v>
      </c>
      <c r="R18" s="48" t="s">
        <v>59</v>
      </c>
      <c r="S18" s="48" t="s">
        <v>59</v>
      </c>
      <c r="T18" s="48" t="s">
        <v>59</v>
      </c>
      <c r="U18" s="48">
        <v>39</v>
      </c>
      <c r="V18" s="48">
        <v>36</v>
      </c>
      <c r="W18" s="48" t="s">
        <v>59</v>
      </c>
      <c r="X18" s="48" t="s">
        <v>59</v>
      </c>
      <c r="Y18" s="48">
        <v>7.4</v>
      </c>
      <c r="Z18" s="48">
        <v>0.7</v>
      </c>
      <c r="AA18" s="26" t="s">
        <v>61</v>
      </c>
      <c r="AB18" s="48" t="s">
        <v>61</v>
      </c>
      <c r="AC18" s="48" t="s">
        <v>61</v>
      </c>
      <c r="AD18" s="48">
        <v>7.3</v>
      </c>
      <c r="AE18" s="48">
        <v>0.7</v>
      </c>
      <c r="AF18" s="48" t="s">
        <v>61</v>
      </c>
      <c r="AG18" s="48" t="s">
        <v>61</v>
      </c>
      <c r="AH18" s="48" t="s">
        <v>61</v>
      </c>
      <c r="AI18" s="48" t="s">
        <v>59</v>
      </c>
      <c r="AJ18" s="48" t="s">
        <v>59</v>
      </c>
      <c r="AK18" s="48" t="s">
        <v>59</v>
      </c>
      <c r="AL18" s="48" t="s">
        <v>59</v>
      </c>
      <c r="AM18" s="48" t="s">
        <v>59</v>
      </c>
      <c r="AN18" s="48" t="s">
        <v>59</v>
      </c>
      <c r="AO18" s="48" t="s">
        <v>59</v>
      </c>
      <c r="AP18" s="48" t="s">
        <v>59</v>
      </c>
      <c r="AQ18" s="48" t="s">
        <v>59</v>
      </c>
      <c r="AR18" s="48" t="s">
        <v>59</v>
      </c>
      <c r="AS18" s="48" t="s">
        <v>61</v>
      </c>
      <c r="AT18" s="48" t="s">
        <v>64</v>
      </c>
      <c r="AU18" s="48" t="s">
        <v>59</v>
      </c>
      <c r="AV18" s="48" t="s">
        <v>59</v>
      </c>
      <c r="AW18" s="48" t="s">
        <v>59</v>
      </c>
      <c r="AX18" s="48" t="s">
        <v>59</v>
      </c>
      <c r="AY18" s="73">
        <v>39</v>
      </c>
      <c r="AZ18" s="73">
        <v>36</v>
      </c>
      <c r="BA18" s="73" t="s">
        <v>59</v>
      </c>
      <c r="BB18" s="73" t="s">
        <v>59</v>
      </c>
      <c r="BC18" s="48">
        <v>7.7</v>
      </c>
      <c r="BD18" s="48">
        <v>1.3</v>
      </c>
      <c r="BE18" s="48" t="s">
        <v>61</v>
      </c>
      <c r="BF18" s="48">
        <v>0</v>
      </c>
      <c r="BG18" s="48">
        <v>1</v>
      </c>
      <c r="BH18" s="48" t="s">
        <v>61</v>
      </c>
      <c r="BI18" s="48" t="s">
        <v>61</v>
      </c>
      <c r="BJ18" s="48" t="s">
        <v>61</v>
      </c>
      <c r="BK18" s="48" t="s">
        <v>61</v>
      </c>
      <c r="BL18" s="48" t="s">
        <v>61</v>
      </c>
      <c r="BM18" s="48" t="s">
        <v>61</v>
      </c>
      <c r="BN18" s="48" t="s">
        <v>61</v>
      </c>
      <c r="BO18" s="48" t="s">
        <v>61</v>
      </c>
      <c r="BP18" s="48">
        <v>7.7</v>
      </c>
      <c r="BQ18" s="48">
        <v>0.9</v>
      </c>
      <c r="BR18" s="48" t="s">
        <v>61</v>
      </c>
      <c r="BS18" s="26">
        <v>0</v>
      </c>
      <c r="BT18" s="26">
        <v>1</v>
      </c>
      <c r="BU18" s="48" t="s">
        <v>61</v>
      </c>
      <c r="BV18" s="48" t="s">
        <v>61</v>
      </c>
      <c r="BW18" s="48" t="s">
        <v>61</v>
      </c>
      <c r="BX18" s="48" t="s">
        <v>61</v>
      </c>
      <c r="BY18" s="48" t="s">
        <v>61</v>
      </c>
      <c r="BZ18" s="48" t="s">
        <v>61</v>
      </c>
      <c r="CA18" s="48" t="s">
        <v>61</v>
      </c>
      <c r="CB18" s="48" t="s">
        <v>61</v>
      </c>
      <c r="CC18" s="48" t="s">
        <v>59</v>
      </c>
      <c r="CD18" s="48" t="s">
        <v>59</v>
      </c>
      <c r="CE18" s="48" t="s">
        <v>59</v>
      </c>
      <c r="CF18" s="48"/>
      <c r="CG18" s="48"/>
      <c r="CH18" s="48" t="s">
        <v>59</v>
      </c>
      <c r="CI18" s="48" t="s">
        <v>59</v>
      </c>
      <c r="CJ18" s="48" t="s">
        <v>59</v>
      </c>
      <c r="CK18" s="48" t="s">
        <v>59</v>
      </c>
      <c r="CL18" s="48" t="s">
        <v>59</v>
      </c>
      <c r="CM18" s="48" t="s">
        <v>59</v>
      </c>
      <c r="CN18" s="48" t="s">
        <v>59</v>
      </c>
      <c r="CO18" s="48" t="s">
        <v>59</v>
      </c>
      <c r="CP18" s="48" t="s">
        <v>59</v>
      </c>
      <c r="CQ18" s="48" t="s">
        <v>59</v>
      </c>
      <c r="CR18" s="48" t="s">
        <v>59</v>
      </c>
      <c r="CS18" s="48"/>
      <c r="CT18" s="48"/>
      <c r="CU18" s="48" t="s">
        <v>59</v>
      </c>
      <c r="CV18" s="48" t="s">
        <v>59</v>
      </c>
      <c r="CW18" s="48" t="s">
        <v>59</v>
      </c>
      <c r="CX18" s="48" t="s">
        <v>59</v>
      </c>
      <c r="CY18" s="48" t="s">
        <v>59</v>
      </c>
      <c r="CZ18" s="48" t="s">
        <v>59</v>
      </c>
      <c r="DA18" s="48" t="s">
        <v>59</v>
      </c>
      <c r="DB18" s="48" t="s">
        <v>59</v>
      </c>
      <c r="DC18" s="48">
        <v>6</v>
      </c>
      <c r="DD18" s="55"/>
      <c r="DE18" s="43"/>
      <c r="DF18" s="43"/>
      <c r="DG18" s="43"/>
      <c r="DH18" s="43"/>
      <c r="DI18" s="43"/>
      <c r="DJ18" s="43"/>
    </row>
    <row r="19" spans="1:114">
      <c r="A19" s="34" t="s">
        <v>207</v>
      </c>
      <c r="B19" s="34">
        <v>5637</v>
      </c>
      <c r="C19" s="34">
        <v>2</v>
      </c>
      <c r="D19" s="43">
        <v>1</v>
      </c>
      <c r="E19" s="26" t="s">
        <v>139</v>
      </c>
      <c r="F19" s="26" t="s">
        <v>59</v>
      </c>
      <c r="G19" s="48">
        <f t="shared" si="0"/>
        <v>71</v>
      </c>
      <c r="H19" s="26" t="s">
        <v>59</v>
      </c>
      <c r="I19" s="26" t="s">
        <v>60</v>
      </c>
      <c r="J19" s="26" t="s">
        <v>59</v>
      </c>
      <c r="K19" s="26" t="s">
        <v>59</v>
      </c>
      <c r="L19" s="26" t="s">
        <v>59</v>
      </c>
      <c r="M19" s="26" t="s">
        <v>59</v>
      </c>
      <c r="N19" s="26" t="s">
        <v>59</v>
      </c>
      <c r="O19" s="26" t="s">
        <v>59</v>
      </c>
      <c r="P19" s="26" t="s">
        <v>59</v>
      </c>
      <c r="Q19" s="26" t="s">
        <v>60</v>
      </c>
      <c r="R19" s="26" t="s">
        <v>60</v>
      </c>
      <c r="S19" s="26" t="s">
        <v>60</v>
      </c>
      <c r="T19" s="26" t="s">
        <v>60</v>
      </c>
      <c r="U19" s="26">
        <v>40</v>
      </c>
      <c r="V19" s="26">
        <v>40</v>
      </c>
      <c r="W19" s="26" t="s">
        <v>60</v>
      </c>
      <c r="X19" s="26" t="s">
        <v>60</v>
      </c>
      <c r="Y19" s="26">
        <v>7.5</v>
      </c>
      <c r="Z19" s="26">
        <v>1.3</v>
      </c>
      <c r="AA19" s="26" t="s">
        <v>61</v>
      </c>
      <c r="AB19" s="26" t="s">
        <v>61</v>
      </c>
      <c r="AC19" s="27" t="s">
        <v>61</v>
      </c>
      <c r="AD19" s="26">
        <v>7.7</v>
      </c>
      <c r="AE19" s="26">
        <v>1.5</v>
      </c>
      <c r="AF19" s="26" t="s">
        <v>61</v>
      </c>
      <c r="AG19" s="26" t="s">
        <v>61</v>
      </c>
      <c r="AH19" s="27" t="s">
        <v>61</v>
      </c>
      <c r="AI19" s="26" t="s">
        <v>60</v>
      </c>
      <c r="AJ19" s="26" t="s">
        <v>60</v>
      </c>
      <c r="AK19" s="26" t="s">
        <v>59</v>
      </c>
      <c r="AL19" s="26" t="s">
        <v>59</v>
      </c>
      <c r="AM19" s="26" t="s">
        <v>59</v>
      </c>
      <c r="AN19" s="26" t="s">
        <v>60</v>
      </c>
      <c r="AO19" s="26" t="s">
        <v>60</v>
      </c>
      <c r="AP19" s="26" t="s">
        <v>59</v>
      </c>
      <c r="AQ19" s="26" t="s">
        <v>59</v>
      </c>
      <c r="AR19" s="26" t="s">
        <v>59</v>
      </c>
      <c r="AS19" s="26">
        <v>0.45700000000000002</v>
      </c>
      <c r="AT19" s="26" t="s">
        <v>64</v>
      </c>
      <c r="AU19" s="26" t="s">
        <v>59</v>
      </c>
      <c r="AV19" s="26" t="s">
        <v>59</v>
      </c>
      <c r="AW19" s="26" t="s">
        <v>59</v>
      </c>
      <c r="AX19" s="26" t="s">
        <v>59</v>
      </c>
      <c r="AY19" s="186">
        <f>40-4</f>
        <v>36</v>
      </c>
      <c r="AZ19" s="186">
        <f>40-5</f>
        <v>35</v>
      </c>
      <c r="BA19" s="186" t="s">
        <v>60</v>
      </c>
      <c r="BB19" s="186" t="s">
        <v>60</v>
      </c>
      <c r="BC19" s="26">
        <v>7.4</v>
      </c>
      <c r="BD19" s="26">
        <v>1.3</v>
      </c>
      <c r="BE19" s="26" t="s">
        <v>61</v>
      </c>
      <c r="BF19" s="48">
        <v>0</v>
      </c>
      <c r="BG19" s="48">
        <v>1</v>
      </c>
      <c r="BH19" s="27" t="s">
        <v>61</v>
      </c>
      <c r="BI19" s="27" t="s">
        <v>61</v>
      </c>
      <c r="BJ19" s="26" t="s">
        <v>61</v>
      </c>
      <c r="BK19" s="26" t="s">
        <v>61</v>
      </c>
      <c r="BL19" s="26" t="s">
        <v>61</v>
      </c>
      <c r="BM19" s="26" t="s">
        <v>61</v>
      </c>
      <c r="BN19" s="26" t="s">
        <v>61</v>
      </c>
      <c r="BO19" s="26" t="s">
        <v>61</v>
      </c>
      <c r="BP19" s="26">
        <v>6.7</v>
      </c>
      <c r="BQ19" s="26">
        <v>0.9</v>
      </c>
      <c r="BR19" s="26" t="s">
        <v>61</v>
      </c>
      <c r="BS19" s="26">
        <v>0</v>
      </c>
      <c r="BT19" s="26">
        <v>1</v>
      </c>
      <c r="BU19" s="27" t="s">
        <v>61</v>
      </c>
      <c r="BV19" s="27" t="s">
        <v>61</v>
      </c>
      <c r="BW19" s="26" t="s">
        <v>61</v>
      </c>
      <c r="BX19" s="26" t="s">
        <v>61</v>
      </c>
      <c r="BY19" s="27" t="s">
        <v>61</v>
      </c>
      <c r="BZ19" s="26" t="s">
        <v>61</v>
      </c>
      <c r="CA19" s="27" t="s">
        <v>61</v>
      </c>
      <c r="CB19" s="26" t="s">
        <v>61</v>
      </c>
      <c r="CC19" s="26" t="s">
        <v>60</v>
      </c>
      <c r="CD19" s="26" t="s">
        <v>60</v>
      </c>
      <c r="CE19" s="26" t="s">
        <v>59</v>
      </c>
      <c r="CF19" s="26"/>
      <c r="CG19" s="26"/>
      <c r="CH19" s="26" t="s">
        <v>59</v>
      </c>
      <c r="CI19" s="26" t="s">
        <v>59</v>
      </c>
      <c r="CJ19" s="26" t="s">
        <v>59</v>
      </c>
      <c r="CK19" s="26" t="s">
        <v>59</v>
      </c>
      <c r="CL19" s="26" t="s">
        <v>59</v>
      </c>
      <c r="CM19" s="26" t="s">
        <v>59</v>
      </c>
      <c r="CN19" s="26" t="s">
        <v>59</v>
      </c>
      <c r="CO19" s="26" t="s">
        <v>59</v>
      </c>
      <c r="CP19" s="26" t="s">
        <v>60</v>
      </c>
      <c r="CQ19" s="26" t="s">
        <v>60</v>
      </c>
      <c r="CR19" s="26" t="s">
        <v>59</v>
      </c>
      <c r="CS19" s="26"/>
      <c r="CT19" s="26"/>
      <c r="CU19" s="26" t="s">
        <v>59</v>
      </c>
      <c r="CV19" s="26" t="s">
        <v>59</v>
      </c>
      <c r="CW19" s="26" t="s">
        <v>59</v>
      </c>
      <c r="CX19" s="26" t="s">
        <v>59</v>
      </c>
      <c r="CY19" s="26" t="s">
        <v>59</v>
      </c>
      <c r="CZ19" s="26" t="s">
        <v>59</v>
      </c>
      <c r="DA19" s="26" t="s">
        <v>59</v>
      </c>
      <c r="DB19" s="26" t="s">
        <v>59</v>
      </c>
      <c r="DC19" s="26">
        <v>30</v>
      </c>
    </row>
    <row r="20" spans="1:114" ht="14">
      <c r="A20" s="49" t="s">
        <v>418</v>
      </c>
      <c r="B20" s="43">
        <v>12433</v>
      </c>
      <c r="C20" s="34">
        <v>2</v>
      </c>
      <c r="D20" s="43">
        <v>1</v>
      </c>
      <c r="E20" s="48" t="s">
        <v>139</v>
      </c>
      <c r="F20" s="26" t="s">
        <v>59</v>
      </c>
      <c r="G20" s="48">
        <f t="shared" si="0"/>
        <v>92</v>
      </c>
      <c r="H20" s="26" t="s">
        <v>59</v>
      </c>
      <c r="I20" s="26" t="s">
        <v>59</v>
      </c>
      <c r="J20" s="48" t="s">
        <v>59</v>
      </c>
      <c r="K20" s="26" t="s">
        <v>59</v>
      </c>
      <c r="L20" s="26" t="s">
        <v>59</v>
      </c>
      <c r="M20" s="26" t="s">
        <v>59</v>
      </c>
      <c r="N20" s="26" t="s">
        <v>59</v>
      </c>
      <c r="O20" s="26" t="s">
        <v>59</v>
      </c>
      <c r="P20" s="26" t="s">
        <v>59</v>
      </c>
      <c r="Q20" s="48" t="s">
        <v>59</v>
      </c>
      <c r="R20" s="48" t="s">
        <v>59</v>
      </c>
      <c r="S20" s="48" t="s">
        <v>59</v>
      </c>
      <c r="T20" s="48" t="s">
        <v>59</v>
      </c>
      <c r="U20" s="48">
        <v>32</v>
      </c>
      <c r="V20" s="48">
        <v>60</v>
      </c>
      <c r="W20" s="48" t="s">
        <v>59</v>
      </c>
      <c r="X20" s="48" t="s">
        <v>59</v>
      </c>
      <c r="Y20" s="69">
        <v>7.3</v>
      </c>
      <c r="Z20" s="69">
        <v>0.9</v>
      </c>
      <c r="AA20" s="69" t="s">
        <v>61</v>
      </c>
      <c r="AB20" s="69" t="s">
        <v>61</v>
      </c>
      <c r="AC20" s="69" t="s">
        <v>61</v>
      </c>
      <c r="AD20" s="69">
        <v>7.3</v>
      </c>
      <c r="AE20" s="69">
        <v>0.9</v>
      </c>
      <c r="AF20" s="69" t="s">
        <v>61</v>
      </c>
      <c r="AG20" s="69" t="s">
        <v>61</v>
      </c>
      <c r="AH20" s="69" t="s">
        <v>61</v>
      </c>
      <c r="AI20" s="69" t="s">
        <v>59</v>
      </c>
      <c r="AJ20" s="69" t="s">
        <v>59</v>
      </c>
      <c r="AK20" s="69" t="s">
        <v>59</v>
      </c>
      <c r="AL20" s="69" t="s">
        <v>59</v>
      </c>
      <c r="AM20" s="69" t="s">
        <v>59</v>
      </c>
      <c r="AN20" s="69" t="s">
        <v>59</v>
      </c>
      <c r="AO20" s="69" t="s">
        <v>59</v>
      </c>
      <c r="AP20" s="69" t="s">
        <v>59</v>
      </c>
      <c r="AQ20" s="69" t="s">
        <v>59</v>
      </c>
      <c r="AR20" s="69" t="s">
        <v>59</v>
      </c>
      <c r="AS20" s="69" t="s">
        <v>156</v>
      </c>
      <c r="AT20" s="69" t="s">
        <v>64</v>
      </c>
      <c r="AU20" s="69" t="s">
        <v>59</v>
      </c>
      <c r="AV20" s="69" t="s">
        <v>59</v>
      </c>
      <c r="AW20" s="69" t="s">
        <v>59</v>
      </c>
      <c r="AX20" s="69" t="s">
        <v>59</v>
      </c>
      <c r="AY20" s="215">
        <v>32</v>
      </c>
      <c r="AZ20" s="215">
        <v>60</v>
      </c>
      <c r="BA20" s="215" t="s">
        <v>59</v>
      </c>
      <c r="BB20" s="215" t="s">
        <v>59</v>
      </c>
      <c r="BC20" s="69">
        <v>7.6</v>
      </c>
      <c r="BD20" s="69">
        <v>1.5</v>
      </c>
      <c r="BE20" s="69" t="s">
        <v>61</v>
      </c>
      <c r="BF20" s="48">
        <v>0</v>
      </c>
      <c r="BG20" s="48">
        <v>1</v>
      </c>
      <c r="BH20" s="69" t="s">
        <v>61</v>
      </c>
      <c r="BI20" s="69" t="s">
        <v>61</v>
      </c>
      <c r="BJ20" s="69" t="s">
        <v>61</v>
      </c>
      <c r="BK20" s="69" t="s">
        <v>61</v>
      </c>
      <c r="BL20" s="69" t="s">
        <v>61</v>
      </c>
      <c r="BM20" s="69" t="s">
        <v>61</v>
      </c>
      <c r="BN20" s="69" t="s">
        <v>61</v>
      </c>
      <c r="BO20" s="69" t="s">
        <v>61</v>
      </c>
      <c r="BP20" s="69">
        <v>7.3</v>
      </c>
      <c r="BQ20" s="69">
        <v>0.9</v>
      </c>
      <c r="BR20" s="69" t="s">
        <v>61</v>
      </c>
      <c r="BS20" s="26">
        <v>0</v>
      </c>
      <c r="BT20" s="26">
        <v>1</v>
      </c>
      <c r="BU20" s="69" t="s">
        <v>61</v>
      </c>
      <c r="BV20" s="69" t="s">
        <v>61</v>
      </c>
      <c r="BW20" s="69" t="s">
        <v>61</v>
      </c>
      <c r="BX20" s="69" t="s">
        <v>61</v>
      </c>
      <c r="BY20" s="69" t="s">
        <v>61</v>
      </c>
      <c r="BZ20" s="69" t="s">
        <v>61</v>
      </c>
      <c r="CA20" s="69" t="s">
        <v>61</v>
      </c>
      <c r="CB20" s="69" t="s">
        <v>61</v>
      </c>
      <c r="CC20" s="69" t="s">
        <v>59</v>
      </c>
      <c r="CD20" s="69" t="s">
        <v>59</v>
      </c>
      <c r="CE20" s="69" t="s">
        <v>59</v>
      </c>
      <c r="CF20" s="69"/>
      <c r="CG20" s="69"/>
      <c r="CH20" s="69" t="s">
        <v>59</v>
      </c>
      <c r="CI20" s="69" t="s">
        <v>59</v>
      </c>
      <c r="CJ20" s="69" t="s">
        <v>59</v>
      </c>
      <c r="CK20" s="69" t="s">
        <v>59</v>
      </c>
      <c r="CL20" s="69" t="s">
        <v>59</v>
      </c>
      <c r="CM20" s="69" t="s">
        <v>59</v>
      </c>
      <c r="CN20" s="69" t="s">
        <v>59</v>
      </c>
      <c r="CO20" s="69" t="s">
        <v>59</v>
      </c>
      <c r="CP20" s="69" t="s">
        <v>59</v>
      </c>
      <c r="CQ20" s="69" t="s">
        <v>59</v>
      </c>
      <c r="CR20" s="69" t="s">
        <v>59</v>
      </c>
      <c r="CS20" s="69"/>
      <c r="CT20" s="69"/>
      <c r="CU20" s="69" t="s">
        <v>59</v>
      </c>
      <c r="CV20" s="69" t="s">
        <v>59</v>
      </c>
      <c r="CW20" s="69" t="s">
        <v>59</v>
      </c>
      <c r="CX20" s="69" t="s">
        <v>59</v>
      </c>
      <c r="CY20" s="69" t="s">
        <v>59</v>
      </c>
      <c r="CZ20" s="69" t="s">
        <v>59</v>
      </c>
      <c r="DA20" s="69" t="s">
        <v>59</v>
      </c>
      <c r="DB20" s="69" t="s">
        <v>59</v>
      </c>
      <c r="DC20" s="69">
        <v>12</v>
      </c>
      <c r="DD20" s="55"/>
      <c r="DE20" s="43"/>
      <c r="DF20" s="43"/>
      <c r="DG20" s="43"/>
      <c r="DH20" s="43"/>
      <c r="DI20" s="43"/>
      <c r="DJ20" s="43"/>
    </row>
    <row r="21" spans="1:114">
      <c r="A21" s="51" t="s">
        <v>385</v>
      </c>
      <c r="B21" s="43">
        <v>11240</v>
      </c>
      <c r="C21" s="43">
        <v>3</v>
      </c>
      <c r="D21" s="43">
        <v>1</v>
      </c>
      <c r="E21" s="48" t="s">
        <v>139</v>
      </c>
      <c r="F21" s="26" t="s">
        <v>59</v>
      </c>
      <c r="G21" s="48">
        <f t="shared" si="0"/>
        <v>579</v>
      </c>
      <c r="H21" s="26" t="s">
        <v>59</v>
      </c>
      <c r="I21" s="26" t="s">
        <v>59</v>
      </c>
      <c r="J21" s="48" t="s">
        <v>59</v>
      </c>
      <c r="K21" s="26" t="s">
        <v>59</v>
      </c>
      <c r="L21" s="26" t="s">
        <v>59</v>
      </c>
      <c r="M21" s="26" t="s">
        <v>59</v>
      </c>
      <c r="N21" s="26" t="s">
        <v>59</v>
      </c>
      <c r="O21" s="26" t="s">
        <v>59</v>
      </c>
      <c r="P21" s="26" t="s">
        <v>59</v>
      </c>
      <c r="Q21" s="48" t="s">
        <v>59</v>
      </c>
      <c r="R21" s="48" t="s">
        <v>59</v>
      </c>
      <c r="S21" s="48" t="s">
        <v>59</v>
      </c>
      <c r="T21" s="48" t="s">
        <v>59</v>
      </c>
      <c r="U21" s="48">
        <v>99</v>
      </c>
      <c r="V21" s="48">
        <v>248</v>
      </c>
      <c r="W21" s="48">
        <v>246</v>
      </c>
      <c r="X21" s="48" t="s">
        <v>59</v>
      </c>
      <c r="Y21" s="48">
        <v>6.72</v>
      </c>
      <c r="Z21" s="48">
        <v>1.02</v>
      </c>
      <c r="AA21" s="48" t="s">
        <v>61</v>
      </c>
      <c r="AB21" s="48" t="s">
        <v>61</v>
      </c>
      <c r="AC21" s="48" t="s">
        <v>61</v>
      </c>
      <c r="AD21" s="48">
        <v>6.64</v>
      </c>
      <c r="AE21" s="48">
        <v>0.93</v>
      </c>
      <c r="AF21" s="48" t="s">
        <v>61</v>
      </c>
      <c r="AG21" s="48" t="s">
        <v>61</v>
      </c>
      <c r="AH21" s="48" t="s">
        <v>61</v>
      </c>
      <c r="AI21" s="48">
        <v>6.69</v>
      </c>
      <c r="AJ21" s="48">
        <v>0.99</v>
      </c>
      <c r="AK21" s="48" t="s">
        <v>61</v>
      </c>
      <c r="AL21" s="48" t="s">
        <v>61</v>
      </c>
      <c r="AM21" s="48" t="s">
        <v>61</v>
      </c>
      <c r="AN21" s="48" t="s">
        <v>59</v>
      </c>
      <c r="AO21" s="48" t="s">
        <v>59</v>
      </c>
      <c r="AP21" s="48" t="s">
        <v>59</v>
      </c>
      <c r="AQ21" s="48" t="s">
        <v>59</v>
      </c>
      <c r="AR21" s="48" t="s">
        <v>59</v>
      </c>
      <c r="AS21" s="48" t="s">
        <v>61</v>
      </c>
      <c r="AT21" s="55" t="s">
        <v>343</v>
      </c>
      <c r="AU21" s="48" t="s">
        <v>59</v>
      </c>
      <c r="AV21" s="48" t="s">
        <v>59</v>
      </c>
      <c r="AW21" s="48" t="s">
        <v>59</v>
      </c>
      <c r="AX21" s="48" t="s">
        <v>59</v>
      </c>
      <c r="AY21" s="73">
        <v>93</v>
      </c>
      <c r="AZ21" s="73">
        <v>246</v>
      </c>
      <c r="BA21" s="73">
        <v>240</v>
      </c>
      <c r="BB21" s="73" t="s">
        <v>59</v>
      </c>
      <c r="BC21" s="48">
        <v>6.81</v>
      </c>
      <c r="BD21" s="48">
        <v>0.91</v>
      </c>
      <c r="BE21" s="48" t="s">
        <v>61</v>
      </c>
      <c r="BF21" s="48">
        <v>0</v>
      </c>
      <c r="BG21" s="48">
        <v>1</v>
      </c>
      <c r="BH21" s="48" t="s">
        <v>61</v>
      </c>
      <c r="BI21" s="48" t="s">
        <v>61</v>
      </c>
      <c r="BJ21" s="48" t="s">
        <v>61</v>
      </c>
      <c r="BK21" s="48" t="s">
        <v>61</v>
      </c>
      <c r="BL21" s="48" t="s">
        <v>61</v>
      </c>
      <c r="BM21" s="48" t="s">
        <v>61</v>
      </c>
      <c r="BN21" s="48" t="s">
        <v>61</v>
      </c>
      <c r="BO21" s="48" t="s">
        <v>61</v>
      </c>
      <c r="BP21" s="48">
        <v>6.55</v>
      </c>
      <c r="BQ21" s="48">
        <v>0.95</v>
      </c>
      <c r="BR21" s="48" t="s">
        <v>61</v>
      </c>
      <c r="BS21" s="26">
        <v>0</v>
      </c>
      <c r="BT21" s="26">
        <v>1</v>
      </c>
      <c r="BU21" s="48" t="s">
        <v>61</v>
      </c>
      <c r="BV21" s="48" t="s">
        <v>61</v>
      </c>
      <c r="BW21" s="48" t="s">
        <v>61</v>
      </c>
      <c r="BX21" s="48" t="s">
        <v>61</v>
      </c>
      <c r="BY21" s="48" t="s">
        <v>61</v>
      </c>
      <c r="BZ21" s="48" t="s">
        <v>61</v>
      </c>
      <c r="CA21" s="48" t="s">
        <v>61</v>
      </c>
      <c r="CB21" s="48" t="s">
        <v>61</v>
      </c>
      <c r="CC21" s="48">
        <v>6.65</v>
      </c>
      <c r="CD21" s="48">
        <v>0.93</v>
      </c>
      <c r="CE21" s="48" t="s">
        <v>61</v>
      </c>
      <c r="CF21" s="69">
        <v>0</v>
      </c>
      <c r="CG21" s="69">
        <v>1</v>
      </c>
      <c r="CH21" s="48" t="s">
        <v>61</v>
      </c>
      <c r="CI21" s="48" t="s">
        <v>61</v>
      </c>
      <c r="CJ21" s="48" t="s">
        <v>61</v>
      </c>
      <c r="CK21" s="48" t="s">
        <v>61</v>
      </c>
      <c r="CL21" s="48" t="s">
        <v>61</v>
      </c>
      <c r="CM21" s="48" t="s">
        <v>61</v>
      </c>
      <c r="CN21" s="48" t="s">
        <v>61</v>
      </c>
      <c r="CO21" s="48" t="s">
        <v>61</v>
      </c>
      <c r="CP21" s="48" t="s">
        <v>59</v>
      </c>
      <c r="CQ21" s="48" t="s">
        <v>59</v>
      </c>
      <c r="CR21" s="48" t="s">
        <v>59</v>
      </c>
      <c r="CS21" s="48"/>
      <c r="CT21" s="48"/>
      <c r="CU21" s="48" t="s">
        <v>59</v>
      </c>
      <c r="CV21" s="48" t="s">
        <v>59</v>
      </c>
      <c r="CW21" s="48" t="s">
        <v>59</v>
      </c>
      <c r="CX21" s="48" t="s">
        <v>59</v>
      </c>
      <c r="CY21" s="48" t="s">
        <v>59</v>
      </c>
      <c r="CZ21" s="48" t="s">
        <v>59</v>
      </c>
      <c r="DA21" s="48" t="s">
        <v>59</v>
      </c>
      <c r="DB21" s="48" t="s">
        <v>59</v>
      </c>
      <c r="DC21" s="48">
        <v>12</v>
      </c>
      <c r="DD21" s="55"/>
      <c r="DE21" s="43"/>
      <c r="DF21" s="43"/>
      <c r="DG21" s="43"/>
      <c r="DH21" s="43"/>
      <c r="DI21" s="43"/>
      <c r="DJ21" s="43"/>
    </row>
    <row r="22" spans="1:114" ht="14">
      <c r="A22" s="49" t="s">
        <v>426</v>
      </c>
      <c r="B22" s="43">
        <v>12590</v>
      </c>
      <c r="C22" s="34">
        <v>2</v>
      </c>
      <c r="D22" s="43">
        <v>1</v>
      </c>
      <c r="E22" s="48" t="s">
        <v>139</v>
      </c>
      <c r="F22" s="26" t="s">
        <v>59</v>
      </c>
      <c r="G22" s="48">
        <f t="shared" si="0"/>
        <v>52</v>
      </c>
      <c r="H22" s="26" t="s">
        <v>59</v>
      </c>
      <c r="I22" s="26" t="s">
        <v>59</v>
      </c>
      <c r="J22" s="48" t="s">
        <v>59</v>
      </c>
      <c r="K22" s="26" t="s">
        <v>59</v>
      </c>
      <c r="L22" s="26" t="s">
        <v>59</v>
      </c>
      <c r="M22" s="26" t="s">
        <v>59</v>
      </c>
      <c r="N22" s="26" t="s">
        <v>59</v>
      </c>
      <c r="O22" s="26" t="s">
        <v>59</v>
      </c>
      <c r="P22" s="26" t="s">
        <v>59</v>
      </c>
      <c r="Q22" s="48" t="s">
        <v>59</v>
      </c>
      <c r="R22" s="48" t="s">
        <v>59</v>
      </c>
      <c r="S22" s="48" t="s">
        <v>59</v>
      </c>
      <c r="T22" s="48" t="s">
        <v>59</v>
      </c>
      <c r="U22" s="48">
        <v>22</v>
      </c>
      <c r="V22" s="48">
        <v>30</v>
      </c>
      <c r="W22" s="48" t="s">
        <v>59</v>
      </c>
      <c r="X22" s="48" t="s">
        <v>59</v>
      </c>
      <c r="Y22" s="69">
        <v>7.79</v>
      </c>
      <c r="Z22" s="69">
        <v>0.96</v>
      </c>
      <c r="AA22" s="69" t="s">
        <v>61</v>
      </c>
      <c r="AB22" s="69" t="s">
        <v>61</v>
      </c>
      <c r="AC22" s="69" t="s">
        <v>61</v>
      </c>
      <c r="AD22" s="69">
        <v>7.61</v>
      </c>
      <c r="AE22" s="69">
        <v>1.03</v>
      </c>
      <c r="AF22" s="69" t="s">
        <v>61</v>
      </c>
      <c r="AG22" s="69" t="s">
        <v>61</v>
      </c>
      <c r="AH22" s="69" t="s">
        <v>61</v>
      </c>
      <c r="AI22" s="69" t="s">
        <v>59</v>
      </c>
      <c r="AJ22" s="69" t="s">
        <v>59</v>
      </c>
      <c r="AK22" s="69" t="s">
        <v>59</v>
      </c>
      <c r="AL22" s="69" t="s">
        <v>59</v>
      </c>
      <c r="AM22" s="69" t="s">
        <v>59</v>
      </c>
      <c r="AN22" s="69" t="s">
        <v>59</v>
      </c>
      <c r="AO22" s="69" t="s">
        <v>59</v>
      </c>
      <c r="AP22" s="69" t="s">
        <v>59</v>
      </c>
      <c r="AQ22" s="69" t="s">
        <v>59</v>
      </c>
      <c r="AR22" s="69" t="s">
        <v>59</v>
      </c>
      <c r="AS22" s="69" t="s">
        <v>61</v>
      </c>
      <c r="AT22" s="69" t="s">
        <v>64</v>
      </c>
      <c r="AU22" s="69" t="s">
        <v>59</v>
      </c>
      <c r="AV22" s="69" t="s">
        <v>59</v>
      </c>
      <c r="AW22" s="69" t="s">
        <v>59</v>
      </c>
      <c r="AX22" s="69" t="s">
        <v>59</v>
      </c>
      <c r="AY22" s="215">
        <v>22</v>
      </c>
      <c r="AZ22" s="215">
        <v>30</v>
      </c>
      <c r="BA22" s="215" t="s">
        <v>59</v>
      </c>
      <c r="BB22" s="215" t="s">
        <v>59</v>
      </c>
      <c r="BC22" s="69">
        <v>7.9</v>
      </c>
      <c r="BD22" s="69">
        <v>0.88</v>
      </c>
      <c r="BE22" s="69" t="s">
        <v>61</v>
      </c>
      <c r="BF22" s="48">
        <v>0</v>
      </c>
      <c r="BG22" s="48">
        <v>1</v>
      </c>
      <c r="BH22" s="69" t="s">
        <v>61</v>
      </c>
      <c r="BI22" s="69" t="s">
        <v>61</v>
      </c>
      <c r="BJ22" s="69">
        <v>0.11</v>
      </c>
      <c r="BK22" s="69" t="s">
        <v>61</v>
      </c>
      <c r="BL22" s="69" t="s">
        <v>61</v>
      </c>
      <c r="BM22" s="69" t="s">
        <v>61</v>
      </c>
      <c r="BN22" s="69" t="s">
        <v>61</v>
      </c>
      <c r="BO22" s="69" t="s">
        <v>61</v>
      </c>
      <c r="BP22" s="69">
        <v>7.09</v>
      </c>
      <c r="BQ22" s="69">
        <v>0.96</v>
      </c>
      <c r="BR22" s="69" t="s">
        <v>61</v>
      </c>
      <c r="BS22" s="26">
        <v>0</v>
      </c>
      <c r="BT22" s="26">
        <v>1</v>
      </c>
      <c r="BU22" s="69" t="s">
        <v>61</v>
      </c>
      <c r="BV22" s="69" t="s">
        <v>61</v>
      </c>
      <c r="BW22" s="69">
        <v>-0.52</v>
      </c>
      <c r="BX22" s="69" t="s">
        <v>61</v>
      </c>
      <c r="BY22" s="69" t="s">
        <v>61</v>
      </c>
      <c r="BZ22" s="69" t="s">
        <v>61</v>
      </c>
      <c r="CA22" s="69" t="s">
        <v>61</v>
      </c>
      <c r="CB22" s="69" t="s">
        <v>61</v>
      </c>
      <c r="CC22" s="69" t="s">
        <v>59</v>
      </c>
      <c r="CD22" s="69" t="s">
        <v>59</v>
      </c>
      <c r="CE22" s="69" t="s">
        <v>59</v>
      </c>
      <c r="CF22" s="69"/>
      <c r="CG22" s="69"/>
      <c r="CH22" s="69" t="s">
        <v>59</v>
      </c>
      <c r="CI22" s="69" t="s">
        <v>59</v>
      </c>
      <c r="CJ22" s="69" t="s">
        <v>59</v>
      </c>
      <c r="CK22" s="69" t="s">
        <v>59</v>
      </c>
      <c r="CL22" s="69" t="s">
        <v>59</v>
      </c>
      <c r="CM22" s="69" t="s">
        <v>59</v>
      </c>
      <c r="CN22" s="69" t="s">
        <v>59</v>
      </c>
      <c r="CO22" s="69" t="s">
        <v>59</v>
      </c>
      <c r="CP22" s="69" t="s">
        <v>59</v>
      </c>
      <c r="CQ22" s="69" t="s">
        <v>59</v>
      </c>
      <c r="CR22" s="69" t="s">
        <v>59</v>
      </c>
      <c r="CS22" s="69"/>
      <c r="CT22" s="69"/>
      <c r="CU22" s="69" t="s">
        <v>59</v>
      </c>
      <c r="CV22" s="69" t="s">
        <v>59</v>
      </c>
      <c r="CW22" s="69" t="s">
        <v>59</v>
      </c>
      <c r="CX22" s="69" t="s">
        <v>59</v>
      </c>
      <c r="CY22" s="69" t="s">
        <v>59</v>
      </c>
      <c r="CZ22" s="69" t="s">
        <v>59</v>
      </c>
      <c r="DA22" s="69" t="s">
        <v>59</v>
      </c>
      <c r="DB22" s="69" t="s">
        <v>59</v>
      </c>
      <c r="DC22" s="69">
        <v>9</v>
      </c>
      <c r="DD22" s="55"/>
      <c r="DE22" s="43"/>
      <c r="DF22" s="43"/>
      <c r="DG22" s="43"/>
      <c r="DH22" s="43"/>
      <c r="DI22" s="43"/>
      <c r="DJ22" s="43"/>
    </row>
    <row r="23" spans="1:114" ht="14">
      <c r="A23" s="49" t="s">
        <v>381</v>
      </c>
      <c r="B23" s="43">
        <v>11206</v>
      </c>
      <c r="C23" s="34">
        <v>2</v>
      </c>
      <c r="D23" s="43">
        <v>1</v>
      </c>
      <c r="E23" s="48" t="s">
        <v>139</v>
      </c>
      <c r="F23" s="26" t="s">
        <v>59</v>
      </c>
      <c r="G23" s="48">
        <f t="shared" si="0"/>
        <v>102</v>
      </c>
      <c r="H23" s="26" t="s">
        <v>59</v>
      </c>
      <c r="I23" s="26" t="s">
        <v>59</v>
      </c>
      <c r="J23" s="48" t="s">
        <v>59</v>
      </c>
      <c r="K23" s="26" t="s">
        <v>59</v>
      </c>
      <c r="L23" s="26" t="s">
        <v>59</v>
      </c>
      <c r="M23" s="26" t="s">
        <v>59</v>
      </c>
      <c r="N23" s="26" t="s">
        <v>59</v>
      </c>
      <c r="O23" s="26" t="s">
        <v>59</v>
      </c>
      <c r="P23" s="26" t="s">
        <v>59</v>
      </c>
      <c r="Q23" s="48" t="s">
        <v>59</v>
      </c>
      <c r="R23" s="48" t="s">
        <v>59</v>
      </c>
      <c r="S23" s="48" t="s">
        <v>59</v>
      </c>
      <c r="T23" s="48" t="s">
        <v>59</v>
      </c>
      <c r="U23" s="48">
        <v>61</v>
      </c>
      <c r="V23" s="48">
        <v>60</v>
      </c>
      <c r="W23" s="48" t="s">
        <v>59</v>
      </c>
      <c r="X23" s="48" t="s">
        <v>59</v>
      </c>
      <c r="Y23" s="69">
        <v>9.2899999999999991</v>
      </c>
      <c r="Z23" s="69">
        <v>1.1299999999999999</v>
      </c>
      <c r="AA23" s="69" t="s">
        <v>61</v>
      </c>
      <c r="AB23" s="69" t="s">
        <v>61</v>
      </c>
      <c r="AC23" s="69" t="s">
        <v>61</v>
      </c>
      <c r="AD23" s="69">
        <v>9.06</v>
      </c>
      <c r="AE23" s="69">
        <v>0.96</v>
      </c>
      <c r="AF23" s="69" t="s">
        <v>61</v>
      </c>
      <c r="AG23" s="69" t="s">
        <v>61</v>
      </c>
      <c r="AH23" s="69" t="s">
        <v>61</v>
      </c>
      <c r="AI23" s="69" t="s">
        <v>59</v>
      </c>
      <c r="AJ23" s="69" t="s">
        <v>59</v>
      </c>
      <c r="AK23" s="69" t="s">
        <v>59</v>
      </c>
      <c r="AL23" s="69" t="s">
        <v>59</v>
      </c>
      <c r="AM23" s="69" t="s">
        <v>59</v>
      </c>
      <c r="AN23" s="69" t="s">
        <v>59</v>
      </c>
      <c r="AO23" s="69" t="s">
        <v>59</v>
      </c>
      <c r="AP23" s="69" t="s">
        <v>59</v>
      </c>
      <c r="AQ23" s="69" t="s">
        <v>59</v>
      </c>
      <c r="AR23" s="69" t="s">
        <v>59</v>
      </c>
      <c r="AS23" s="69" t="s">
        <v>61</v>
      </c>
      <c r="AT23" s="69" t="s">
        <v>64</v>
      </c>
      <c r="AU23" s="69" t="s">
        <v>59</v>
      </c>
      <c r="AV23" s="69" t="s">
        <v>59</v>
      </c>
      <c r="AW23" s="69" t="s">
        <v>59</v>
      </c>
      <c r="AX23" s="69" t="s">
        <v>59</v>
      </c>
      <c r="AY23" s="215">
        <v>49</v>
      </c>
      <c r="AZ23" s="215">
        <v>53</v>
      </c>
      <c r="BA23" s="215" t="s">
        <v>59</v>
      </c>
      <c r="BB23" s="215" t="s">
        <v>59</v>
      </c>
      <c r="BC23" s="69">
        <v>8.8000000000000007</v>
      </c>
      <c r="BD23" s="69">
        <v>1.36</v>
      </c>
      <c r="BE23" s="69" t="s">
        <v>61</v>
      </c>
      <c r="BF23" s="48">
        <v>0</v>
      </c>
      <c r="BG23" s="48">
        <v>1</v>
      </c>
      <c r="BH23" s="69" t="s">
        <v>61</v>
      </c>
      <c r="BI23" s="69" t="s">
        <v>61</v>
      </c>
      <c r="BJ23" s="69" t="s">
        <v>61</v>
      </c>
      <c r="BK23" s="69" t="s">
        <v>61</v>
      </c>
      <c r="BL23" s="69" t="s">
        <v>61</v>
      </c>
      <c r="BM23" s="69" t="s">
        <v>61</v>
      </c>
      <c r="BN23" s="69" t="s">
        <v>61</v>
      </c>
      <c r="BO23" s="69" t="s">
        <v>61</v>
      </c>
      <c r="BP23" s="69">
        <v>8.41</v>
      </c>
      <c r="BQ23" s="69">
        <v>0.99</v>
      </c>
      <c r="BR23" s="69" t="s">
        <v>61</v>
      </c>
      <c r="BS23" s="26">
        <v>0</v>
      </c>
      <c r="BT23" s="26">
        <v>1</v>
      </c>
      <c r="BU23" s="69" t="s">
        <v>61</v>
      </c>
      <c r="BV23" s="69" t="s">
        <v>61</v>
      </c>
      <c r="BW23" s="69" t="s">
        <v>61</v>
      </c>
      <c r="BX23" s="69" t="s">
        <v>61</v>
      </c>
      <c r="BY23" s="69" t="s">
        <v>61</v>
      </c>
      <c r="BZ23" s="69" t="s">
        <v>61</v>
      </c>
      <c r="CA23" s="69" t="s">
        <v>61</v>
      </c>
      <c r="CB23" s="69" t="s">
        <v>61</v>
      </c>
      <c r="CC23" s="69" t="s">
        <v>59</v>
      </c>
      <c r="CD23" s="69" t="s">
        <v>59</v>
      </c>
      <c r="CE23" s="69" t="s">
        <v>59</v>
      </c>
      <c r="CF23" s="69"/>
      <c r="CG23" s="69"/>
      <c r="CH23" s="69" t="s">
        <v>59</v>
      </c>
      <c r="CI23" s="69" t="s">
        <v>59</v>
      </c>
      <c r="CJ23" s="69" t="s">
        <v>59</v>
      </c>
      <c r="CK23" s="69" t="s">
        <v>59</v>
      </c>
      <c r="CL23" s="69" t="s">
        <v>59</v>
      </c>
      <c r="CM23" s="69" t="s">
        <v>59</v>
      </c>
      <c r="CN23" s="69" t="s">
        <v>59</v>
      </c>
      <c r="CO23" s="69" t="s">
        <v>59</v>
      </c>
      <c r="CP23" s="69" t="s">
        <v>59</v>
      </c>
      <c r="CQ23" s="69" t="s">
        <v>59</v>
      </c>
      <c r="CR23" s="69" t="s">
        <v>59</v>
      </c>
      <c r="CS23" s="69"/>
      <c r="CT23" s="69"/>
      <c r="CU23" s="69" t="s">
        <v>59</v>
      </c>
      <c r="CV23" s="69" t="s">
        <v>59</v>
      </c>
      <c r="CW23" s="69" t="s">
        <v>59</v>
      </c>
      <c r="CX23" s="69" t="s">
        <v>59</v>
      </c>
      <c r="CY23" s="69" t="s">
        <v>59</v>
      </c>
      <c r="CZ23" s="69" t="s">
        <v>59</v>
      </c>
      <c r="DA23" s="69" t="s">
        <v>59</v>
      </c>
      <c r="DB23" s="69" t="s">
        <v>59</v>
      </c>
      <c r="DC23" s="69">
        <v>6</v>
      </c>
      <c r="DD23" s="55"/>
      <c r="DE23" s="43"/>
      <c r="DF23" s="43"/>
      <c r="DG23" s="43"/>
      <c r="DH23" s="43"/>
      <c r="DI23" s="43"/>
      <c r="DJ23" s="43"/>
    </row>
    <row r="24" spans="1:114">
      <c r="A24" s="34" t="s">
        <v>148</v>
      </c>
      <c r="B24" s="34">
        <v>393</v>
      </c>
      <c r="C24" s="34">
        <v>2</v>
      </c>
      <c r="D24" s="43">
        <v>1</v>
      </c>
      <c r="E24" s="26" t="s">
        <v>139</v>
      </c>
      <c r="F24" s="26" t="s">
        <v>59</v>
      </c>
      <c r="G24" s="48">
        <f t="shared" si="0"/>
        <v>22</v>
      </c>
      <c r="H24" s="26" t="s">
        <v>59</v>
      </c>
      <c r="I24" s="26" t="s">
        <v>60</v>
      </c>
      <c r="J24" s="26" t="s">
        <v>59</v>
      </c>
      <c r="K24" s="26" t="s">
        <v>59</v>
      </c>
      <c r="L24" s="26" t="s">
        <v>59</v>
      </c>
      <c r="M24" s="26" t="s">
        <v>59</v>
      </c>
      <c r="N24" s="26" t="s">
        <v>59</v>
      </c>
      <c r="O24" s="26" t="s">
        <v>59</v>
      </c>
      <c r="P24" s="26" t="s">
        <v>59</v>
      </c>
      <c r="Q24" s="26" t="s">
        <v>60</v>
      </c>
      <c r="R24" s="26" t="s">
        <v>60</v>
      </c>
      <c r="S24" s="26" t="s">
        <v>60</v>
      </c>
      <c r="T24" s="26" t="s">
        <v>60</v>
      </c>
      <c r="U24" s="26">
        <v>11</v>
      </c>
      <c r="V24" s="26">
        <v>11</v>
      </c>
      <c r="W24" s="26" t="s">
        <v>60</v>
      </c>
      <c r="X24" s="26" t="s">
        <v>60</v>
      </c>
      <c r="Y24" s="26">
        <v>6.8</v>
      </c>
      <c r="Z24" s="26">
        <v>1</v>
      </c>
      <c r="AA24" s="26" t="s">
        <v>61</v>
      </c>
      <c r="AB24" s="26" t="s">
        <v>61</v>
      </c>
      <c r="AC24" s="26" t="s">
        <v>149</v>
      </c>
      <c r="AD24" s="26">
        <v>6.7</v>
      </c>
      <c r="AE24" s="26">
        <v>1.4</v>
      </c>
      <c r="AF24" s="26" t="s">
        <v>61</v>
      </c>
      <c r="AG24" s="26" t="s">
        <v>61</v>
      </c>
      <c r="AH24" s="26" t="s">
        <v>150</v>
      </c>
      <c r="AI24" s="26" t="s">
        <v>60</v>
      </c>
      <c r="AJ24" s="26" t="s">
        <v>60</v>
      </c>
      <c r="AK24" s="26" t="s">
        <v>59</v>
      </c>
      <c r="AL24" s="26" t="s">
        <v>59</v>
      </c>
      <c r="AM24" s="26" t="s">
        <v>59</v>
      </c>
      <c r="AN24" s="26" t="s">
        <v>60</v>
      </c>
      <c r="AO24" s="26" t="s">
        <v>60</v>
      </c>
      <c r="AP24" s="26" t="s">
        <v>59</v>
      </c>
      <c r="AQ24" s="26" t="s">
        <v>59</v>
      </c>
      <c r="AR24" s="26" t="s">
        <v>59</v>
      </c>
      <c r="AS24" s="26" t="s">
        <v>61</v>
      </c>
      <c r="AT24" s="26" t="s">
        <v>64</v>
      </c>
      <c r="AU24" s="26" t="s">
        <v>59</v>
      </c>
      <c r="AV24" s="26" t="s">
        <v>59</v>
      </c>
      <c r="AW24" s="26" t="s">
        <v>59</v>
      </c>
      <c r="AX24" s="26" t="s">
        <v>59</v>
      </c>
      <c r="AY24" s="186">
        <v>11</v>
      </c>
      <c r="AZ24" s="186">
        <v>11</v>
      </c>
      <c r="BA24" s="186" t="s">
        <v>60</v>
      </c>
      <c r="BB24" s="186" t="s">
        <v>60</v>
      </c>
      <c r="BC24" s="26">
        <v>6.8</v>
      </c>
      <c r="BD24" s="26">
        <v>0.9</v>
      </c>
      <c r="BE24" s="26" t="s">
        <v>61</v>
      </c>
      <c r="BF24" s="48">
        <v>0</v>
      </c>
      <c r="BG24" s="48">
        <v>1</v>
      </c>
      <c r="BH24" s="26" t="s">
        <v>61</v>
      </c>
      <c r="BI24" s="26" t="s">
        <v>151</v>
      </c>
      <c r="BJ24" s="26" t="s">
        <v>61</v>
      </c>
      <c r="BK24" s="26" t="s">
        <v>61</v>
      </c>
      <c r="BL24" s="26" t="s">
        <v>61</v>
      </c>
      <c r="BM24" s="26" t="s">
        <v>61</v>
      </c>
      <c r="BN24" s="26" t="s">
        <v>61</v>
      </c>
      <c r="BO24" s="26" t="s">
        <v>61</v>
      </c>
      <c r="BP24" s="26">
        <v>6</v>
      </c>
      <c r="BQ24" s="26">
        <v>1</v>
      </c>
      <c r="BR24" s="26" t="s">
        <v>61</v>
      </c>
      <c r="BS24" s="26">
        <v>0</v>
      </c>
      <c r="BT24" s="26">
        <v>1</v>
      </c>
      <c r="BU24" s="26" t="s">
        <v>61</v>
      </c>
      <c r="BV24" s="26" t="s">
        <v>152</v>
      </c>
      <c r="BW24" s="26" t="s">
        <v>61</v>
      </c>
      <c r="BX24" s="26" t="s">
        <v>61</v>
      </c>
      <c r="BY24" s="26" t="s">
        <v>61</v>
      </c>
      <c r="BZ24" s="26" t="s">
        <v>61</v>
      </c>
      <c r="CA24" s="26" t="s">
        <v>61</v>
      </c>
      <c r="CB24" s="26" t="s">
        <v>61</v>
      </c>
      <c r="CC24" s="26" t="s">
        <v>60</v>
      </c>
      <c r="CD24" s="26" t="s">
        <v>60</v>
      </c>
      <c r="CE24" s="26" t="s">
        <v>59</v>
      </c>
      <c r="CF24" s="26"/>
      <c r="CG24" s="26"/>
      <c r="CH24" s="26" t="s">
        <v>59</v>
      </c>
      <c r="CI24" s="26" t="s">
        <v>59</v>
      </c>
      <c r="CJ24" s="26" t="s">
        <v>59</v>
      </c>
      <c r="CK24" s="26" t="s">
        <v>59</v>
      </c>
      <c r="CL24" s="26" t="s">
        <v>59</v>
      </c>
      <c r="CM24" s="26" t="s">
        <v>59</v>
      </c>
      <c r="CN24" s="26" t="s">
        <v>59</v>
      </c>
      <c r="CO24" s="26" t="s">
        <v>59</v>
      </c>
      <c r="CP24" s="26" t="s">
        <v>60</v>
      </c>
      <c r="CQ24" s="26" t="s">
        <v>60</v>
      </c>
      <c r="CR24" s="26" t="s">
        <v>59</v>
      </c>
      <c r="CS24" s="26"/>
      <c r="CT24" s="26"/>
      <c r="CU24" s="26" t="s">
        <v>59</v>
      </c>
      <c r="CV24" s="26" t="s">
        <v>59</v>
      </c>
      <c r="CW24" s="26" t="s">
        <v>59</v>
      </c>
      <c r="CX24" s="26" t="s">
        <v>59</v>
      </c>
      <c r="CY24" s="26" t="s">
        <v>59</v>
      </c>
      <c r="CZ24" s="26" t="s">
        <v>59</v>
      </c>
      <c r="DA24" s="26" t="s">
        <v>59</v>
      </c>
      <c r="DB24" s="26" t="s">
        <v>59</v>
      </c>
      <c r="DC24" s="26">
        <v>3</v>
      </c>
    </row>
    <row r="25" spans="1:114" ht="14">
      <c r="A25" s="49" t="s">
        <v>388</v>
      </c>
      <c r="B25" s="43">
        <v>11257</v>
      </c>
      <c r="C25" s="34">
        <v>2</v>
      </c>
      <c r="D25" s="43">
        <v>1</v>
      </c>
      <c r="E25" s="48" t="s">
        <v>139</v>
      </c>
      <c r="F25" s="26" t="s">
        <v>59</v>
      </c>
      <c r="G25" s="48">
        <f t="shared" si="0"/>
        <v>238</v>
      </c>
      <c r="H25" s="26" t="s">
        <v>59</v>
      </c>
      <c r="I25" s="26" t="s">
        <v>59</v>
      </c>
      <c r="J25" s="48" t="s">
        <v>59</v>
      </c>
      <c r="K25" s="26" t="s">
        <v>59</v>
      </c>
      <c r="L25" s="26" t="s">
        <v>59</v>
      </c>
      <c r="M25" s="26" t="s">
        <v>59</v>
      </c>
      <c r="N25" s="26" t="s">
        <v>59</v>
      </c>
      <c r="O25" s="26" t="s">
        <v>59</v>
      </c>
      <c r="P25" s="26" t="s">
        <v>59</v>
      </c>
      <c r="Q25" s="48" t="s">
        <v>59</v>
      </c>
      <c r="R25" s="48" t="s">
        <v>59</v>
      </c>
      <c r="S25" s="48" t="s">
        <v>59</v>
      </c>
      <c r="T25" s="48" t="s">
        <v>59</v>
      </c>
      <c r="U25" s="48" t="s">
        <v>61</v>
      </c>
      <c r="V25" s="48" t="s">
        <v>61</v>
      </c>
      <c r="W25" s="48" t="s">
        <v>59</v>
      </c>
      <c r="X25" s="48" t="s">
        <v>59</v>
      </c>
      <c r="Y25" s="69" t="s">
        <v>61</v>
      </c>
      <c r="Z25" s="69" t="s">
        <v>61</v>
      </c>
      <c r="AA25" s="69" t="s">
        <v>61</v>
      </c>
      <c r="AB25" s="69" t="s">
        <v>61</v>
      </c>
      <c r="AC25" s="69" t="s">
        <v>61</v>
      </c>
      <c r="AD25" s="69" t="s">
        <v>61</v>
      </c>
      <c r="AE25" s="69" t="s">
        <v>61</v>
      </c>
      <c r="AF25" s="69" t="s">
        <v>61</v>
      </c>
      <c r="AG25" s="69" t="s">
        <v>61</v>
      </c>
      <c r="AH25" s="69" t="s">
        <v>61</v>
      </c>
      <c r="AI25" s="69" t="s">
        <v>59</v>
      </c>
      <c r="AJ25" s="69" t="s">
        <v>59</v>
      </c>
      <c r="AK25" s="69" t="s">
        <v>59</v>
      </c>
      <c r="AL25" s="69" t="s">
        <v>59</v>
      </c>
      <c r="AM25" s="69" t="s">
        <v>59</v>
      </c>
      <c r="AN25" s="69" t="s">
        <v>59</v>
      </c>
      <c r="AO25" s="69" t="s">
        <v>59</v>
      </c>
      <c r="AP25" s="69" t="s">
        <v>59</v>
      </c>
      <c r="AQ25" s="69" t="s">
        <v>59</v>
      </c>
      <c r="AR25" s="69" t="s">
        <v>59</v>
      </c>
      <c r="AS25" s="69" t="s">
        <v>61</v>
      </c>
      <c r="AT25" s="69" t="s">
        <v>64</v>
      </c>
      <c r="AU25" s="69" t="s">
        <v>59</v>
      </c>
      <c r="AV25" s="69" t="s">
        <v>59</v>
      </c>
      <c r="AW25" s="69" t="s">
        <v>59</v>
      </c>
      <c r="AX25" s="69" t="s">
        <v>59</v>
      </c>
      <c r="AY25" s="215">
        <v>105</v>
      </c>
      <c r="AZ25" s="215">
        <v>133</v>
      </c>
      <c r="BA25" s="215" t="s">
        <v>59</v>
      </c>
      <c r="BB25" s="215" t="s">
        <v>59</v>
      </c>
      <c r="BC25" s="69">
        <v>7</v>
      </c>
      <c r="BD25" s="69">
        <v>1</v>
      </c>
      <c r="BE25" s="69" t="s">
        <v>61</v>
      </c>
      <c r="BF25" s="48">
        <v>0</v>
      </c>
      <c r="BG25" s="48">
        <v>1</v>
      </c>
      <c r="BH25" s="69" t="s">
        <v>61</v>
      </c>
      <c r="BI25" s="69" t="s">
        <v>61</v>
      </c>
      <c r="BJ25" s="69">
        <v>0</v>
      </c>
      <c r="BK25" s="69">
        <v>0.01</v>
      </c>
      <c r="BL25" s="69" t="s">
        <v>61</v>
      </c>
      <c r="BM25" s="69" t="s">
        <v>61</v>
      </c>
      <c r="BN25" s="69" t="s">
        <v>61</v>
      </c>
      <c r="BO25" s="69" t="s">
        <v>61</v>
      </c>
      <c r="BP25" s="69">
        <v>7</v>
      </c>
      <c r="BQ25" s="69">
        <v>1</v>
      </c>
      <c r="BR25" s="69" t="s">
        <v>61</v>
      </c>
      <c r="BS25" s="26">
        <v>0</v>
      </c>
      <c r="BT25" s="26">
        <v>1</v>
      </c>
      <c r="BU25" s="69" t="s">
        <v>61</v>
      </c>
      <c r="BV25" s="69" t="s">
        <v>61</v>
      </c>
      <c r="BW25" s="69">
        <v>0</v>
      </c>
      <c r="BX25" s="69">
        <v>0.01</v>
      </c>
      <c r="BY25" s="69" t="s">
        <v>61</v>
      </c>
      <c r="BZ25" s="69" t="s">
        <v>61</v>
      </c>
      <c r="CA25" s="69" t="s">
        <v>61</v>
      </c>
      <c r="CB25" s="69" t="s">
        <v>61</v>
      </c>
      <c r="CC25" s="69" t="s">
        <v>59</v>
      </c>
      <c r="CD25" s="69" t="s">
        <v>59</v>
      </c>
      <c r="CE25" s="69" t="s">
        <v>59</v>
      </c>
      <c r="CF25" s="69"/>
      <c r="CG25" s="69"/>
      <c r="CH25" s="69" t="s">
        <v>59</v>
      </c>
      <c r="CI25" s="69" t="s">
        <v>59</v>
      </c>
      <c r="CJ25" s="69" t="s">
        <v>59</v>
      </c>
      <c r="CK25" s="69" t="s">
        <v>59</v>
      </c>
      <c r="CL25" s="69" t="s">
        <v>59</v>
      </c>
      <c r="CM25" s="69" t="s">
        <v>59</v>
      </c>
      <c r="CN25" s="69" t="s">
        <v>59</v>
      </c>
      <c r="CO25" s="69" t="s">
        <v>59</v>
      </c>
      <c r="CP25" s="69" t="s">
        <v>59</v>
      </c>
      <c r="CQ25" s="69" t="s">
        <v>59</v>
      </c>
      <c r="CR25" s="69" t="s">
        <v>59</v>
      </c>
      <c r="CS25" s="69"/>
      <c r="CT25" s="69"/>
      <c r="CU25" s="69" t="s">
        <v>59</v>
      </c>
      <c r="CV25" s="69" t="s">
        <v>59</v>
      </c>
      <c r="CW25" s="69" t="s">
        <v>59</v>
      </c>
      <c r="CX25" s="69" t="s">
        <v>59</v>
      </c>
      <c r="CY25" s="69" t="s">
        <v>59</v>
      </c>
      <c r="CZ25" s="69" t="s">
        <v>59</v>
      </c>
      <c r="DA25" s="69" t="s">
        <v>59</v>
      </c>
      <c r="DB25" s="69" t="s">
        <v>59</v>
      </c>
      <c r="DC25" s="69">
        <v>12</v>
      </c>
      <c r="DD25" s="55"/>
      <c r="DE25" s="43"/>
      <c r="DF25" s="43"/>
      <c r="DG25" s="43"/>
      <c r="DH25" s="43"/>
      <c r="DI25" s="43"/>
      <c r="DJ25" s="43"/>
    </row>
    <row r="26" spans="1:114" ht="14">
      <c r="A26" s="49" t="s">
        <v>431</v>
      </c>
      <c r="B26" s="43">
        <v>120042</v>
      </c>
      <c r="C26" s="34">
        <v>2</v>
      </c>
      <c r="D26" s="43">
        <v>1</v>
      </c>
      <c r="E26" s="48" t="s">
        <v>139</v>
      </c>
      <c r="F26" s="26" t="s">
        <v>59</v>
      </c>
      <c r="G26" s="48">
        <f t="shared" si="0"/>
        <v>44</v>
      </c>
      <c r="H26" s="26" t="s">
        <v>59</v>
      </c>
      <c r="I26" s="26" t="s">
        <v>59</v>
      </c>
      <c r="J26" s="48" t="s">
        <v>59</v>
      </c>
      <c r="K26" s="26" t="s">
        <v>59</v>
      </c>
      <c r="L26" s="26" t="s">
        <v>59</v>
      </c>
      <c r="M26" s="26" t="s">
        <v>59</v>
      </c>
      <c r="N26" s="26" t="s">
        <v>59</v>
      </c>
      <c r="O26" s="26" t="s">
        <v>59</v>
      </c>
      <c r="P26" s="26" t="s">
        <v>59</v>
      </c>
      <c r="Q26" s="48" t="s">
        <v>59</v>
      </c>
      <c r="R26" s="48" t="s">
        <v>59</v>
      </c>
      <c r="S26" s="48" t="s">
        <v>59</v>
      </c>
      <c r="T26" s="48" t="s">
        <v>59</v>
      </c>
      <c r="U26" s="48">
        <v>21</v>
      </c>
      <c r="V26" s="48">
        <v>23</v>
      </c>
      <c r="W26" s="48" t="s">
        <v>59</v>
      </c>
      <c r="X26" s="48" t="s">
        <v>59</v>
      </c>
      <c r="Y26" s="69">
        <v>7.97</v>
      </c>
      <c r="Z26" s="69">
        <v>1.41</v>
      </c>
      <c r="AA26" s="69" t="s">
        <v>61</v>
      </c>
      <c r="AB26" s="69" t="s">
        <v>61</v>
      </c>
      <c r="AC26" s="69" t="s">
        <v>61</v>
      </c>
      <c r="AD26" s="69">
        <v>7.77</v>
      </c>
      <c r="AE26" s="69">
        <v>0.82</v>
      </c>
      <c r="AF26" s="69" t="s">
        <v>61</v>
      </c>
      <c r="AG26" s="69" t="s">
        <v>61</v>
      </c>
      <c r="AH26" s="69" t="s">
        <v>61</v>
      </c>
      <c r="AI26" s="69" t="s">
        <v>59</v>
      </c>
      <c r="AJ26" s="69" t="s">
        <v>59</v>
      </c>
      <c r="AK26" s="69" t="s">
        <v>59</v>
      </c>
      <c r="AL26" s="69" t="s">
        <v>59</v>
      </c>
      <c r="AM26" s="69" t="s">
        <v>59</v>
      </c>
      <c r="AN26" s="69" t="s">
        <v>59</v>
      </c>
      <c r="AO26" s="69" t="s">
        <v>59</v>
      </c>
      <c r="AP26" s="69" t="s">
        <v>59</v>
      </c>
      <c r="AQ26" s="69" t="s">
        <v>59</v>
      </c>
      <c r="AR26" s="69" t="s">
        <v>59</v>
      </c>
      <c r="AS26" s="69" t="s">
        <v>61</v>
      </c>
      <c r="AT26" s="69" t="s">
        <v>64</v>
      </c>
      <c r="AU26" s="69" t="s">
        <v>59</v>
      </c>
      <c r="AV26" s="69" t="s">
        <v>59</v>
      </c>
      <c r="AW26" s="69" t="s">
        <v>59</v>
      </c>
      <c r="AX26" s="69" t="s">
        <v>59</v>
      </c>
      <c r="AY26" s="215">
        <v>21</v>
      </c>
      <c r="AZ26" s="215">
        <v>23</v>
      </c>
      <c r="BA26" s="215" t="s">
        <v>59</v>
      </c>
      <c r="BB26" s="215" t="s">
        <v>59</v>
      </c>
      <c r="BC26" s="69">
        <v>8.16</v>
      </c>
      <c r="BD26" s="69">
        <v>1.03</v>
      </c>
      <c r="BE26" s="69" t="s">
        <v>61</v>
      </c>
      <c r="BF26" s="48">
        <v>0</v>
      </c>
      <c r="BG26" s="48">
        <v>1</v>
      </c>
      <c r="BH26" s="69" t="s">
        <v>61</v>
      </c>
      <c r="BI26" s="69" t="s">
        <v>61</v>
      </c>
      <c r="BJ26" s="69">
        <v>-0.19</v>
      </c>
      <c r="BK26" s="69">
        <v>0.82</v>
      </c>
      <c r="BL26" s="69" t="s">
        <v>61</v>
      </c>
      <c r="BM26" s="69" t="s">
        <v>61</v>
      </c>
      <c r="BN26" s="69" t="s">
        <v>61</v>
      </c>
      <c r="BO26" s="69" t="s">
        <v>61</v>
      </c>
      <c r="BP26" s="69">
        <v>8.0299999999999994</v>
      </c>
      <c r="BQ26" s="69">
        <v>1.03</v>
      </c>
      <c r="BR26" s="69" t="s">
        <v>61</v>
      </c>
      <c r="BS26" s="26">
        <v>0</v>
      </c>
      <c r="BT26" s="26">
        <v>1</v>
      </c>
      <c r="BU26" s="69" t="s">
        <v>61</v>
      </c>
      <c r="BV26" s="69" t="s">
        <v>61</v>
      </c>
      <c r="BW26" s="69">
        <v>-0.25</v>
      </c>
      <c r="BX26" s="69">
        <v>0.91</v>
      </c>
      <c r="BY26" s="69" t="s">
        <v>61</v>
      </c>
      <c r="BZ26" s="69" t="s">
        <v>61</v>
      </c>
      <c r="CA26" s="69" t="s">
        <v>61</v>
      </c>
      <c r="CB26" s="69" t="s">
        <v>61</v>
      </c>
      <c r="CC26" s="69" t="s">
        <v>59</v>
      </c>
      <c r="CD26" s="69" t="s">
        <v>59</v>
      </c>
      <c r="CE26" s="69" t="s">
        <v>59</v>
      </c>
      <c r="CF26" s="69"/>
      <c r="CG26" s="69"/>
      <c r="CH26" s="69" t="s">
        <v>59</v>
      </c>
      <c r="CI26" s="69" t="s">
        <v>59</v>
      </c>
      <c r="CJ26" s="69" t="s">
        <v>59</v>
      </c>
      <c r="CK26" s="69" t="s">
        <v>59</v>
      </c>
      <c r="CL26" s="69" t="s">
        <v>59</v>
      </c>
      <c r="CM26" s="69" t="s">
        <v>59</v>
      </c>
      <c r="CN26" s="69" t="s">
        <v>59</v>
      </c>
      <c r="CO26" s="69" t="s">
        <v>59</v>
      </c>
      <c r="CP26" s="69" t="s">
        <v>59</v>
      </c>
      <c r="CQ26" s="69" t="s">
        <v>59</v>
      </c>
      <c r="CR26" s="69" t="s">
        <v>59</v>
      </c>
      <c r="CS26" s="69"/>
      <c r="CT26" s="69"/>
      <c r="CU26" s="69" t="s">
        <v>59</v>
      </c>
      <c r="CV26" s="69" t="s">
        <v>59</v>
      </c>
      <c r="CW26" s="69" t="s">
        <v>59</v>
      </c>
      <c r="CX26" s="69" t="s">
        <v>59</v>
      </c>
      <c r="CY26" s="69" t="s">
        <v>59</v>
      </c>
      <c r="CZ26" s="69" t="s">
        <v>59</v>
      </c>
      <c r="DA26" s="69" t="s">
        <v>59</v>
      </c>
      <c r="DB26" s="69" t="s">
        <v>59</v>
      </c>
      <c r="DC26" s="69">
        <v>6</v>
      </c>
      <c r="DD26" s="55"/>
      <c r="DE26" s="43"/>
      <c r="DF26" s="43"/>
      <c r="DG26" s="43"/>
      <c r="DH26" s="43"/>
      <c r="DI26" s="43"/>
      <c r="DJ26" s="43"/>
    </row>
    <row r="27" spans="1:114" ht="14">
      <c r="A27" s="49" t="s">
        <v>427</v>
      </c>
      <c r="B27" s="43">
        <v>12807</v>
      </c>
      <c r="C27" s="34">
        <v>2</v>
      </c>
      <c r="D27" s="43">
        <v>1</v>
      </c>
      <c r="E27" s="48" t="s">
        <v>139</v>
      </c>
      <c r="F27" s="26" t="s">
        <v>59</v>
      </c>
      <c r="G27" s="48">
        <f t="shared" si="0"/>
        <v>1289</v>
      </c>
      <c r="H27" s="26" t="s">
        <v>59</v>
      </c>
      <c r="I27" s="26" t="s">
        <v>59</v>
      </c>
      <c r="J27" s="48" t="s">
        <v>59</v>
      </c>
      <c r="K27" s="26" t="s">
        <v>59</v>
      </c>
      <c r="L27" s="26" t="s">
        <v>59</v>
      </c>
      <c r="M27" s="26" t="s">
        <v>59</v>
      </c>
      <c r="N27" s="26" t="s">
        <v>59</v>
      </c>
      <c r="O27" s="26" t="s">
        <v>59</v>
      </c>
      <c r="P27" s="26" t="s">
        <v>59</v>
      </c>
      <c r="Q27" s="48" t="s">
        <v>59</v>
      </c>
      <c r="R27" s="48" t="s">
        <v>59</v>
      </c>
      <c r="S27" s="48" t="s">
        <v>59</v>
      </c>
      <c r="T27" s="48" t="s">
        <v>59</v>
      </c>
      <c r="U27" s="48">
        <v>643</v>
      </c>
      <c r="V27" s="48">
        <v>646</v>
      </c>
      <c r="W27" s="48" t="s">
        <v>59</v>
      </c>
      <c r="X27" s="48" t="s">
        <v>59</v>
      </c>
      <c r="Y27" s="69">
        <v>9.4600000000000009</v>
      </c>
      <c r="Z27" s="69">
        <v>1.9</v>
      </c>
      <c r="AA27" s="69" t="s">
        <v>61</v>
      </c>
      <c r="AB27" s="69" t="s">
        <v>61</v>
      </c>
      <c r="AC27" s="69" t="s">
        <v>61</v>
      </c>
      <c r="AD27" s="69">
        <v>9.3800000000000008</v>
      </c>
      <c r="AE27" s="69">
        <v>1.98</v>
      </c>
      <c r="AF27" s="69" t="s">
        <v>61</v>
      </c>
      <c r="AG27" s="69" t="s">
        <v>61</v>
      </c>
      <c r="AH27" s="69" t="s">
        <v>61</v>
      </c>
      <c r="AI27" s="69" t="s">
        <v>59</v>
      </c>
      <c r="AJ27" s="69" t="s">
        <v>59</v>
      </c>
      <c r="AK27" s="69" t="s">
        <v>59</v>
      </c>
      <c r="AL27" s="69" t="s">
        <v>59</v>
      </c>
      <c r="AM27" s="69" t="s">
        <v>59</v>
      </c>
      <c r="AN27" s="69" t="s">
        <v>59</v>
      </c>
      <c r="AO27" s="69" t="s">
        <v>59</v>
      </c>
      <c r="AP27" s="69" t="s">
        <v>59</v>
      </c>
      <c r="AQ27" s="69" t="s">
        <v>59</v>
      </c>
      <c r="AR27" s="69" t="s">
        <v>59</v>
      </c>
      <c r="AS27" s="69" t="s">
        <v>61</v>
      </c>
      <c r="AT27" s="69" t="s">
        <v>64</v>
      </c>
      <c r="AU27" s="69" t="s">
        <v>59</v>
      </c>
      <c r="AV27" s="69" t="s">
        <v>59</v>
      </c>
      <c r="AW27" s="69" t="s">
        <v>59</v>
      </c>
      <c r="AX27" s="69" t="s">
        <v>59</v>
      </c>
      <c r="AY27" s="215">
        <v>643</v>
      </c>
      <c r="AZ27" s="215">
        <v>646</v>
      </c>
      <c r="BA27" s="215" t="s">
        <v>59</v>
      </c>
      <c r="BB27" s="215" t="s">
        <v>59</v>
      </c>
      <c r="BC27" s="69">
        <v>7.38</v>
      </c>
      <c r="BD27" s="69">
        <v>1.1200000000000001</v>
      </c>
      <c r="BE27" s="69" t="s">
        <v>61</v>
      </c>
      <c r="BF27" s="48">
        <v>0</v>
      </c>
      <c r="BG27" s="48">
        <v>1</v>
      </c>
      <c r="BH27" s="69" t="s">
        <v>61</v>
      </c>
      <c r="BI27" s="69" t="s">
        <v>61</v>
      </c>
      <c r="BJ27" s="69">
        <v>-2.08</v>
      </c>
      <c r="BK27" s="69">
        <v>2</v>
      </c>
      <c r="BL27" s="69" t="s">
        <v>61</v>
      </c>
      <c r="BM27" s="69" t="s">
        <v>61</v>
      </c>
      <c r="BN27" s="69" t="s">
        <v>61</v>
      </c>
      <c r="BO27" s="69" t="s">
        <v>286</v>
      </c>
      <c r="BP27" s="69">
        <v>7.22</v>
      </c>
      <c r="BQ27" s="69">
        <v>1.04</v>
      </c>
      <c r="BR27" s="69" t="s">
        <v>61</v>
      </c>
      <c r="BS27" s="26">
        <v>0</v>
      </c>
      <c r="BT27" s="26">
        <v>1</v>
      </c>
      <c r="BU27" s="69" t="s">
        <v>61</v>
      </c>
      <c r="BV27" s="69" t="s">
        <v>61</v>
      </c>
      <c r="BW27" s="69">
        <v>-2.16</v>
      </c>
      <c r="BX27" s="69">
        <v>2.15</v>
      </c>
      <c r="BY27" s="69" t="s">
        <v>61</v>
      </c>
      <c r="BZ27" s="69" t="s">
        <v>61</v>
      </c>
      <c r="CA27" s="69" t="s">
        <v>61</v>
      </c>
      <c r="CB27" s="69" t="s">
        <v>286</v>
      </c>
      <c r="CC27" s="69" t="s">
        <v>59</v>
      </c>
      <c r="CD27" s="69" t="s">
        <v>59</v>
      </c>
      <c r="CE27" s="69" t="s">
        <v>59</v>
      </c>
      <c r="CF27" s="69"/>
      <c r="CG27" s="69"/>
      <c r="CH27" s="69" t="s">
        <v>59</v>
      </c>
      <c r="CI27" s="69" t="s">
        <v>59</v>
      </c>
      <c r="CJ27" s="69" t="s">
        <v>59</v>
      </c>
      <c r="CK27" s="69" t="s">
        <v>59</v>
      </c>
      <c r="CL27" s="69" t="s">
        <v>59</v>
      </c>
      <c r="CM27" s="69" t="s">
        <v>59</v>
      </c>
      <c r="CN27" s="69" t="s">
        <v>59</v>
      </c>
      <c r="CO27" s="69" t="s">
        <v>59</v>
      </c>
      <c r="CP27" s="69" t="s">
        <v>59</v>
      </c>
      <c r="CQ27" s="69" t="s">
        <v>59</v>
      </c>
      <c r="CR27" s="69" t="s">
        <v>59</v>
      </c>
      <c r="CS27" s="69"/>
      <c r="CT27" s="69"/>
      <c r="CU27" s="69" t="s">
        <v>59</v>
      </c>
      <c r="CV27" s="69" t="s">
        <v>59</v>
      </c>
      <c r="CW27" s="69" t="s">
        <v>59</v>
      </c>
      <c r="CX27" s="69" t="s">
        <v>59</v>
      </c>
      <c r="CY27" s="69" t="s">
        <v>59</v>
      </c>
      <c r="CZ27" s="69" t="s">
        <v>59</v>
      </c>
      <c r="DA27" s="69" t="s">
        <v>59</v>
      </c>
      <c r="DB27" s="69" t="s">
        <v>59</v>
      </c>
      <c r="DC27" s="69">
        <v>4</v>
      </c>
      <c r="DD27" s="55"/>
      <c r="DE27" s="43"/>
      <c r="DF27" s="43"/>
      <c r="DG27" s="43"/>
      <c r="DH27" s="43"/>
      <c r="DI27" s="43"/>
      <c r="DJ27" s="43"/>
    </row>
    <row r="28" spans="1:114">
      <c r="A28" s="34" t="s">
        <v>174</v>
      </c>
      <c r="B28" s="34">
        <v>2737</v>
      </c>
      <c r="C28" s="34">
        <v>2</v>
      </c>
      <c r="D28" s="43">
        <v>1</v>
      </c>
      <c r="E28" s="26" t="s">
        <v>139</v>
      </c>
      <c r="F28" s="26" t="s">
        <v>59</v>
      </c>
      <c r="G28" s="48">
        <f t="shared" si="0"/>
        <v>400</v>
      </c>
      <c r="H28" s="26" t="s">
        <v>59</v>
      </c>
      <c r="I28" s="26" t="s">
        <v>60</v>
      </c>
      <c r="J28" s="26" t="s">
        <v>59</v>
      </c>
      <c r="K28" s="26" t="s">
        <v>59</v>
      </c>
      <c r="L28" s="26" t="s">
        <v>59</v>
      </c>
      <c r="M28" s="26" t="s">
        <v>59</v>
      </c>
      <c r="N28" s="26" t="s">
        <v>59</v>
      </c>
      <c r="O28" s="26" t="s">
        <v>59</v>
      </c>
      <c r="P28" s="26" t="s">
        <v>59</v>
      </c>
      <c r="Q28" s="26" t="s">
        <v>60</v>
      </c>
      <c r="R28" s="26" t="s">
        <v>60</v>
      </c>
      <c r="S28" s="26" t="s">
        <v>60</v>
      </c>
      <c r="T28" s="26" t="s">
        <v>60</v>
      </c>
      <c r="U28" s="26">
        <v>209</v>
      </c>
      <c r="V28" s="26">
        <v>191</v>
      </c>
      <c r="W28" s="26" t="s">
        <v>60</v>
      </c>
      <c r="X28" s="26" t="s">
        <v>60</v>
      </c>
      <c r="Y28" s="26">
        <v>7.8</v>
      </c>
      <c r="Z28" s="26">
        <v>1.3</v>
      </c>
      <c r="AA28" s="26" t="s">
        <v>61</v>
      </c>
      <c r="AB28" s="26" t="s">
        <v>61</v>
      </c>
      <c r="AC28" s="27" t="s">
        <v>61</v>
      </c>
      <c r="AD28" s="26">
        <v>7.8</v>
      </c>
      <c r="AE28" s="26">
        <v>1.4</v>
      </c>
      <c r="AF28" s="26" t="s">
        <v>61</v>
      </c>
      <c r="AG28" s="26" t="s">
        <v>61</v>
      </c>
      <c r="AH28" s="27" t="s">
        <v>61</v>
      </c>
      <c r="AI28" s="26" t="s">
        <v>60</v>
      </c>
      <c r="AJ28" s="26" t="s">
        <v>60</v>
      </c>
      <c r="AK28" s="26" t="s">
        <v>59</v>
      </c>
      <c r="AL28" s="26" t="s">
        <v>59</v>
      </c>
      <c r="AM28" s="26" t="s">
        <v>59</v>
      </c>
      <c r="AN28" s="26" t="s">
        <v>60</v>
      </c>
      <c r="AO28" s="26" t="s">
        <v>60</v>
      </c>
      <c r="AP28" s="26" t="s">
        <v>59</v>
      </c>
      <c r="AQ28" s="26" t="s">
        <v>59</v>
      </c>
      <c r="AR28" s="26" t="s">
        <v>59</v>
      </c>
      <c r="AS28" s="26" t="s">
        <v>61</v>
      </c>
      <c r="AT28" s="26" t="s">
        <v>64</v>
      </c>
      <c r="AU28" s="26" t="s">
        <v>59</v>
      </c>
      <c r="AV28" s="26" t="s">
        <v>59</v>
      </c>
      <c r="AW28" s="26" t="s">
        <v>59</v>
      </c>
      <c r="AX28" s="26" t="s">
        <v>59</v>
      </c>
      <c r="AY28" s="186">
        <v>209</v>
      </c>
      <c r="AZ28" s="186">
        <v>191</v>
      </c>
      <c r="BA28" s="186" t="s">
        <v>60</v>
      </c>
      <c r="BB28" s="186" t="s">
        <v>60</v>
      </c>
      <c r="BC28" s="26">
        <v>7.7</v>
      </c>
      <c r="BD28" s="222">
        <v>1.1100000000000001</v>
      </c>
      <c r="BE28" s="26" t="s">
        <v>61</v>
      </c>
      <c r="BF28" s="26">
        <v>2</v>
      </c>
      <c r="BG28" s="48">
        <v>1</v>
      </c>
      <c r="BH28" s="27" t="s">
        <v>61</v>
      </c>
      <c r="BI28" s="27" t="s">
        <v>61</v>
      </c>
      <c r="BJ28" s="26" t="s">
        <v>61</v>
      </c>
      <c r="BK28" s="26" t="s">
        <v>61</v>
      </c>
      <c r="BL28" s="26" t="s">
        <v>61</v>
      </c>
      <c r="BM28" s="26" t="s">
        <v>61</v>
      </c>
      <c r="BN28" s="26" t="s">
        <v>61</v>
      </c>
      <c r="BO28" s="26" t="s">
        <v>61</v>
      </c>
      <c r="BP28" s="26">
        <v>7.7</v>
      </c>
      <c r="BQ28" s="222">
        <v>1.06</v>
      </c>
      <c r="BR28" s="26" t="s">
        <v>61</v>
      </c>
      <c r="BS28" s="26">
        <v>2</v>
      </c>
      <c r="BT28" s="26">
        <v>1</v>
      </c>
      <c r="BU28" s="27" t="s">
        <v>61</v>
      </c>
      <c r="BV28" s="27" t="s">
        <v>61</v>
      </c>
      <c r="BW28" s="26" t="s">
        <v>61</v>
      </c>
      <c r="BX28" s="26" t="s">
        <v>61</v>
      </c>
      <c r="BY28" s="27" t="s">
        <v>61</v>
      </c>
      <c r="BZ28" s="26" t="s">
        <v>61</v>
      </c>
      <c r="CA28" s="27" t="s">
        <v>61</v>
      </c>
      <c r="CB28" s="26" t="s">
        <v>61</v>
      </c>
      <c r="CC28" s="26" t="s">
        <v>60</v>
      </c>
      <c r="CD28" s="26" t="s">
        <v>60</v>
      </c>
      <c r="CE28" s="26" t="s">
        <v>59</v>
      </c>
      <c r="CF28" s="26"/>
      <c r="CG28" s="26"/>
      <c r="CH28" s="26" t="s">
        <v>59</v>
      </c>
      <c r="CI28" s="26" t="s">
        <v>59</v>
      </c>
      <c r="CJ28" s="26" t="s">
        <v>59</v>
      </c>
      <c r="CK28" s="26" t="s">
        <v>59</v>
      </c>
      <c r="CL28" s="26" t="s">
        <v>59</v>
      </c>
      <c r="CM28" s="26" t="s">
        <v>59</v>
      </c>
      <c r="CN28" s="26" t="s">
        <v>59</v>
      </c>
      <c r="CO28" s="26" t="s">
        <v>59</v>
      </c>
      <c r="CP28" s="26" t="s">
        <v>60</v>
      </c>
      <c r="CQ28" s="26" t="s">
        <v>60</v>
      </c>
      <c r="CR28" s="26" t="s">
        <v>59</v>
      </c>
      <c r="CS28" s="26"/>
      <c r="CT28" s="26"/>
      <c r="CU28" s="26" t="s">
        <v>59</v>
      </c>
      <c r="CV28" s="26" t="s">
        <v>59</v>
      </c>
      <c r="CW28" s="26" t="s">
        <v>59</v>
      </c>
      <c r="CX28" s="26" t="s">
        <v>59</v>
      </c>
      <c r="CY28" s="26" t="s">
        <v>59</v>
      </c>
      <c r="CZ28" s="26" t="s">
        <v>59</v>
      </c>
      <c r="DA28" s="26" t="s">
        <v>59</v>
      </c>
      <c r="DB28" s="26" t="s">
        <v>59</v>
      </c>
      <c r="DC28" s="26">
        <v>12</v>
      </c>
    </row>
    <row r="29" spans="1:114" ht="14">
      <c r="A29" s="49" t="s">
        <v>371</v>
      </c>
      <c r="B29" s="43">
        <v>10356</v>
      </c>
      <c r="C29" s="43">
        <v>3</v>
      </c>
      <c r="D29" s="43">
        <v>1</v>
      </c>
      <c r="E29" s="48" t="s">
        <v>139</v>
      </c>
      <c r="F29" s="26" t="s">
        <v>59</v>
      </c>
      <c r="G29" s="48">
        <f t="shared" si="0"/>
        <v>173</v>
      </c>
      <c r="H29" s="26" t="s">
        <v>59</v>
      </c>
      <c r="I29" s="26" t="s">
        <v>59</v>
      </c>
      <c r="J29" s="48" t="s">
        <v>59</v>
      </c>
      <c r="K29" s="26" t="s">
        <v>59</v>
      </c>
      <c r="L29" s="26" t="s">
        <v>59</v>
      </c>
      <c r="M29" s="26" t="s">
        <v>59</v>
      </c>
      <c r="N29" s="26" t="s">
        <v>59</v>
      </c>
      <c r="O29" s="26" t="s">
        <v>59</v>
      </c>
      <c r="P29" s="26" t="s">
        <v>59</v>
      </c>
      <c r="Q29" s="48" t="s">
        <v>59</v>
      </c>
      <c r="R29" s="48" t="s">
        <v>59</v>
      </c>
      <c r="S29" s="48" t="s">
        <v>59</v>
      </c>
      <c r="T29" s="48" t="s">
        <v>59</v>
      </c>
      <c r="U29" s="48">
        <v>61</v>
      </c>
      <c r="V29" s="48">
        <v>60</v>
      </c>
      <c r="W29" s="48">
        <v>59</v>
      </c>
      <c r="X29" s="48" t="s">
        <v>59</v>
      </c>
      <c r="Y29" s="69">
        <v>8.91</v>
      </c>
      <c r="Z29" s="69">
        <v>0.9</v>
      </c>
      <c r="AA29" s="69" t="s">
        <v>61</v>
      </c>
      <c r="AB29" s="69" t="s">
        <v>61</v>
      </c>
      <c r="AC29" s="69" t="s">
        <v>61</v>
      </c>
      <c r="AD29" s="69">
        <v>9.19</v>
      </c>
      <c r="AE29" s="69">
        <v>1.1399999999999999</v>
      </c>
      <c r="AF29" s="69" t="s">
        <v>61</v>
      </c>
      <c r="AG29" s="69" t="s">
        <v>61</v>
      </c>
      <c r="AH29" s="69" t="s">
        <v>61</v>
      </c>
      <c r="AI29" s="69">
        <v>9.11</v>
      </c>
      <c r="AJ29" s="69">
        <v>1.1399999999999999</v>
      </c>
      <c r="AK29" s="69" t="s">
        <v>61</v>
      </c>
      <c r="AL29" s="69" t="s">
        <v>61</v>
      </c>
      <c r="AM29" s="69" t="s">
        <v>61</v>
      </c>
      <c r="AN29" s="69" t="s">
        <v>59</v>
      </c>
      <c r="AO29" s="69" t="s">
        <v>59</v>
      </c>
      <c r="AP29" s="69" t="s">
        <v>59</v>
      </c>
      <c r="AQ29" s="69" t="s">
        <v>59</v>
      </c>
      <c r="AR29" s="69" t="s">
        <v>59</v>
      </c>
      <c r="AS29" s="69" t="s">
        <v>61</v>
      </c>
      <c r="AT29" s="69" t="s">
        <v>64</v>
      </c>
      <c r="AU29" s="69" t="s">
        <v>59</v>
      </c>
      <c r="AV29" s="69" t="s">
        <v>59</v>
      </c>
      <c r="AW29" s="69" t="s">
        <v>59</v>
      </c>
      <c r="AX29" s="69" t="s">
        <v>59</v>
      </c>
      <c r="AY29" s="215">
        <v>60</v>
      </c>
      <c r="AZ29" s="215">
        <v>56</v>
      </c>
      <c r="BA29" s="215">
        <v>57</v>
      </c>
      <c r="BB29" s="215" t="s">
        <v>59</v>
      </c>
      <c r="BC29" s="69">
        <v>9.1</v>
      </c>
      <c r="BD29" s="69">
        <v>1.1599999999999999</v>
      </c>
      <c r="BE29" s="69" t="s">
        <v>61</v>
      </c>
      <c r="BF29" s="48">
        <v>0</v>
      </c>
      <c r="BG29" s="48">
        <v>1</v>
      </c>
      <c r="BH29" s="69" t="s">
        <v>61</v>
      </c>
      <c r="BI29" s="69" t="s">
        <v>61</v>
      </c>
      <c r="BJ29" s="69">
        <v>0.2</v>
      </c>
      <c r="BK29" s="69" t="s">
        <v>61</v>
      </c>
      <c r="BL29" s="69">
        <v>0.8</v>
      </c>
      <c r="BM29" s="69" t="s">
        <v>61</v>
      </c>
      <c r="BN29" s="69" t="s">
        <v>61</v>
      </c>
      <c r="BO29" s="69" t="s">
        <v>61</v>
      </c>
      <c r="BP29" s="69">
        <v>8.6300000000000008</v>
      </c>
      <c r="BQ29" s="69">
        <v>1.07</v>
      </c>
      <c r="BR29" s="69" t="s">
        <v>61</v>
      </c>
      <c r="BS29" s="26">
        <v>0</v>
      </c>
      <c r="BT29" s="26">
        <v>1</v>
      </c>
      <c r="BU29" s="69" t="s">
        <v>61</v>
      </c>
      <c r="BV29" s="69" t="s">
        <v>61</v>
      </c>
      <c r="BW29" s="69">
        <v>-0.5</v>
      </c>
      <c r="BX29" s="69" t="s">
        <v>61</v>
      </c>
      <c r="BY29" s="69">
        <v>0.9</v>
      </c>
      <c r="BZ29" s="69" t="s">
        <v>61</v>
      </c>
      <c r="CA29" s="69" t="s">
        <v>61</v>
      </c>
      <c r="CB29" s="69" t="s">
        <v>61</v>
      </c>
      <c r="CC29" s="69">
        <v>8.41</v>
      </c>
      <c r="CD29" s="69">
        <v>1.04</v>
      </c>
      <c r="CE29" s="69" t="s">
        <v>61</v>
      </c>
      <c r="CF29" s="69">
        <v>0</v>
      </c>
      <c r="CG29" s="69">
        <v>1</v>
      </c>
      <c r="CH29" s="69" t="s">
        <v>61</v>
      </c>
      <c r="CI29" s="69" t="s">
        <v>61</v>
      </c>
      <c r="CJ29" s="69">
        <v>-0.7</v>
      </c>
      <c r="CK29" s="69" t="s">
        <v>61</v>
      </c>
      <c r="CL29" s="69">
        <v>0.8</v>
      </c>
      <c r="CM29" s="69" t="s">
        <v>61</v>
      </c>
      <c r="CN29" s="69" t="s">
        <v>61</v>
      </c>
      <c r="CO29" s="69" t="s">
        <v>61</v>
      </c>
      <c r="CP29" s="69" t="s">
        <v>59</v>
      </c>
      <c r="CQ29" s="69" t="s">
        <v>59</v>
      </c>
      <c r="CR29" s="69" t="s">
        <v>59</v>
      </c>
      <c r="CS29" s="69"/>
      <c r="CT29" s="69"/>
      <c r="CU29" s="69" t="s">
        <v>59</v>
      </c>
      <c r="CV29" s="69" t="s">
        <v>59</v>
      </c>
      <c r="CW29" s="69" t="s">
        <v>59</v>
      </c>
      <c r="CX29" s="69" t="s">
        <v>59</v>
      </c>
      <c r="CY29" s="69" t="s">
        <v>59</v>
      </c>
      <c r="CZ29" s="69" t="s">
        <v>59</v>
      </c>
      <c r="DA29" s="69" t="s">
        <v>59</v>
      </c>
      <c r="DB29" s="69" t="s">
        <v>59</v>
      </c>
      <c r="DC29" s="69">
        <v>6</v>
      </c>
      <c r="DD29" s="55"/>
      <c r="DE29" s="43"/>
      <c r="DF29" s="43"/>
      <c r="DG29" s="43"/>
      <c r="DH29" s="43"/>
      <c r="DI29" s="43"/>
      <c r="DJ29" s="43"/>
    </row>
    <row r="30" spans="1:114">
      <c r="A30" s="34" t="s">
        <v>201</v>
      </c>
      <c r="B30" s="34">
        <v>5508</v>
      </c>
      <c r="C30" s="34">
        <v>2</v>
      </c>
      <c r="D30" s="43">
        <v>1</v>
      </c>
      <c r="E30" s="26" t="s">
        <v>139</v>
      </c>
      <c r="F30" s="26" t="s">
        <v>59</v>
      </c>
      <c r="G30" s="48">
        <f t="shared" si="0"/>
        <v>46</v>
      </c>
      <c r="H30" s="26" t="s">
        <v>59</v>
      </c>
      <c r="I30" s="26" t="s">
        <v>60</v>
      </c>
      <c r="J30" s="26" t="s">
        <v>59</v>
      </c>
      <c r="K30" s="26" t="s">
        <v>59</v>
      </c>
      <c r="L30" s="26" t="s">
        <v>59</v>
      </c>
      <c r="M30" s="26" t="s">
        <v>59</v>
      </c>
      <c r="N30" s="26" t="s">
        <v>59</v>
      </c>
      <c r="O30" s="26" t="s">
        <v>59</v>
      </c>
      <c r="P30" s="26" t="s">
        <v>59</v>
      </c>
      <c r="Q30" s="26" t="s">
        <v>60</v>
      </c>
      <c r="R30" s="26" t="s">
        <v>60</v>
      </c>
      <c r="S30" s="26" t="s">
        <v>60</v>
      </c>
      <c r="T30" s="26" t="s">
        <v>60</v>
      </c>
      <c r="U30" s="26">
        <v>25</v>
      </c>
      <c r="V30" s="26">
        <v>24</v>
      </c>
      <c r="W30" s="26" t="s">
        <v>60</v>
      </c>
      <c r="X30" s="26" t="s">
        <v>60</v>
      </c>
      <c r="Y30" s="26">
        <v>7.18</v>
      </c>
      <c r="Z30" s="26">
        <v>1.42</v>
      </c>
      <c r="AA30" s="26" t="s">
        <v>61</v>
      </c>
      <c r="AB30" s="26" t="s">
        <v>61</v>
      </c>
      <c r="AC30" s="27" t="s">
        <v>61</v>
      </c>
      <c r="AD30" s="26">
        <v>7.75</v>
      </c>
      <c r="AE30" s="26">
        <v>1.21</v>
      </c>
      <c r="AF30" s="26" t="s">
        <v>61</v>
      </c>
      <c r="AG30" s="26" t="s">
        <v>61</v>
      </c>
      <c r="AH30" s="27" t="s">
        <v>61</v>
      </c>
      <c r="AI30" s="26" t="s">
        <v>60</v>
      </c>
      <c r="AJ30" s="26" t="s">
        <v>60</v>
      </c>
      <c r="AK30" s="26" t="s">
        <v>59</v>
      </c>
      <c r="AL30" s="26" t="s">
        <v>59</v>
      </c>
      <c r="AM30" s="26" t="s">
        <v>59</v>
      </c>
      <c r="AN30" s="26" t="s">
        <v>60</v>
      </c>
      <c r="AO30" s="26" t="s">
        <v>60</v>
      </c>
      <c r="AP30" s="26" t="s">
        <v>59</v>
      </c>
      <c r="AQ30" s="26" t="s">
        <v>59</v>
      </c>
      <c r="AR30" s="26" t="s">
        <v>59</v>
      </c>
      <c r="AS30" s="26" t="s">
        <v>61</v>
      </c>
      <c r="AT30" s="26" t="s">
        <v>64</v>
      </c>
      <c r="AU30" s="26" t="s">
        <v>59</v>
      </c>
      <c r="AV30" s="26" t="s">
        <v>59</v>
      </c>
      <c r="AW30" s="26" t="s">
        <v>59</v>
      </c>
      <c r="AX30" s="26" t="s">
        <v>59</v>
      </c>
      <c r="AY30" s="186">
        <v>24</v>
      </c>
      <c r="AZ30" s="186">
        <v>22</v>
      </c>
      <c r="BA30" s="186" t="s">
        <v>60</v>
      </c>
      <c r="BB30" s="186" t="s">
        <v>60</v>
      </c>
      <c r="BC30" s="26">
        <v>7.44</v>
      </c>
      <c r="BD30" s="26">
        <v>1.5</v>
      </c>
      <c r="BE30" s="26" t="s">
        <v>61</v>
      </c>
      <c r="BF30" s="48">
        <v>0</v>
      </c>
      <c r="BG30" s="48">
        <v>1</v>
      </c>
      <c r="BH30" s="27" t="s">
        <v>61</v>
      </c>
      <c r="BI30" s="27" t="s">
        <v>61</v>
      </c>
      <c r="BJ30" s="26">
        <v>0.27</v>
      </c>
      <c r="BK30" s="26">
        <v>0.67</v>
      </c>
      <c r="BL30" s="26" t="s">
        <v>61</v>
      </c>
      <c r="BM30" s="26">
        <v>-0.02</v>
      </c>
      <c r="BN30" s="26">
        <v>0.55000000000000004</v>
      </c>
      <c r="BO30" s="26" t="s">
        <v>61</v>
      </c>
      <c r="BP30" s="26">
        <v>7.41</v>
      </c>
      <c r="BQ30" s="26">
        <v>1.07</v>
      </c>
      <c r="BR30" s="26" t="s">
        <v>61</v>
      </c>
      <c r="BS30" s="26">
        <v>0</v>
      </c>
      <c r="BT30" s="26">
        <v>1</v>
      </c>
      <c r="BU30" s="27" t="s">
        <v>61</v>
      </c>
      <c r="BV30" s="27" t="s">
        <v>61</v>
      </c>
      <c r="BW30" s="26">
        <v>-0.34</v>
      </c>
      <c r="BX30" s="26">
        <v>0.49</v>
      </c>
      <c r="BY30" s="27" t="s">
        <v>61</v>
      </c>
      <c r="BZ30" s="26">
        <v>-0.56000000000000005</v>
      </c>
      <c r="CA30" s="27">
        <v>-0.12</v>
      </c>
      <c r="CB30" s="26" t="s">
        <v>180</v>
      </c>
      <c r="CC30" s="26" t="s">
        <v>60</v>
      </c>
      <c r="CD30" s="26" t="s">
        <v>60</v>
      </c>
      <c r="CE30" s="26" t="s">
        <v>59</v>
      </c>
      <c r="CF30" s="26"/>
      <c r="CG30" s="26"/>
      <c r="CH30" s="26" t="s">
        <v>59</v>
      </c>
      <c r="CI30" s="26" t="s">
        <v>59</v>
      </c>
      <c r="CJ30" s="26" t="s">
        <v>59</v>
      </c>
      <c r="CK30" s="26" t="s">
        <v>59</v>
      </c>
      <c r="CL30" s="26" t="s">
        <v>59</v>
      </c>
      <c r="CM30" s="26" t="s">
        <v>59</v>
      </c>
      <c r="CN30" s="26" t="s">
        <v>59</v>
      </c>
      <c r="CO30" s="26" t="s">
        <v>59</v>
      </c>
      <c r="CP30" s="26" t="s">
        <v>60</v>
      </c>
      <c r="CQ30" s="26" t="s">
        <v>60</v>
      </c>
      <c r="CR30" s="26" t="s">
        <v>59</v>
      </c>
      <c r="CS30" s="26"/>
      <c r="CT30" s="26"/>
      <c r="CU30" s="26" t="s">
        <v>59</v>
      </c>
      <c r="CV30" s="26" t="s">
        <v>59</v>
      </c>
      <c r="CW30" s="26" t="s">
        <v>59</v>
      </c>
      <c r="CX30" s="26" t="s">
        <v>59</v>
      </c>
      <c r="CY30" s="26" t="s">
        <v>59</v>
      </c>
      <c r="CZ30" s="26" t="s">
        <v>59</v>
      </c>
      <c r="DA30" s="26" t="s">
        <v>59</v>
      </c>
      <c r="DB30" s="26" t="s">
        <v>59</v>
      </c>
      <c r="DC30" s="26">
        <v>3</v>
      </c>
    </row>
    <row r="31" spans="1:114">
      <c r="A31" s="34" t="s">
        <v>215</v>
      </c>
      <c r="B31" s="34">
        <v>5948</v>
      </c>
      <c r="C31" s="34">
        <v>2</v>
      </c>
      <c r="D31" s="43">
        <v>1</v>
      </c>
      <c r="E31" s="26" t="s">
        <v>139</v>
      </c>
      <c r="F31" s="26" t="s">
        <v>59</v>
      </c>
      <c r="G31" s="48">
        <f t="shared" si="0"/>
        <v>25</v>
      </c>
      <c r="H31" s="26" t="s">
        <v>59</v>
      </c>
      <c r="I31" s="26" t="s">
        <v>60</v>
      </c>
      <c r="J31" s="26" t="s">
        <v>59</v>
      </c>
      <c r="K31" s="26" t="s">
        <v>59</v>
      </c>
      <c r="L31" s="26" t="s">
        <v>59</v>
      </c>
      <c r="M31" s="26" t="s">
        <v>59</v>
      </c>
      <c r="N31" s="26" t="s">
        <v>59</v>
      </c>
      <c r="O31" s="26" t="s">
        <v>59</v>
      </c>
      <c r="P31" s="26" t="s">
        <v>59</v>
      </c>
      <c r="Q31" s="26" t="s">
        <v>60</v>
      </c>
      <c r="R31" s="26" t="s">
        <v>60</v>
      </c>
      <c r="S31" s="26" t="s">
        <v>60</v>
      </c>
      <c r="T31" s="26" t="s">
        <v>60</v>
      </c>
      <c r="U31" s="26">
        <v>10</v>
      </c>
      <c r="V31" s="26">
        <v>15</v>
      </c>
      <c r="W31" s="26" t="s">
        <v>60</v>
      </c>
      <c r="X31" s="26" t="s">
        <v>60</v>
      </c>
      <c r="Y31" s="26">
        <v>8.1999999999999993</v>
      </c>
      <c r="Z31" s="26">
        <v>0.9</v>
      </c>
      <c r="AA31" s="26" t="s">
        <v>61</v>
      </c>
      <c r="AB31" s="26" t="s">
        <v>61</v>
      </c>
      <c r="AC31" s="27" t="s">
        <v>61</v>
      </c>
      <c r="AD31" s="26">
        <v>8.9</v>
      </c>
      <c r="AE31" s="26">
        <v>1.3</v>
      </c>
      <c r="AF31" s="26" t="s">
        <v>61</v>
      </c>
      <c r="AG31" s="26" t="s">
        <v>61</v>
      </c>
      <c r="AH31" s="27" t="s">
        <v>61</v>
      </c>
      <c r="AI31" s="26" t="s">
        <v>60</v>
      </c>
      <c r="AJ31" s="26" t="s">
        <v>60</v>
      </c>
      <c r="AK31" s="26" t="s">
        <v>59</v>
      </c>
      <c r="AL31" s="26" t="s">
        <v>59</v>
      </c>
      <c r="AM31" s="26" t="s">
        <v>59</v>
      </c>
      <c r="AN31" s="26" t="s">
        <v>60</v>
      </c>
      <c r="AO31" s="26" t="s">
        <v>60</v>
      </c>
      <c r="AP31" s="26" t="s">
        <v>59</v>
      </c>
      <c r="AQ31" s="26" t="s">
        <v>59</v>
      </c>
      <c r="AR31" s="26" t="s">
        <v>59</v>
      </c>
      <c r="AS31" s="26">
        <v>0.113</v>
      </c>
      <c r="AT31" s="26" t="s">
        <v>64</v>
      </c>
      <c r="AU31" s="26" t="s">
        <v>59</v>
      </c>
      <c r="AV31" s="26" t="s">
        <v>59</v>
      </c>
      <c r="AW31" s="26" t="s">
        <v>59</v>
      </c>
      <c r="AX31" s="26" t="s">
        <v>59</v>
      </c>
      <c r="AY31" s="186">
        <v>10</v>
      </c>
      <c r="AZ31" s="186">
        <v>15</v>
      </c>
      <c r="BA31" s="186" t="s">
        <v>60</v>
      </c>
      <c r="BB31" s="186" t="s">
        <v>60</v>
      </c>
      <c r="BC31" s="26">
        <v>8.6999999999999993</v>
      </c>
      <c r="BD31" s="26">
        <v>0.7</v>
      </c>
      <c r="BE31" s="26" t="s">
        <v>61</v>
      </c>
      <c r="BF31" s="48">
        <v>0</v>
      </c>
      <c r="BG31" s="48">
        <v>1</v>
      </c>
      <c r="BH31" s="27" t="s">
        <v>61</v>
      </c>
      <c r="BI31" s="27" t="s">
        <v>61</v>
      </c>
      <c r="BJ31" s="26">
        <v>0.5</v>
      </c>
      <c r="BK31" s="26">
        <v>1</v>
      </c>
      <c r="BL31" s="26" t="s">
        <v>61</v>
      </c>
      <c r="BM31" s="26" t="s">
        <v>61</v>
      </c>
      <c r="BN31" s="26" t="s">
        <v>61</v>
      </c>
      <c r="BO31" s="26">
        <v>0.193</v>
      </c>
      <c r="BP31" s="26">
        <v>7.7</v>
      </c>
      <c r="BQ31" s="26">
        <v>1.1000000000000001</v>
      </c>
      <c r="BR31" s="26" t="s">
        <v>61</v>
      </c>
      <c r="BS31" s="26">
        <v>0</v>
      </c>
      <c r="BT31" s="26">
        <v>1</v>
      </c>
      <c r="BU31" s="27" t="s">
        <v>61</v>
      </c>
      <c r="BV31" s="27" t="s">
        <v>61</v>
      </c>
      <c r="BW31" s="26">
        <v>-1.2</v>
      </c>
      <c r="BX31" s="26">
        <v>1.7</v>
      </c>
      <c r="BY31" s="27" t="s">
        <v>61</v>
      </c>
      <c r="BZ31" s="26" t="s">
        <v>61</v>
      </c>
      <c r="CA31" s="27" t="s">
        <v>61</v>
      </c>
      <c r="CB31" s="26">
        <v>1.0999999999999999E-2</v>
      </c>
      <c r="CC31" s="26" t="s">
        <v>60</v>
      </c>
      <c r="CD31" s="26" t="s">
        <v>60</v>
      </c>
      <c r="CE31" s="26" t="s">
        <v>59</v>
      </c>
      <c r="CF31" s="26"/>
      <c r="CG31" s="26"/>
      <c r="CH31" s="26" t="s">
        <v>59</v>
      </c>
      <c r="CI31" s="26" t="s">
        <v>59</v>
      </c>
      <c r="CJ31" s="26" t="s">
        <v>59</v>
      </c>
      <c r="CK31" s="26" t="s">
        <v>59</v>
      </c>
      <c r="CL31" s="26" t="s">
        <v>59</v>
      </c>
      <c r="CM31" s="26" t="s">
        <v>59</v>
      </c>
      <c r="CN31" s="26" t="s">
        <v>59</v>
      </c>
      <c r="CO31" s="26" t="s">
        <v>59</v>
      </c>
      <c r="CP31" s="26" t="s">
        <v>60</v>
      </c>
      <c r="CQ31" s="26" t="s">
        <v>60</v>
      </c>
      <c r="CR31" s="26" t="s">
        <v>59</v>
      </c>
      <c r="CS31" s="26"/>
      <c r="CT31" s="26"/>
      <c r="CU31" s="26" t="s">
        <v>59</v>
      </c>
      <c r="CV31" s="26" t="s">
        <v>59</v>
      </c>
      <c r="CW31" s="26" t="s">
        <v>59</v>
      </c>
      <c r="CX31" s="26" t="s">
        <v>59</v>
      </c>
      <c r="CY31" s="26" t="s">
        <v>59</v>
      </c>
      <c r="CZ31" s="26" t="s">
        <v>59</v>
      </c>
      <c r="DA31" s="26" t="s">
        <v>59</v>
      </c>
      <c r="DB31" s="26" t="s">
        <v>59</v>
      </c>
      <c r="DC31" s="26">
        <v>3</v>
      </c>
    </row>
    <row r="32" spans="1:114">
      <c r="A32" s="34" t="s">
        <v>190</v>
      </c>
      <c r="B32" s="22">
        <v>5101</v>
      </c>
      <c r="C32" s="34">
        <v>2</v>
      </c>
      <c r="D32" s="43">
        <v>1</v>
      </c>
      <c r="E32" s="26" t="s">
        <v>139</v>
      </c>
      <c r="F32" s="26" t="s">
        <v>59</v>
      </c>
      <c r="G32" s="48">
        <f t="shared" si="0"/>
        <v>69</v>
      </c>
      <c r="H32" s="26" t="s">
        <v>59</v>
      </c>
      <c r="I32" s="26" t="s">
        <v>60</v>
      </c>
      <c r="J32" s="26" t="s">
        <v>59</v>
      </c>
      <c r="K32" s="26" t="s">
        <v>59</v>
      </c>
      <c r="L32" s="26" t="s">
        <v>59</v>
      </c>
      <c r="M32" s="26" t="s">
        <v>59</v>
      </c>
      <c r="N32" s="26" t="s">
        <v>59</v>
      </c>
      <c r="O32" s="26" t="s">
        <v>59</v>
      </c>
      <c r="P32" s="26" t="s">
        <v>59</v>
      </c>
      <c r="Q32" s="26" t="s">
        <v>60</v>
      </c>
      <c r="R32" s="26" t="s">
        <v>60</v>
      </c>
      <c r="S32" s="26" t="s">
        <v>60</v>
      </c>
      <c r="T32" s="26" t="s">
        <v>60</v>
      </c>
      <c r="U32" s="26">
        <v>34</v>
      </c>
      <c r="V32" s="26">
        <v>35</v>
      </c>
      <c r="W32" s="26" t="s">
        <v>60</v>
      </c>
      <c r="X32" s="26" t="s">
        <v>60</v>
      </c>
      <c r="Y32" s="26">
        <v>7.6</v>
      </c>
      <c r="Z32" s="26">
        <v>1.9</v>
      </c>
      <c r="AA32" s="26" t="s">
        <v>61</v>
      </c>
      <c r="AB32" s="26" t="s">
        <v>61</v>
      </c>
      <c r="AC32" s="26" t="s">
        <v>61</v>
      </c>
      <c r="AD32" s="26">
        <v>8.3000000000000007</v>
      </c>
      <c r="AE32" s="26">
        <v>2.2999999999999998</v>
      </c>
      <c r="AF32" s="26" t="s">
        <v>61</v>
      </c>
      <c r="AG32" s="26" t="s">
        <v>61</v>
      </c>
      <c r="AH32" s="26" t="s">
        <v>61</v>
      </c>
      <c r="AI32" s="26" t="s">
        <v>60</v>
      </c>
      <c r="AJ32" s="26" t="s">
        <v>60</v>
      </c>
      <c r="AK32" s="26" t="s">
        <v>59</v>
      </c>
      <c r="AL32" s="26" t="s">
        <v>59</v>
      </c>
      <c r="AM32" s="26" t="s">
        <v>59</v>
      </c>
      <c r="AN32" s="26" t="s">
        <v>60</v>
      </c>
      <c r="AO32" s="26" t="s">
        <v>60</v>
      </c>
      <c r="AP32" s="26" t="s">
        <v>59</v>
      </c>
      <c r="AQ32" s="26" t="s">
        <v>59</v>
      </c>
      <c r="AR32" s="26" t="s">
        <v>59</v>
      </c>
      <c r="AS32" s="26">
        <v>0.3</v>
      </c>
      <c r="AT32" s="26" t="s">
        <v>64</v>
      </c>
      <c r="AU32" s="26" t="s">
        <v>59</v>
      </c>
      <c r="AV32" s="26" t="s">
        <v>59</v>
      </c>
      <c r="AW32" s="26" t="s">
        <v>59</v>
      </c>
      <c r="AX32" s="26" t="s">
        <v>59</v>
      </c>
      <c r="AY32" s="186">
        <v>34</v>
      </c>
      <c r="AZ32" s="186">
        <v>35</v>
      </c>
      <c r="BA32" s="186" t="s">
        <v>60</v>
      </c>
      <c r="BB32" s="186" t="s">
        <v>60</v>
      </c>
      <c r="BC32" s="26">
        <v>6.9</v>
      </c>
      <c r="BD32" s="26">
        <v>1.1000000000000001</v>
      </c>
      <c r="BE32" s="26" t="s">
        <v>61</v>
      </c>
      <c r="BF32" s="26">
        <v>0</v>
      </c>
      <c r="BG32" s="48">
        <v>1</v>
      </c>
      <c r="BH32" s="26" t="s">
        <v>61</v>
      </c>
      <c r="BI32" s="26" t="s">
        <v>61</v>
      </c>
      <c r="BJ32" s="26">
        <v>-0.7</v>
      </c>
      <c r="BK32" s="26" t="s">
        <v>61</v>
      </c>
      <c r="BL32" s="26" t="s">
        <v>61</v>
      </c>
      <c r="BM32" s="26" t="s">
        <v>61</v>
      </c>
      <c r="BN32" s="26" t="s">
        <v>61</v>
      </c>
      <c r="BO32" s="26" t="s">
        <v>180</v>
      </c>
      <c r="BP32" s="26">
        <v>7.1</v>
      </c>
      <c r="BQ32" s="26">
        <v>1.1000000000000001</v>
      </c>
      <c r="BR32" s="26" t="s">
        <v>61</v>
      </c>
      <c r="BS32" s="26">
        <v>0</v>
      </c>
      <c r="BT32" s="26">
        <v>1</v>
      </c>
      <c r="BU32" s="26" t="s">
        <v>61</v>
      </c>
      <c r="BV32" s="26" t="s">
        <v>61</v>
      </c>
      <c r="BW32" s="26">
        <v>-1.2</v>
      </c>
      <c r="BX32" s="26" t="s">
        <v>61</v>
      </c>
      <c r="BY32" s="26" t="s">
        <v>61</v>
      </c>
      <c r="BZ32" s="26" t="s">
        <v>61</v>
      </c>
      <c r="CA32" s="26" t="s">
        <v>61</v>
      </c>
      <c r="CB32" s="26" t="s">
        <v>180</v>
      </c>
      <c r="CC32" s="26" t="s">
        <v>60</v>
      </c>
      <c r="CD32" s="26" t="s">
        <v>60</v>
      </c>
      <c r="CE32" s="26" t="s">
        <v>59</v>
      </c>
      <c r="CF32" s="26"/>
      <c r="CG32" s="26"/>
      <c r="CH32" s="26" t="s">
        <v>59</v>
      </c>
      <c r="CI32" s="26" t="s">
        <v>59</v>
      </c>
      <c r="CJ32" s="26" t="s">
        <v>59</v>
      </c>
      <c r="CK32" s="26" t="s">
        <v>59</v>
      </c>
      <c r="CL32" s="26" t="s">
        <v>59</v>
      </c>
      <c r="CM32" s="26" t="s">
        <v>59</v>
      </c>
      <c r="CN32" s="26" t="s">
        <v>59</v>
      </c>
      <c r="CO32" s="26" t="s">
        <v>59</v>
      </c>
      <c r="CP32" s="26" t="s">
        <v>60</v>
      </c>
      <c r="CQ32" s="26" t="s">
        <v>60</v>
      </c>
      <c r="CR32" s="26" t="s">
        <v>59</v>
      </c>
      <c r="CS32" s="26"/>
      <c r="CT32" s="26"/>
      <c r="CU32" s="26" t="s">
        <v>59</v>
      </c>
      <c r="CV32" s="26" t="s">
        <v>59</v>
      </c>
      <c r="CW32" s="26" t="s">
        <v>59</v>
      </c>
      <c r="CX32" s="26" t="s">
        <v>59</v>
      </c>
      <c r="CY32" s="26" t="s">
        <v>59</v>
      </c>
      <c r="CZ32" s="26" t="s">
        <v>59</v>
      </c>
      <c r="DA32" s="26" t="s">
        <v>59</v>
      </c>
      <c r="DB32" s="26" t="s">
        <v>59</v>
      </c>
      <c r="DC32" s="26">
        <v>3</v>
      </c>
    </row>
    <row r="33" spans="1:114">
      <c r="A33" s="34" t="s">
        <v>256</v>
      </c>
      <c r="B33" s="34">
        <v>8364</v>
      </c>
      <c r="C33" s="34">
        <v>2</v>
      </c>
      <c r="D33" s="43">
        <v>1</v>
      </c>
      <c r="E33" s="26" t="s">
        <v>139</v>
      </c>
      <c r="F33" s="26" t="s">
        <v>59</v>
      </c>
      <c r="G33" s="48">
        <f t="shared" si="0"/>
        <v>234</v>
      </c>
      <c r="H33" s="26" t="s">
        <v>59</v>
      </c>
      <c r="I33" s="26" t="s">
        <v>59</v>
      </c>
      <c r="J33" s="26" t="s">
        <v>59</v>
      </c>
      <c r="K33" s="26" t="s">
        <v>59</v>
      </c>
      <c r="L33" s="26" t="s">
        <v>59</v>
      </c>
      <c r="M33" s="26" t="s">
        <v>59</v>
      </c>
      <c r="N33" s="26" t="s">
        <v>59</v>
      </c>
      <c r="O33" s="26" t="s">
        <v>59</v>
      </c>
      <c r="P33" s="26" t="s">
        <v>59</v>
      </c>
      <c r="Q33" s="26" t="s">
        <v>59</v>
      </c>
      <c r="R33" s="26" t="s">
        <v>59</v>
      </c>
      <c r="S33" s="26" t="s">
        <v>60</v>
      </c>
      <c r="T33" s="26" t="s">
        <v>60</v>
      </c>
      <c r="U33" s="26">
        <v>120</v>
      </c>
      <c r="V33" s="26">
        <v>120</v>
      </c>
      <c r="W33" s="26" t="s">
        <v>60</v>
      </c>
      <c r="X33" s="26" t="s">
        <v>60</v>
      </c>
      <c r="Y33" s="26">
        <v>8.4</v>
      </c>
      <c r="Z33" s="222">
        <v>1.1200000000000001</v>
      </c>
      <c r="AA33" s="26" t="s">
        <v>61</v>
      </c>
      <c r="AB33" s="26" t="s">
        <v>61</v>
      </c>
      <c r="AC33" s="27" t="s">
        <v>61</v>
      </c>
      <c r="AD33" s="26">
        <v>8.5</v>
      </c>
      <c r="AE33" s="222">
        <v>1.1200000000000001</v>
      </c>
      <c r="AF33" s="26" t="s">
        <v>61</v>
      </c>
      <c r="AG33" s="26" t="s">
        <v>61</v>
      </c>
      <c r="AH33" s="27" t="s">
        <v>61</v>
      </c>
      <c r="AI33" s="26" t="s">
        <v>60</v>
      </c>
      <c r="AJ33" s="26" t="s">
        <v>60</v>
      </c>
      <c r="AK33" s="26" t="s">
        <v>59</v>
      </c>
      <c r="AL33" s="26" t="s">
        <v>59</v>
      </c>
      <c r="AM33" s="26" t="s">
        <v>59</v>
      </c>
      <c r="AN33" s="26" t="s">
        <v>60</v>
      </c>
      <c r="AO33" s="26" t="s">
        <v>60</v>
      </c>
      <c r="AP33" s="26" t="s">
        <v>59</v>
      </c>
      <c r="AQ33" s="26" t="s">
        <v>59</v>
      </c>
      <c r="AR33" s="26" t="s">
        <v>59</v>
      </c>
      <c r="AS33" s="26">
        <v>0.40500000000000003</v>
      </c>
      <c r="AT33" s="26" t="s">
        <v>64</v>
      </c>
      <c r="AU33" s="26" t="s">
        <v>59</v>
      </c>
      <c r="AV33" s="26" t="s">
        <v>59</v>
      </c>
      <c r="AW33" s="26" t="s">
        <v>59</v>
      </c>
      <c r="AX33" s="26" t="s">
        <v>59</v>
      </c>
      <c r="AY33" s="186">
        <v>117</v>
      </c>
      <c r="AZ33" s="186">
        <v>117</v>
      </c>
      <c r="BA33" s="186" t="s">
        <v>60</v>
      </c>
      <c r="BB33" s="186" t="s">
        <v>60</v>
      </c>
      <c r="BC33" s="26">
        <v>8.3000000000000007</v>
      </c>
      <c r="BD33" s="222">
        <v>1.1000000000000001</v>
      </c>
      <c r="BE33" s="26" t="s">
        <v>61</v>
      </c>
      <c r="BF33" s="26">
        <v>2</v>
      </c>
      <c r="BG33" s="48">
        <v>1</v>
      </c>
      <c r="BH33" s="27" t="s">
        <v>61</v>
      </c>
      <c r="BI33" s="27" t="s">
        <v>61</v>
      </c>
      <c r="BJ33" s="26" t="s">
        <v>61</v>
      </c>
      <c r="BK33" s="26" t="s">
        <v>61</v>
      </c>
      <c r="BL33" s="26" t="s">
        <v>61</v>
      </c>
      <c r="BM33" s="26" t="s">
        <v>61</v>
      </c>
      <c r="BN33" s="26" t="s">
        <v>61</v>
      </c>
      <c r="BO33" s="26" t="s">
        <v>61</v>
      </c>
      <c r="BP33" s="26">
        <v>6.9</v>
      </c>
      <c r="BQ33" s="222">
        <v>1.1000000000000001</v>
      </c>
      <c r="BR33" s="26" t="s">
        <v>61</v>
      </c>
      <c r="BS33" s="26">
        <v>2</v>
      </c>
      <c r="BT33" s="26">
        <v>1</v>
      </c>
      <c r="BU33" s="27" t="s">
        <v>61</v>
      </c>
      <c r="BV33" s="27" t="s">
        <v>61</v>
      </c>
      <c r="BW33" s="26">
        <v>-1.66</v>
      </c>
      <c r="BX33" s="26" t="s">
        <v>61</v>
      </c>
      <c r="BY33" s="27" t="s">
        <v>61</v>
      </c>
      <c r="BZ33" s="26" t="s">
        <v>61</v>
      </c>
      <c r="CA33" s="27" t="s">
        <v>61</v>
      </c>
      <c r="CB33" s="26" t="s">
        <v>61</v>
      </c>
      <c r="CC33" s="26" t="s">
        <v>60</v>
      </c>
      <c r="CD33" s="26" t="s">
        <v>60</v>
      </c>
      <c r="CE33" s="26" t="s">
        <v>59</v>
      </c>
      <c r="CF33" s="26"/>
      <c r="CG33" s="26"/>
      <c r="CH33" s="26" t="s">
        <v>59</v>
      </c>
      <c r="CI33" s="26" t="s">
        <v>59</v>
      </c>
      <c r="CJ33" s="26" t="s">
        <v>59</v>
      </c>
      <c r="CK33" s="26" t="s">
        <v>59</v>
      </c>
      <c r="CL33" s="26" t="s">
        <v>59</v>
      </c>
      <c r="CM33" s="26" t="s">
        <v>59</v>
      </c>
      <c r="CN33" s="26" t="s">
        <v>59</v>
      </c>
      <c r="CO33" s="26" t="s">
        <v>59</v>
      </c>
      <c r="CP33" s="26" t="s">
        <v>60</v>
      </c>
      <c r="CQ33" s="26" t="s">
        <v>60</v>
      </c>
      <c r="CR33" s="26" t="s">
        <v>59</v>
      </c>
      <c r="CS33" s="26"/>
      <c r="CT33" s="26"/>
      <c r="CU33" s="26" t="s">
        <v>59</v>
      </c>
      <c r="CV33" s="26" t="s">
        <v>59</v>
      </c>
      <c r="CW33" s="26" t="s">
        <v>59</v>
      </c>
      <c r="CX33" s="26" t="s">
        <v>59</v>
      </c>
      <c r="CY33" s="26" t="s">
        <v>59</v>
      </c>
      <c r="CZ33" s="26" t="s">
        <v>59</v>
      </c>
      <c r="DA33" s="26" t="s">
        <v>59</v>
      </c>
      <c r="DB33" s="26" t="s">
        <v>59</v>
      </c>
      <c r="DC33" s="26">
        <v>12</v>
      </c>
    </row>
    <row r="34" spans="1:114">
      <c r="A34" s="34" t="s">
        <v>138</v>
      </c>
      <c r="B34" s="34">
        <v>148</v>
      </c>
      <c r="C34" s="34">
        <v>2</v>
      </c>
      <c r="D34" s="43">
        <v>1</v>
      </c>
      <c r="E34" s="26" t="s">
        <v>139</v>
      </c>
      <c r="F34" s="26" t="s">
        <v>59</v>
      </c>
      <c r="G34" s="48">
        <f t="shared" si="0"/>
        <v>38</v>
      </c>
      <c r="H34" s="26" t="s">
        <v>59</v>
      </c>
      <c r="I34" s="26" t="s">
        <v>60</v>
      </c>
      <c r="J34" s="26" t="s">
        <v>59</v>
      </c>
      <c r="K34" s="26" t="s">
        <v>59</v>
      </c>
      <c r="L34" s="26" t="s">
        <v>59</v>
      </c>
      <c r="M34" s="26" t="s">
        <v>59</v>
      </c>
      <c r="N34" s="26" t="s">
        <v>59</v>
      </c>
      <c r="O34" s="26" t="s">
        <v>59</v>
      </c>
      <c r="P34" s="26" t="s">
        <v>59</v>
      </c>
      <c r="Q34" s="26" t="s">
        <v>60</v>
      </c>
      <c r="R34" s="26" t="s">
        <v>60</v>
      </c>
      <c r="S34" s="26" t="s">
        <v>60</v>
      </c>
      <c r="T34" s="26" t="s">
        <v>60</v>
      </c>
      <c r="U34" s="26">
        <v>18</v>
      </c>
      <c r="V34" s="26">
        <v>20</v>
      </c>
      <c r="W34" s="26" t="s">
        <v>60</v>
      </c>
      <c r="X34" s="26" t="s">
        <v>60</v>
      </c>
      <c r="Y34" s="26">
        <v>11.2</v>
      </c>
      <c r="Z34" s="26">
        <v>1.8</v>
      </c>
      <c r="AA34" s="26" t="s">
        <v>61</v>
      </c>
      <c r="AB34" s="26" t="s">
        <v>61</v>
      </c>
      <c r="AC34" s="27" t="s">
        <v>436</v>
      </c>
      <c r="AD34" s="26">
        <v>10.6</v>
      </c>
      <c r="AE34" s="26">
        <v>2.8</v>
      </c>
      <c r="AF34" s="26" t="s">
        <v>61</v>
      </c>
      <c r="AG34" s="26" t="s">
        <v>61</v>
      </c>
      <c r="AH34" s="27" t="s">
        <v>437</v>
      </c>
      <c r="AI34" s="26" t="s">
        <v>60</v>
      </c>
      <c r="AJ34" s="26" t="s">
        <v>60</v>
      </c>
      <c r="AK34" s="26" t="s">
        <v>59</v>
      </c>
      <c r="AL34" s="26" t="s">
        <v>59</v>
      </c>
      <c r="AM34" s="26" t="s">
        <v>59</v>
      </c>
      <c r="AN34" s="26" t="s">
        <v>60</v>
      </c>
      <c r="AO34" s="26" t="s">
        <v>60</v>
      </c>
      <c r="AP34" s="26" t="s">
        <v>59</v>
      </c>
      <c r="AQ34" s="26" t="s">
        <v>59</v>
      </c>
      <c r="AR34" s="26" t="s">
        <v>59</v>
      </c>
      <c r="AS34" s="26" t="s">
        <v>61</v>
      </c>
      <c r="AT34" s="26" t="s">
        <v>64</v>
      </c>
      <c r="AU34" s="26" t="s">
        <v>59</v>
      </c>
      <c r="AV34" s="26" t="s">
        <v>59</v>
      </c>
      <c r="AW34" s="26" t="s">
        <v>59</v>
      </c>
      <c r="AX34" s="26" t="s">
        <v>59</v>
      </c>
      <c r="AY34" s="186">
        <v>18</v>
      </c>
      <c r="AZ34" s="186">
        <v>20</v>
      </c>
      <c r="BA34" s="186" t="s">
        <v>60</v>
      </c>
      <c r="BB34" s="186" t="s">
        <v>60</v>
      </c>
      <c r="BC34" s="26">
        <v>10.199999999999999</v>
      </c>
      <c r="BD34" s="26">
        <v>1.2</v>
      </c>
      <c r="BE34" s="26" t="s">
        <v>61</v>
      </c>
      <c r="BF34" s="48">
        <v>0</v>
      </c>
      <c r="BG34" s="48">
        <v>1</v>
      </c>
      <c r="BH34" s="27" t="s">
        <v>61</v>
      </c>
      <c r="BI34" s="27" t="s">
        <v>140</v>
      </c>
      <c r="BJ34" s="26" t="s">
        <v>61</v>
      </c>
      <c r="BK34" s="26" t="s">
        <v>61</v>
      </c>
      <c r="BL34" s="26" t="s">
        <v>61</v>
      </c>
      <c r="BM34" s="26" t="s">
        <v>61</v>
      </c>
      <c r="BN34" s="26" t="s">
        <v>61</v>
      </c>
      <c r="BO34" s="26">
        <v>0.1</v>
      </c>
      <c r="BP34" s="26">
        <v>9.1999999999999993</v>
      </c>
      <c r="BQ34" s="26">
        <v>1.1000000000000001</v>
      </c>
      <c r="BR34" s="26" t="s">
        <v>61</v>
      </c>
      <c r="BS34" s="26">
        <v>0</v>
      </c>
      <c r="BT34" s="26">
        <v>1</v>
      </c>
      <c r="BU34" s="27" t="s">
        <v>61</v>
      </c>
      <c r="BV34" s="27" t="s">
        <v>141</v>
      </c>
      <c r="BW34" s="26" t="s">
        <v>61</v>
      </c>
      <c r="BX34" s="26" t="s">
        <v>61</v>
      </c>
      <c r="BY34" s="27" t="s">
        <v>61</v>
      </c>
      <c r="BZ34" s="26" t="s">
        <v>61</v>
      </c>
      <c r="CA34" s="27" t="s">
        <v>61</v>
      </c>
      <c r="CB34" s="26">
        <v>0.05</v>
      </c>
      <c r="CC34" s="26" t="s">
        <v>60</v>
      </c>
      <c r="CD34" s="26" t="s">
        <v>60</v>
      </c>
      <c r="CE34" s="26" t="s">
        <v>59</v>
      </c>
      <c r="CF34" s="26"/>
      <c r="CG34" s="26"/>
      <c r="CH34" s="26" t="s">
        <v>59</v>
      </c>
      <c r="CI34" s="26" t="s">
        <v>59</v>
      </c>
      <c r="CJ34" s="26" t="s">
        <v>59</v>
      </c>
      <c r="CK34" s="26" t="s">
        <v>59</v>
      </c>
      <c r="CL34" s="26" t="s">
        <v>59</v>
      </c>
      <c r="CM34" s="26" t="s">
        <v>59</v>
      </c>
      <c r="CN34" s="26" t="s">
        <v>59</v>
      </c>
      <c r="CO34" s="26" t="s">
        <v>59</v>
      </c>
      <c r="CP34" s="26" t="s">
        <v>60</v>
      </c>
      <c r="CQ34" s="26" t="s">
        <v>60</v>
      </c>
      <c r="CR34" s="26" t="s">
        <v>59</v>
      </c>
      <c r="CS34" s="26"/>
      <c r="CT34" s="26"/>
      <c r="CU34" s="26" t="s">
        <v>59</v>
      </c>
      <c r="CV34" s="26" t="s">
        <v>59</v>
      </c>
      <c r="CW34" s="26" t="s">
        <v>59</v>
      </c>
      <c r="CX34" s="26" t="s">
        <v>59</v>
      </c>
      <c r="CY34" s="26" t="s">
        <v>59</v>
      </c>
      <c r="CZ34" s="26" t="s">
        <v>59</v>
      </c>
      <c r="DA34" s="26" t="s">
        <v>59</v>
      </c>
      <c r="DB34" s="26" t="s">
        <v>59</v>
      </c>
      <c r="DC34" s="26">
        <v>3</v>
      </c>
      <c r="DD34" s="29" t="s">
        <v>142</v>
      </c>
    </row>
    <row r="35" spans="1:114" ht="14">
      <c r="A35" s="49" t="s">
        <v>335</v>
      </c>
      <c r="B35" s="43">
        <v>9146</v>
      </c>
      <c r="C35" s="34">
        <v>2</v>
      </c>
      <c r="D35" s="43">
        <v>1</v>
      </c>
      <c r="E35" s="48" t="s">
        <v>139</v>
      </c>
      <c r="F35" s="26" t="s">
        <v>59</v>
      </c>
      <c r="G35" s="48">
        <f t="shared" si="0"/>
        <v>53</v>
      </c>
      <c r="H35" s="26" t="s">
        <v>59</v>
      </c>
      <c r="I35" s="26" t="s">
        <v>59</v>
      </c>
      <c r="J35" s="48" t="s">
        <v>59</v>
      </c>
      <c r="K35" s="26" t="s">
        <v>59</v>
      </c>
      <c r="L35" s="26" t="s">
        <v>59</v>
      </c>
      <c r="M35" s="26" t="s">
        <v>59</v>
      </c>
      <c r="N35" s="26" t="s">
        <v>59</v>
      </c>
      <c r="O35" s="26" t="s">
        <v>59</v>
      </c>
      <c r="P35" s="26" t="s">
        <v>59</v>
      </c>
      <c r="Q35" s="48" t="s">
        <v>59</v>
      </c>
      <c r="R35" s="48" t="s">
        <v>59</v>
      </c>
      <c r="S35" s="48" t="s">
        <v>59</v>
      </c>
      <c r="T35" s="48" t="s">
        <v>59</v>
      </c>
      <c r="U35" s="48">
        <v>25</v>
      </c>
      <c r="V35" s="48">
        <v>28</v>
      </c>
      <c r="W35" s="48" t="s">
        <v>59</v>
      </c>
      <c r="X35" s="48" t="s">
        <v>59</v>
      </c>
      <c r="Y35" s="69">
        <v>7.88</v>
      </c>
      <c r="Z35" s="69">
        <v>0.89</v>
      </c>
      <c r="AA35" s="69" t="s">
        <v>61</v>
      </c>
      <c r="AB35" s="69" t="s">
        <v>61</v>
      </c>
      <c r="AC35" s="69" t="s">
        <v>61</v>
      </c>
      <c r="AD35" s="69">
        <v>8.09</v>
      </c>
      <c r="AE35" s="69">
        <v>0.95</v>
      </c>
      <c r="AF35" s="69" t="s">
        <v>61</v>
      </c>
      <c r="AG35" s="69" t="s">
        <v>61</v>
      </c>
      <c r="AH35" s="69" t="s">
        <v>61</v>
      </c>
      <c r="AI35" s="69" t="s">
        <v>59</v>
      </c>
      <c r="AJ35" s="69" t="s">
        <v>59</v>
      </c>
      <c r="AK35" s="69" t="s">
        <v>59</v>
      </c>
      <c r="AL35" s="69" t="s">
        <v>59</v>
      </c>
      <c r="AM35" s="69" t="s">
        <v>59</v>
      </c>
      <c r="AN35" s="69" t="s">
        <v>59</v>
      </c>
      <c r="AO35" s="69" t="s">
        <v>59</v>
      </c>
      <c r="AP35" s="69" t="s">
        <v>59</v>
      </c>
      <c r="AQ35" s="69" t="s">
        <v>59</v>
      </c>
      <c r="AR35" s="69" t="s">
        <v>59</v>
      </c>
      <c r="AS35" s="69">
        <v>0.39900000000000002</v>
      </c>
      <c r="AT35" s="69" t="s">
        <v>64</v>
      </c>
      <c r="AU35" s="69" t="s">
        <v>59</v>
      </c>
      <c r="AV35" s="69" t="s">
        <v>59</v>
      </c>
      <c r="AW35" s="69" t="s">
        <v>59</v>
      </c>
      <c r="AX35" s="69" t="s">
        <v>59</v>
      </c>
      <c r="AY35" s="215">
        <v>25</v>
      </c>
      <c r="AZ35" s="215">
        <v>28</v>
      </c>
      <c r="BA35" s="215" t="s">
        <v>59</v>
      </c>
      <c r="BB35" s="215" t="s">
        <v>59</v>
      </c>
      <c r="BC35" s="69">
        <v>7.76</v>
      </c>
      <c r="BD35" s="69">
        <v>0.81</v>
      </c>
      <c r="BE35" s="69" t="s">
        <v>61</v>
      </c>
      <c r="BF35" s="48">
        <v>0</v>
      </c>
      <c r="BG35" s="48">
        <v>1</v>
      </c>
      <c r="BH35" s="69" t="s">
        <v>61</v>
      </c>
      <c r="BI35" s="69" t="s">
        <v>61</v>
      </c>
      <c r="BJ35" s="69" t="s">
        <v>61</v>
      </c>
      <c r="BK35" s="69" t="s">
        <v>61</v>
      </c>
      <c r="BL35" s="69" t="s">
        <v>61</v>
      </c>
      <c r="BM35" s="69" t="s">
        <v>61</v>
      </c>
      <c r="BN35" s="69" t="s">
        <v>61</v>
      </c>
      <c r="BO35" s="69" t="s">
        <v>61</v>
      </c>
      <c r="BP35" s="69">
        <v>8.01</v>
      </c>
      <c r="BQ35" s="69">
        <v>1.1599999999999999</v>
      </c>
      <c r="BR35" s="69" t="s">
        <v>61</v>
      </c>
      <c r="BS35" s="26">
        <v>0</v>
      </c>
      <c r="BT35" s="26">
        <v>1</v>
      </c>
      <c r="BU35" s="69" t="s">
        <v>61</v>
      </c>
      <c r="BV35" s="69" t="s">
        <v>61</v>
      </c>
      <c r="BW35" s="69" t="s">
        <v>61</v>
      </c>
      <c r="BX35" s="69" t="s">
        <v>61</v>
      </c>
      <c r="BY35" s="69" t="s">
        <v>61</v>
      </c>
      <c r="BZ35" s="69" t="s">
        <v>61</v>
      </c>
      <c r="CA35" s="69" t="s">
        <v>61</v>
      </c>
      <c r="CB35" s="69" t="s">
        <v>61</v>
      </c>
      <c r="CC35" s="69" t="s">
        <v>59</v>
      </c>
      <c r="CD35" s="69" t="s">
        <v>59</v>
      </c>
      <c r="CE35" s="69" t="s">
        <v>59</v>
      </c>
      <c r="CF35" s="69"/>
      <c r="CG35" s="69"/>
      <c r="CH35" s="69" t="s">
        <v>59</v>
      </c>
      <c r="CI35" s="69" t="s">
        <v>59</v>
      </c>
      <c r="CJ35" s="69" t="s">
        <v>59</v>
      </c>
      <c r="CK35" s="69" t="s">
        <v>59</v>
      </c>
      <c r="CL35" s="69" t="s">
        <v>59</v>
      </c>
      <c r="CM35" s="69" t="s">
        <v>59</v>
      </c>
      <c r="CN35" s="69" t="s">
        <v>59</v>
      </c>
      <c r="CO35" s="69" t="s">
        <v>59</v>
      </c>
      <c r="CP35" s="69" t="s">
        <v>59</v>
      </c>
      <c r="CQ35" s="69" t="s">
        <v>59</v>
      </c>
      <c r="CR35" s="69" t="s">
        <v>59</v>
      </c>
      <c r="CS35" s="69"/>
      <c r="CT35" s="69"/>
      <c r="CU35" s="69" t="s">
        <v>59</v>
      </c>
      <c r="CV35" s="69" t="s">
        <v>59</v>
      </c>
      <c r="CW35" s="69" t="s">
        <v>59</v>
      </c>
      <c r="CX35" s="69" t="s">
        <v>59</v>
      </c>
      <c r="CY35" s="69" t="s">
        <v>59</v>
      </c>
      <c r="CZ35" s="69" t="s">
        <v>59</v>
      </c>
      <c r="DA35" s="69" t="s">
        <v>59</v>
      </c>
      <c r="DB35" s="69" t="s">
        <v>59</v>
      </c>
      <c r="DC35" s="69">
        <v>6</v>
      </c>
      <c r="DD35" s="55"/>
      <c r="DE35" s="43"/>
      <c r="DF35" s="43"/>
      <c r="DG35" s="43"/>
      <c r="DH35" s="43"/>
      <c r="DI35" s="43"/>
      <c r="DJ35" s="43"/>
    </row>
    <row r="36" spans="1:114" ht="14">
      <c r="A36" s="49" t="s">
        <v>387</v>
      </c>
      <c r="B36" s="43">
        <v>11250</v>
      </c>
      <c r="C36" s="34">
        <v>2</v>
      </c>
      <c r="D36" s="43">
        <v>1</v>
      </c>
      <c r="E36" s="48" t="s">
        <v>139</v>
      </c>
      <c r="F36" s="26" t="s">
        <v>59</v>
      </c>
      <c r="G36" s="48">
        <f t="shared" si="0"/>
        <v>117</v>
      </c>
      <c r="H36" s="26" t="s">
        <v>59</v>
      </c>
      <c r="I36" s="26" t="s">
        <v>59</v>
      </c>
      <c r="J36" s="48" t="s">
        <v>59</v>
      </c>
      <c r="K36" s="26" t="s">
        <v>59</v>
      </c>
      <c r="L36" s="26" t="s">
        <v>59</v>
      </c>
      <c r="M36" s="26" t="s">
        <v>59</v>
      </c>
      <c r="N36" s="26" t="s">
        <v>59</v>
      </c>
      <c r="O36" s="26" t="s">
        <v>59</v>
      </c>
      <c r="P36" s="26" t="s">
        <v>59</v>
      </c>
      <c r="Q36" s="48" t="s">
        <v>59</v>
      </c>
      <c r="R36" s="48" t="s">
        <v>59</v>
      </c>
      <c r="S36" s="48" t="s">
        <v>59</v>
      </c>
      <c r="T36" s="48" t="s">
        <v>59</v>
      </c>
      <c r="U36" s="48">
        <v>64</v>
      </c>
      <c r="V36" s="48">
        <v>59</v>
      </c>
      <c r="W36" s="48" t="s">
        <v>59</v>
      </c>
      <c r="X36" s="48" t="s">
        <v>59</v>
      </c>
      <c r="Y36" s="48">
        <v>8.61</v>
      </c>
      <c r="Z36" s="69" t="s">
        <v>61</v>
      </c>
      <c r="AA36" s="190">
        <v>0.09</v>
      </c>
      <c r="AB36" s="48" t="s">
        <v>61</v>
      </c>
      <c r="AC36" s="48" t="s">
        <v>61</v>
      </c>
      <c r="AD36" s="48">
        <v>8.65</v>
      </c>
      <c r="AE36" s="69" t="s">
        <v>61</v>
      </c>
      <c r="AF36" s="190">
        <v>0.1</v>
      </c>
      <c r="AG36" s="48" t="s">
        <v>61</v>
      </c>
      <c r="AH36" s="48" t="s">
        <v>61</v>
      </c>
      <c r="AI36" s="48" t="s">
        <v>59</v>
      </c>
      <c r="AJ36" s="48" t="s">
        <v>59</v>
      </c>
      <c r="AK36" s="48" t="s">
        <v>59</v>
      </c>
      <c r="AL36" s="48" t="s">
        <v>59</v>
      </c>
      <c r="AM36" s="48" t="s">
        <v>59</v>
      </c>
      <c r="AN36" s="48" t="s">
        <v>59</v>
      </c>
      <c r="AO36" s="48" t="s">
        <v>59</v>
      </c>
      <c r="AP36" s="48" t="s">
        <v>59</v>
      </c>
      <c r="AQ36" s="48" t="s">
        <v>59</v>
      </c>
      <c r="AR36" s="48" t="s">
        <v>59</v>
      </c>
      <c r="AS36" s="48" t="s">
        <v>61</v>
      </c>
      <c r="AT36" s="48" t="s">
        <v>64</v>
      </c>
      <c r="AU36" s="48" t="s">
        <v>59</v>
      </c>
      <c r="AV36" s="48" t="s">
        <v>59</v>
      </c>
      <c r="AW36" s="48" t="s">
        <v>59</v>
      </c>
      <c r="AX36" s="48" t="s">
        <v>59</v>
      </c>
      <c r="AY36" s="73">
        <v>64</v>
      </c>
      <c r="AZ36" s="73">
        <v>53</v>
      </c>
      <c r="BA36" s="73" t="s">
        <v>59</v>
      </c>
      <c r="BB36" s="73" t="s">
        <v>59</v>
      </c>
      <c r="BC36" s="48">
        <v>8.84</v>
      </c>
      <c r="BD36" s="201">
        <v>1.1599999999999999</v>
      </c>
      <c r="BE36" s="48" t="s">
        <v>61</v>
      </c>
      <c r="BF36" s="26">
        <v>9</v>
      </c>
      <c r="BG36" s="48">
        <v>1</v>
      </c>
      <c r="BH36" s="48" t="s">
        <v>61</v>
      </c>
      <c r="BI36" s="48" t="s">
        <v>61</v>
      </c>
      <c r="BJ36" s="48" t="s">
        <v>61</v>
      </c>
      <c r="BK36" s="48" t="s">
        <v>61</v>
      </c>
      <c r="BL36" s="48" t="s">
        <v>61</v>
      </c>
      <c r="BM36" s="48" t="s">
        <v>61</v>
      </c>
      <c r="BN36" s="48" t="s">
        <v>61</v>
      </c>
      <c r="BO36" s="48">
        <v>0.12</v>
      </c>
      <c r="BP36" s="48">
        <v>8.24</v>
      </c>
      <c r="BQ36" s="222">
        <v>1.1599999999999999</v>
      </c>
      <c r="BR36" s="48" t="s">
        <v>61</v>
      </c>
      <c r="BS36" s="26">
        <v>2</v>
      </c>
      <c r="BT36" s="26">
        <v>1</v>
      </c>
      <c r="BU36" s="48" t="s">
        <v>61</v>
      </c>
      <c r="BV36" s="48" t="s">
        <v>61</v>
      </c>
      <c r="BW36" s="48" t="s">
        <v>61</v>
      </c>
      <c r="BX36" s="48" t="s">
        <v>61</v>
      </c>
      <c r="BY36" s="48" t="s">
        <v>61</v>
      </c>
      <c r="BZ36" s="48" t="s">
        <v>61</v>
      </c>
      <c r="CA36" s="48" t="s">
        <v>61</v>
      </c>
      <c r="CB36" s="48" t="s">
        <v>61</v>
      </c>
      <c r="CC36" s="48" t="s">
        <v>59</v>
      </c>
      <c r="CD36" s="48" t="s">
        <v>59</v>
      </c>
      <c r="CE36" s="48" t="s">
        <v>59</v>
      </c>
      <c r="CF36" s="48"/>
      <c r="CG36" s="48"/>
      <c r="CH36" s="48" t="s">
        <v>59</v>
      </c>
      <c r="CI36" s="48" t="s">
        <v>59</v>
      </c>
      <c r="CJ36" s="48" t="s">
        <v>59</v>
      </c>
      <c r="CK36" s="48" t="s">
        <v>59</v>
      </c>
      <c r="CL36" s="48" t="s">
        <v>59</v>
      </c>
      <c r="CM36" s="48" t="s">
        <v>59</v>
      </c>
      <c r="CN36" s="48" t="s">
        <v>59</v>
      </c>
      <c r="CO36" s="48" t="s">
        <v>59</v>
      </c>
      <c r="CP36" s="48" t="s">
        <v>59</v>
      </c>
      <c r="CQ36" s="48" t="s">
        <v>59</v>
      </c>
      <c r="CR36" s="48" t="s">
        <v>59</v>
      </c>
      <c r="CS36" s="48"/>
      <c r="CT36" s="48"/>
      <c r="CU36" s="48" t="s">
        <v>59</v>
      </c>
      <c r="CV36" s="48" t="s">
        <v>59</v>
      </c>
      <c r="CW36" s="48" t="s">
        <v>59</v>
      </c>
      <c r="CX36" s="48" t="s">
        <v>59</v>
      </c>
      <c r="CY36" s="48" t="s">
        <v>59</v>
      </c>
      <c r="CZ36" s="48" t="s">
        <v>59</v>
      </c>
      <c r="DA36" s="48" t="s">
        <v>59</v>
      </c>
      <c r="DB36" s="48" t="s">
        <v>59</v>
      </c>
      <c r="DC36" s="48">
        <v>9</v>
      </c>
      <c r="DD36" s="55"/>
      <c r="DE36" s="43"/>
      <c r="DF36" s="43"/>
      <c r="DG36" s="43"/>
      <c r="DH36" s="43"/>
      <c r="DI36" s="43"/>
      <c r="DJ36" s="43"/>
    </row>
    <row r="37" spans="1:114">
      <c r="A37" s="34" t="s">
        <v>181</v>
      </c>
      <c r="B37" s="34">
        <v>5024</v>
      </c>
      <c r="C37" s="34">
        <v>2</v>
      </c>
      <c r="D37" s="43">
        <v>1</v>
      </c>
      <c r="E37" s="26" t="s">
        <v>139</v>
      </c>
      <c r="F37" s="26" t="s">
        <v>59</v>
      </c>
      <c r="G37" s="48">
        <f t="shared" si="0"/>
        <v>727</v>
      </c>
      <c r="H37" s="26" t="s">
        <v>59</v>
      </c>
      <c r="I37" s="19" t="s">
        <v>59</v>
      </c>
      <c r="J37" s="26" t="s">
        <v>59</v>
      </c>
      <c r="K37" s="26" t="s">
        <v>59</v>
      </c>
      <c r="L37" s="26" t="s">
        <v>59</v>
      </c>
      <c r="M37" s="26" t="s">
        <v>59</v>
      </c>
      <c r="N37" s="26" t="s">
        <v>59</v>
      </c>
      <c r="O37" s="26" t="s">
        <v>59</v>
      </c>
      <c r="P37" s="26" t="s">
        <v>59</v>
      </c>
      <c r="Q37" s="26" t="s">
        <v>59</v>
      </c>
      <c r="R37" s="26" t="s">
        <v>59</v>
      </c>
      <c r="S37" s="26" t="s">
        <v>60</v>
      </c>
      <c r="T37" s="26" t="s">
        <v>60</v>
      </c>
      <c r="U37" s="19">
        <v>802</v>
      </c>
      <c r="V37" s="19">
        <v>829</v>
      </c>
      <c r="W37" s="26" t="s">
        <v>60</v>
      </c>
      <c r="X37" s="26" t="s">
        <v>60</v>
      </c>
      <c r="Y37" s="19">
        <v>7.4</v>
      </c>
      <c r="Z37" s="19">
        <v>1.6</v>
      </c>
      <c r="AA37" s="19" t="s">
        <v>61</v>
      </c>
      <c r="AB37" s="19" t="s">
        <v>61</v>
      </c>
      <c r="AC37" s="19" t="s">
        <v>61</v>
      </c>
      <c r="AD37" s="19">
        <v>7.36</v>
      </c>
      <c r="AE37" s="19">
        <v>1.48</v>
      </c>
      <c r="AF37" s="19" t="s">
        <v>61</v>
      </c>
      <c r="AG37" s="27" t="s">
        <v>61</v>
      </c>
      <c r="AH37" s="27" t="s">
        <v>61</v>
      </c>
      <c r="AI37" s="26" t="s">
        <v>60</v>
      </c>
      <c r="AJ37" s="26" t="s">
        <v>60</v>
      </c>
      <c r="AK37" s="26" t="s">
        <v>59</v>
      </c>
      <c r="AL37" s="26" t="s">
        <v>59</v>
      </c>
      <c r="AM37" s="26" t="s">
        <v>59</v>
      </c>
      <c r="AN37" s="26" t="s">
        <v>60</v>
      </c>
      <c r="AO37" s="26" t="s">
        <v>60</v>
      </c>
      <c r="AP37" s="26" t="s">
        <v>59</v>
      </c>
      <c r="AQ37" s="26" t="s">
        <v>59</v>
      </c>
      <c r="AR37" s="26" t="s">
        <v>59</v>
      </c>
      <c r="AS37" s="26" t="s">
        <v>61</v>
      </c>
      <c r="AT37" s="26" t="s">
        <v>64</v>
      </c>
      <c r="AU37" s="26" t="s">
        <v>61</v>
      </c>
      <c r="AV37" s="26" t="s">
        <v>61</v>
      </c>
      <c r="AW37" s="26" t="s">
        <v>61</v>
      </c>
      <c r="AX37" s="26" t="s">
        <v>61</v>
      </c>
      <c r="AY37" s="23">
        <v>372</v>
      </c>
      <c r="AZ37" s="23">
        <v>355</v>
      </c>
      <c r="BA37" s="186" t="s">
        <v>60</v>
      </c>
      <c r="BB37" s="186" t="s">
        <v>60</v>
      </c>
      <c r="BC37" s="19">
        <v>7.34</v>
      </c>
      <c r="BD37" s="19">
        <v>1.54</v>
      </c>
      <c r="BE37" s="19" t="s">
        <v>61</v>
      </c>
      <c r="BF37" s="19">
        <v>0</v>
      </c>
      <c r="BG37" s="48">
        <v>1</v>
      </c>
      <c r="BH37" s="19" t="s">
        <v>61</v>
      </c>
      <c r="BI37" s="19" t="s">
        <v>61</v>
      </c>
      <c r="BJ37" s="19" t="s">
        <v>61</v>
      </c>
      <c r="BK37" s="19" t="s">
        <v>61</v>
      </c>
      <c r="BL37" s="19" t="s">
        <v>61</v>
      </c>
      <c r="BM37" s="19" t="s">
        <v>61</v>
      </c>
      <c r="BN37" s="19" t="s">
        <v>61</v>
      </c>
      <c r="BO37" s="19" t="s">
        <v>61</v>
      </c>
      <c r="BP37" s="19">
        <v>7.05</v>
      </c>
      <c r="BQ37" s="19">
        <v>1.17</v>
      </c>
      <c r="BR37" s="19" t="s">
        <v>61</v>
      </c>
      <c r="BS37" s="26">
        <v>0</v>
      </c>
      <c r="BT37" s="26">
        <v>1</v>
      </c>
      <c r="BU37" s="19" t="s">
        <v>61</v>
      </c>
      <c r="BV37" s="19" t="s">
        <v>61</v>
      </c>
      <c r="BW37" s="19" t="s">
        <v>61</v>
      </c>
      <c r="BX37" s="19" t="s">
        <v>61</v>
      </c>
      <c r="BY37" s="19" t="s">
        <v>61</v>
      </c>
      <c r="BZ37" s="19" t="s">
        <v>61</v>
      </c>
      <c r="CA37" s="19" t="s">
        <v>61</v>
      </c>
      <c r="CB37" s="19" t="s">
        <v>61</v>
      </c>
      <c r="CC37" s="26" t="s">
        <v>60</v>
      </c>
      <c r="CD37" s="26" t="s">
        <v>60</v>
      </c>
      <c r="CE37" s="26" t="s">
        <v>59</v>
      </c>
      <c r="CF37" s="26"/>
      <c r="CG37" s="26"/>
      <c r="CH37" s="26" t="s">
        <v>59</v>
      </c>
      <c r="CI37" s="26" t="s">
        <v>59</v>
      </c>
      <c r="CJ37" s="26" t="s">
        <v>59</v>
      </c>
      <c r="CK37" s="26" t="s">
        <v>59</v>
      </c>
      <c r="CL37" s="26" t="s">
        <v>59</v>
      </c>
      <c r="CM37" s="26" t="s">
        <v>59</v>
      </c>
      <c r="CN37" s="26" t="s">
        <v>59</v>
      </c>
      <c r="CO37" s="26" t="s">
        <v>59</v>
      </c>
      <c r="CP37" s="26" t="s">
        <v>60</v>
      </c>
      <c r="CQ37" s="26" t="s">
        <v>60</v>
      </c>
      <c r="CR37" s="26" t="s">
        <v>59</v>
      </c>
      <c r="CS37" s="26"/>
      <c r="CT37" s="26"/>
      <c r="CU37" s="26" t="s">
        <v>59</v>
      </c>
      <c r="CV37" s="26" t="s">
        <v>59</v>
      </c>
      <c r="CW37" s="26" t="s">
        <v>59</v>
      </c>
      <c r="CX37" s="26" t="s">
        <v>59</v>
      </c>
      <c r="CY37" s="26" t="s">
        <v>59</v>
      </c>
      <c r="CZ37" s="26" t="s">
        <v>59</v>
      </c>
      <c r="DA37" s="26" t="s">
        <v>59</v>
      </c>
      <c r="DB37" s="26" t="s">
        <v>59</v>
      </c>
      <c r="DC37" s="19">
        <v>24</v>
      </c>
      <c r="DE37" s="29"/>
      <c r="DF37" s="29"/>
      <c r="DI37" s="29"/>
    </row>
    <row r="38" spans="1:114" ht="14">
      <c r="A38" s="49" t="s">
        <v>377</v>
      </c>
      <c r="B38" s="43">
        <v>10408</v>
      </c>
      <c r="C38" s="34">
        <v>2</v>
      </c>
      <c r="D38" s="43">
        <v>1</v>
      </c>
      <c r="E38" s="48" t="s">
        <v>139</v>
      </c>
      <c r="F38" s="26" t="s">
        <v>59</v>
      </c>
      <c r="G38" s="48">
        <f t="shared" si="0"/>
        <v>60</v>
      </c>
      <c r="H38" s="26" t="s">
        <v>59</v>
      </c>
      <c r="I38" s="26" t="s">
        <v>59</v>
      </c>
      <c r="J38" s="48" t="s">
        <v>59</v>
      </c>
      <c r="K38" s="26" t="s">
        <v>59</v>
      </c>
      <c r="L38" s="26" t="s">
        <v>59</v>
      </c>
      <c r="M38" s="26" t="s">
        <v>59</v>
      </c>
      <c r="N38" s="26" t="s">
        <v>59</v>
      </c>
      <c r="O38" s="26" t="s">
        <v>59</v>
      </c>
      <c r="P38" s="26" t="s">
        <v>59</v>
      </c>
      <c r="Q38" s="48" t="s">
        <v>59</v>
      </c>
      <c r="R38" s="48" t="s">
        <v>59</v>
      </c>
      <c r="S38" s="48" t="s">
        <v>59</v>
      </c>
      <c r="T38" s="48" t="s">
        <v>59</v>
      </c>
      <c r="U38" s="48">
        <v>30</v>
      </c>
      <c r="V38" s="48">
        <v>30</v>
      </c>
      <c r="W38" s="48" t="s">
        <v>59</v>
      </c>
      <c r="X38" s="48" t="s">
        <v>59</v>
      </c>
      <c r="Y38" s="69">
        <v>9.06</v>
      </c>
      <c r="Z38" s="69">
        <v>1.56</v>
      </c>
      <c r="AA38" s="69" t="s">
        <v>61</v>
      </c>
      <c r="AB38" s="69" t="s">
        <v>61</v>
      </c>
      <c r="AC38" s="69" t="s">
        <v>61</v>
      </c>
      <c r="AD38" s="69">
        <v>8.9</v>
      </c>
      <c r="AE38" s="69">
        <v>1.44</v>
      </c>
      <c r="AF38" s="69" t="s">
        <v>61</v>
      </c>
      <c r="AG38" s="69" t="s">
        <v>61</v>
      </c>
      <c r="AH38" s="69" t="s">
        <v>61</v>
      </c>
      <c r="AI38" s="69" t="s">
        <v>59</v>
      </c>
      <c r="AJ38" s="69" t="s">
        <v>59</v>
      </c>
      <c r="AK38" s="69" t="s">
        <v>59</v>
      </c>
      <c r="AL38" s="69" t="s">
        <v>59</v>
      </c>
      <c r="AM38" s="69" t="s">
        <v>59</v>
      </c>
      <c r="AN38" s="69" t="s">
        <v>59</v>
      </c>
      <c r="AO38" s="69" t="s">
        <v>59</v>
      </c>
      <c r="AP38" s="69" t="s">
        <v>59</v>
      </c>
      <c r="AQ38" s="69" t="s">
        <v>59</v>
      </c>
      <c r="AR38" s="69" t="s">
        <v>59</v>
      </c>
      <c r="AS38" s="69">
        <v>0.7</v>
      </c>
      <c r="AT38" s="69" t="s">
        <v>64</v>
      </c>
      <c r="AU38" s="69" t="s">
        <v>59</v>
      </c>
      <c r="AV38" s="69" t="s">
        <v>59</v>
      </c>
      <c r="AW38" s="69" t="s">
        <v>59</v>
      </c>
      <c r="AX38" s="69" t="s">
        <v>59</v>
      </c>
      <c r="AY38" s="215">
        <v>30</v>
      </c>
      <c r="AZ38" s="215">
        <v>30</v>
      </c>
      <c r="BA38" s="215" t="s">
        <v>59</v>
      </c>
      <c r="BB38" s="215" t="s">
        <v>59</v>
      </c>
      <c r="BC38" s="69">
        <v>8.6</v>
      </c>
      <c r="BD38" s="69">
        <v>1.88</v>
      </c>
      <c r="BE38" s="69" t="s">
        <v>61</v>
      </c>
      <c r="BF38" s="48">
        <v>0</v>
      </c>
      <c r="BG38" s="48">
        <v>1</v>
      </c>
      <c r="BH38" s="69" t="s">
        <v>61</v>
      </c>
      <c r="BI38" s="69" t="s">
        <v>61</v>
      </c>
      <c r="BJ38" s="69">
        <v>-0.4</v>
      </c>
      <c r="BK38" s="69" t="s">
        <v>61</v>
      </c>
      <c r="BL38" s="69" t="s">
        <v>61</v>
      </c>
      <c r="BM38" s="69" t="s">
        <v>61</v>
      </c>
      <c r="BN38" s="69" t="s">
        <v>61</v>
      </c>
      <c r="BO38" s="69">
        <v>0.15</v>
      </c>
      <c r="BP38" s="69">
        <v>7.04</v>
      </c>
      <c r="BQ38" s="69">
        <v>1.18</v>
      </c>
      <c r="BR38" s="69" t="s">
        <v>61</v>
      </c>
      <c r="BS38" s="26">
        <v>0</v>
      </c>
      <c r="BT38" s="26">
        <v>1</v>
      </c>
      <c r="BU38" s="69" t="s">
        <v>61</v>
      </c>
      <c r="BV38" s="69" t="s">
        <v>61</v>
      </c>
      <c r="BW38" s="69">
        <v>-1.87</v>
      </c>
      <c r="BX38" s="69" t="s">
        <v>61</v>
      </c>
      <c r="BY38" s="69" t="s">
        <v>61</v>
      </c>
      <c r="BZ38" s="69" t="s">
        <v>61</v>
      </c>
      <c r="CA38" s="69" t="s">
        <v>61</v>
      </c>
      <c r="CB38" s="69" t="s">
        <v>119</v>
      </c>
      <c r="CC38" s="69" t="s">
        <v>59</v>
      </c>
      <c r="CD38" s="69" t="s">
        <v>59</v>
      </c>
      <c r="CE38" s="69" t="s">
        <v>59</v>
      </c>
      <c r="CF38" s="69"/>
      <c r="CG38" s="69"/>
      <c r="CH38" s="69" t="s">
        <v>59</v>
      </c>
      <c r="CI38" s="69" t="s">
        <v>59</v>
      </c>
      <c r="CJ38" s="69" t="s">
        <v>59</v>
      </c>
      <c r="CK38" s="69" t="s">
        <v>59</v>
      </c>
      <c r="CL38" s="69" t="s">
        <v>59</v>
      </c>
      <c r="CM38" s="69" t="s">
        <v>59</v>
      </c>
      <c r="CN38" s="69" t="s">
        <v>59</v>
      </c>
      <c r="CO38" s="69" t="s">
        <v>59</v>
      </c>
      <c r="CP38" s="69" t="s">
        <v>59</v>
      </c>
      <c r="CQ38" s="69" t="s">
        <v>59</v>
      </c>
      <c r="CR38" s="69" t="s">
        <v>59</v>
      </c>
      <c r="CS38" s="69"/>
      <c r="CT38" s="69"/>
      <c r="CU38" s="69" t="s">
        <v>59</v>
      </c>
      <c r="CV38" s="69" t="s">
        <v>59</v>
      </c>
      <c r="CW38" s="69" t="s">
        <v>59</v>
      </c>
      <c r="CX38" s="69" t="s">
        <v>59</v>
      </c>
      <c r="CY38" s="69" t="s">
        <v>59</v>
      </c>
      <c r="CZ38" s="69" t="s">
        <v>59</v>
      </c>
      <c r="DA38" s="69" t="s">
        <v>59</v>
      </c>
      <c r="DB38" s="69" t="s">
        <v>59</v>
      </c>
      <c r="DC38" s="69">
        <v>3</v>
      </c>
      <c r="DD38" s="55"/>
      <c r="DE38" s="43"/>
      <c r="DF38" s="43"/>
      <c r="DG38" s="43"/>
      <c r="DH38" s="43"/>
      <c r="DI38" s="43"/>
      <c r="DJ38" s="43"/>
    </row>
    <row r="39" spans="1:114" s="57" customFormat="1" ht="14">
      <c r="A39" s="49" t="s">
        <v>360</v>
      </c>
      <c r="B39" s="43">
        <v>10243</v>
      </c>
      <c r="C39" s="43">
        <v>3</v>
      </c>
      <c r="D39" s="43">
        <v>1</v>
      </c>
      <c r="E39" s="48" t="s">
        <v>139</v>
      </c>
      <c r="F39" s="26" t="s">
        <v>59</v>
      </c>
      <c r="G39" s="48">
        <f t="shared" si="0"/>
        <v>67</v>
      </c>
      <c r="H39" s="26" t="s">
        <v>59</v>
      </c>
      <c r="I39" s="26" t="s">
        <v>59</v>
      </c>
      <c r="J39" s="48" t="s">
        <v>59</v>
      </c>
      <c r="K39" s="26" t="s">
        <v>59</v>
      </c>
      <c r="L39" s="26" t="s">
        <v>59</v>
      </c>
      <c r="M39" s="26" t="s">
        <v>59</v>
      </c>
      <c r="N39" s="26" t="s">
        <v>59</v>
      </c>
      <c r="O39" s="26" t="s">
        <v>59</v>
      </c>
      <c r="P39" s="26" t="s">
        <v>59</v>
      </c>
      <c r="Q39" s="48" t="s">
        <v>59</v>
      </c>
      <c r="R39" s="48" t="s">
        <v>59</v>
      </c>
      <c r="S39" s="48" t="s">
        <v>59</v>
      </c>
      <c r="T39" s="48" t="s">
        <v>59</v>
      </c>
      <c r="U39" s="48">
        <v>24</v>
      </c>
      <c r="V39" s="48">
        <v>21</v>
      </c>
      <c r="W39" s="48">
        <v>22</v>
      </c>
      <c r="X39" s="48" t="s">
        <v>59</v>
      </c>
      <c r="Y39" s="69">
        <v>7</v>
      </c>
      <c r="Z39" s="69">
        <v>0.87</v>
      </c>
      <c r="AA39" s="69" t="s">
        <v>61</v>
      </c>
      <c r="AB39" s="69" t="s">
        <v>61</v>
      </c>
      <c r="AC39" s="69" t="s">
        <v>61</v>
      </c>
      <c r="AD39" s="69">
        <v>7.12</v>
      </c>
      <c r="AE39" s="69">
        <v>1.35</v>
      </c>
      <c r="AF39" s="69" t="s">
        <v>61</v>
      </c>
      <c r="AG39" s="69" t="s">
        <v>61</v>
      </c>
      <c r="AH39" s="69" t="s">
        <v>61</v>
      </c>
      <c r="AI39" s="69">
        <v>7.23</v>
      </c>
      <c r="AJ39" s="69">
        <v>0.71</v>
      </c>
      <c r="AK39" s="69" t="s">
        <v>61</v>
      </c>
      <c r="AL39" s="69" t="s">
        <v>61</v>
      </c>
      <c r="AM39" s="69" t="s">
        <v>61</v>
      </c>
      <c r="AN39" s="69" t="s">
        <v>59</v>
      </c>
      <c r="AO39" s="69" t="s">
        <v>59</v>
      </c>
      <c r="AP39" s="69" t="s">
        <v>59</v>
      </c>
      <c r="AQ39" s="69" t="s">
        <v>59</v>
      </c>
      <c r="AR39" s="69" t="s">
        <v>59</v>
      </c>
      <c r="AS39" s="69" t="s">
        <v>61</v>
      </c>
      <c r="AT39" s="69" t="s">
        <v>64</v>
      </c>
      <c r="AU39" s="69" t="s">
        <v>59</v>
      </c>
      <c r="AV39" s="69" t="s">
        <v>59</v>
      </c>
      <c r="AW39" s="69" t="s">
        <v>59</v>
      </c>
      <c r="AX39" s="69" t="s">
        <v>59</v>
      </c>
      <c r="AY39" s="215">
        <v>24</v>
      </c>
      <c r="AZ39" s="215">
        <v>21</v>
      </c>
      <c r="BA39" s="215">
        <v>22</v>
      </c>
      <c r="BB39" s="215" t="s">
        <v>59</v>
      </c>
      <c r="BC39" s="69">
        <v>6.93</v>
      </c>
      <c r="BD39" s="69">
        <v>0.84</v>
      </c>
      <c r="BE39" s="69" t="s">
        <v>61</v>
      </c>
      <c r="BF39" s="48">
        <v>0</v>
      </c>
      <c r="BG39" s="48">
        <v>1</v>
      </c>
      <c r="BH39" s="69" t="s">
        <v>61</v>
      </c>
      <c r="BI39" s="69" t="s">
        <v>61</v>
      </c>
      <c r="BJ39" s="69" t="s">
        <v>61</v>
      </c>
      <c r="BK39" s="69" t="s">
        <v>61</v>
      </c>
      <c r="BL39" s="69" t="s">
        <v>61</v>
      </c>
      <c r="BM39" s="69" t="s">
        <v>61</v>
      </c>
      <c r="BN39" s="69" t="s">
        <v>61</v>
      </c>
      <c r="BO39" s="69" t="s">
        <v>61</v>
      </c>
      <c r="BP39" s="69">
        <v>6.94</v>
      </c>
      <c r="BQ39" s="69">
        <v>1.19</v>
      </c>
      <c r="BR39" s="69" t="s">
        <v>61</v>
      </c>
      <c r="BS39" s="26">
        <v>0</v>
      </c>
      <c r="BT39" s="26">
        <v>1</v>
      </c>
      <c r="BU39" s="69" t="s">
        <v>61</v>
      </c>
      <c r="BV39" s="69" t="s">
        <v>61</v>
      </c>
      <c r="BW39" s="69" t="s">
        <v>61</v>
      </c>
      <c r="BX39" s="69" t="s">
        <v>61</v>
      </c>
      <c r="BY39" s="69" t="s">
        <v>61</v>
      </c>
      <c r="BZ39" s="69" t="s">
        <v>61</v>
      </c>
      <c r="CA39" s="69" t="s">
        <v>61</v>
      </c>
      <c r="CB39" s="69" t="s">
        <v>61</v>
      </c>
      <c r="CC39" s="69">
        <v>6.91</v>
      </c>
      <c r="CD39" s="69">
        <v>0.6</v>
      </c>
      <c r="CE39" s="69" t="s">
        <v>61</v>
      </c>
      <c r="CF39" s="69">
        <v>0</v>
      </c>
      <c r="CG39" s="69">
        <v>1</v>
      </c>
      <c r="CH39" s="69" t="s">
        <v>61</v>
      </c>
      <c r="CI39" s="69" t="s">
        <v>61</v>
      </c>
      <c r="CJ39" s="69">
        <v>-0.32</v>
      </c>
      <c r="CK39" s="69" t="s">
        <v>61</v>
      </c>
      <c r="CL39" s="69" t="s">
        <v>61</v>
      </c>
      <c r="CM39" s="69" t="s">
        <v>61</v>
      </c>
      <c r="CN39" s="69" t="s">
        <v>61</v>
      </c>
      <c r="CO39" s="69" t="s">
        <v>61</v>
      </c>
      <c r="CP39" s="69" t="s">
        <v>59</v>
      </c>
      <c r="CQ39" s="69" t="s">
        <v>59</v>
      </c>
      <c r="CR39" s="69" t="s">
        <v>59</v>
      </c>
      <c r="CS39" s="69"/>
      <c r="CT39" s="69"/>
      <c r="CU39" s="69" t="s">
        <v>59</v>
      </c>
      <c r="CV39" s="69" t="s">
        <v>59</v>
      </c>
      <c r="CW39" s="69" t="s">
        <v>59</v>
      </c>
      <c r="CX39" s="69" t="s">
        <v>59</v>
      </c>
      <c r="CY39" s="69" t="s">
        <v>59</v>
      </c>
      <c r="CZ39" s="69" t="s">
        <v>59</v>
      </c>
      <c r="DA39" s="69" t="s">
        <v>59</v>
      </c>
      <c r="DB39" s="69" t="s">
        <v>59</v>
      </c>
      <c r="DC39" s="69">
        <v>3</v>
      </c>
      <c r="DD39" s="55"/>
      <c r="DE39" s="43"/>
      <c r="DF39" s="43"/>
      <c r="DG39" s="43"/>
      <c r="DH39" s="43"/>
      <c r="DI39" s="43"/>
      <c r="DJ39" s="43"/>
    </row>
    <row r="40" spans="1:114" ht="14">
      <c r="A40" s="49" t="s">
        <v>424</v>
      </c>
      <c r="B40" s="43">
        <v>12551</v>
      </c>
      <c r="C40" s="34">
        <v>2</v>
      </c>
      <c r="D40" s="43">
        <v>1</v>
      </c>
      <c r="E40" s="48" t="s">
        <v>139</v>
      </c>
      <c r="F40" s="26" t="s">
        <v>59</v>
      </c>
      <c r="G40" s="48">
        <f t="shared" si="0"/>
        <v>48</v>
      </c>
      <c r="H40" s="26" t="s">
        <v>59</v>
      </c>
      <c r="I40" s="26" t="s">
        <v>59</v>
      </c>
      <c r="J40" s="48" t="s">
        <v>59</v>
      </c>
      <c r="K40" s="26" t="s">
        <v>59</v>
      </c>
      <c r="L40" s="26" t="s">
        <v>59</v>
      </c>
      <c r="M40" s="26" t="s">
        <v>59</v>
      </c>
      <c r="N40" s="26" t="s">
        <v>59</v>
      </c>
      <c r="O40" s="26" t="s">
        <v>59</v>
      </c>
      <c r="P40" s="26" t="s">
        <v>59</v>
      </c>
      <c r="Q40" s="48" t="s">
        <v>59</v>
      </c>
      <c r="R40" s="48" t="s">
        <v>59</v>
      </c>
      <c r="S40" s="48" t="s">
        <v>59</v>
      </c>
      <c r="T40" s="48" t="s">
        <v>59</v>
      </c>
      <c r="U40" s="48">
        <v>24</v>
      </c>
      <c r="V40" s="48">
        <v>24</v>
      </c>
      <c r="W40" s="48" t="s">
        <v>59</v>
      </c>
      <c r="X40" s="48" t="s">
        <v>59</v>
      </c>
      <c r="Y40" s="69">
        <v>9.42</v>
      </c>
      <c r="Z40" s="69">
        <v>1.78</v>
      </c>
      <c r="AA40" s="69" t="s">
        <v>61</v>
      </c>
      <c r="AB40" s="69" t="s">
        <v>61</v>
      </c>
      <c r="AC40" s="69" t="s">
        <v>61</v>
      </c>
      <c r="AD40" s="69">
        <v>9.1</v>
      </c>
      <c r="AE40" s="69">
        <v>1.29</v>
      </c>
      <c r="AF40" s="69" t="s">
        <v>61</v>
      </c>
      <c r="AG40" s="69" t="s">
        <v>61</v>
      </c>
      <c r="AH40" s="69" t="s">
        <v>61</v>
      </c>
      <c r="AI40" s="69" t="s">
        <v>59</v>
      </c>
      <c r="AJ40" s="69" t="s">
        <v>59</v>
      </c>
      <c r="AK40" s="69" t="s">
        <v>59</v>
      </c>
      <c r="AL40" s="69" t="s">
        <v>59</v>
      </c>
      <c r="AM40" s="69" t="s">
        <v>59</v>
      </c>
      <c r="AN40" s="69" t="s">
        <v>59</v>
      </c>
      <c r="AO40" s="69" t="s">
        <v>59</v>
      </c>
      <c r="AP40" s="69" t="s">
        <v>59</v>
      </c>
      <c r="AQ40" s="69" t="s">
        <v>59</v>
      </c>
      <c r="AR40" s="69" t="s">
        <v>59</v>
      </c>
      <c r="AS40" s="69" t="s">
        <v>61</v>
      </c>
      <c r="AT40" s="69" t="s">
        <v>64</v>
      </c>
      <c r="AU40" s="69" t="s">
        <v>59</v>
      </c>
      <c r="AV40" s="69" t="s">
        <v>59</v>
      </c>
      <c r="AW40" s="69" t="s">
        <v>59</v>
      </c>
      <c r="AX40" s="69" t="s">
        <v>59</v>
      </c>
      <c r="AY40" s="215">
        <v>24</v>
      </c>
      <c r="AZ40" s="215">
        <v>24</v>
      </c>
      <c r="BA40" s="215" t="s">
        <v>59</v>
      </c>
      <c r="BB40" s="215" t="s">
        <v>59</v>
      </c>
      <c r="BC40" s="69">
        <v>8.82</v>
      </c>
      <c r="BD40" s="69">
        <v>1.31</v>
      </c>
      <c r="BE40" s="69" t="s">
        <v>61</v>
      </c>
      <c r="BF40" s="48">
        <v>0</v>
      </c>
      <c r="BG40" s="48">
        <v>1</v>
      </c>
      <c r="BH40" s="69" t="s">
        <v>61</v>
      </c>
      <c r="BI40" s="69" t="s">
        <v>61</v>
      </c>
      <c r="BJ40" s="69">
        <v>-0.6</v>
      </c>
      <c r="BK40" s="69">
        <v>1.1200000000000001</v>
      </c>
      <c r="BL40" s="69" t="s">
        <v>61</v>
      </c>
      <c r="BM40" s="69" t="s">
        <v>61</v>
      </c>
      <c r="BN40" s="69" t="s">
        <v>61</v>
      </c>
      <c r="BO40" s="69" t="s">
        <v>425</v>
      </c>
      <c r="BP40" s="69">
        <v>7.07</v>
      </c>
      <c r="BQ40" s="69">
        <v>1.19</v>
      </c>
      <c r="BR40" s="69" t="s">
        <v>61</v>
      </c>
      <c r="BS40" s="26">
        <v>0</v>
      </c>
      <c r="BT40" s="26">
        <v>1</v>
      </c>
      <c r="BU40" s="69" t="s">
        <v>61</v>
      </c>
      <c r="BV40" s="69" t="s">
        <v>61</v>
      </c>
      <c r="BW40" s="69">
        <v>-2.0299999999999998</v>
      </c>
      <c r="BX40" s="69">
        <v>0.71</v>
      </c>
      <c r="BY40" s="69" t="s">
        <v>61</v>
      </c>
      <c r="BZ40" s="69" t="s">
        <v>61</v>
      </c>
      <c r="CA40" s="69" t="s">
        <v>61</v>
      </c>
      <c r="CB40" s="69" t="s">
        <v>119</v>
      </c>
      <c r="CC40" s="69" t="s">
        <v>59</v>
      </c>
      <c r="CD40" s="69" t="s">
        <v>59</v>
      </c>
      <c r="CE40" s="69" t="s">
        <v>59</v>
      </c>
      <c r="CF40" s="69"/>
      <c r="CG40" s="69"/>
      <c r="CH40" s="69" t="s">
        <v>59</v>
      </c>
      <c r="CI40" s="69" t="s">
        <v>59</v>
      </c>
      <c r="CJ40" s="69" t="s">
        <v>59</v>
      </c>
      <c r="CK40" s="69" t="s">
        <v>59</v>
      </c>
      <c r="CL40" s="69" t="s">
        <v>59</v>
      </c>
      <c r="CM40" s="69" t="s">
        <v>59</v>
      </c>
      <c r="CN40" s="69" t="s">
        <v>59</v>
      </c>
      <c r="CO40" s="69" t="s">
        <v>59</v>
      </c>
      <c r="CP40" s="69" t="s">
        <v>59</v>
      </c>
      <c r="CQ40" s="69" t="s">
        <v>59</v>
      </c>
      <c r="CR40" s="69" t="s">
        <v>59</v>
      </c>
      <c r="CS40" s="69"/>
      <c r="CT40" s="69"/>
      <c r="CU40" s="69" t="s">
        <v>59</v>
      </c>
      <c r="CV40" s="69" t="s">
        <v>59</v>
      </c>
      <c r="CW40" s="69" t="s">
        <v>59</v>
      </c>
      <c r="CX40" s="69" t="s">
        <v>59</v>
      </c>
      <c r="CY40" s="69" t="s">
        <v>59</v>
      </c>
      <c r="CZ40" s="69" t="s">
        <v>59</v>
      </c>
      <c r="DA40" s="69" t="s">
        <v>59</v>
      </c>
      <c r="DB40" s="69" t="s">
        <v>59</v>
      </c>
      <c r="DC40" s="69">
        <v>3</v>
      </c>
      <c r="DD40" s="55"/>
      <c r="DE40" s="43"/>
      <c r="DF40" s="43"/>
      <c r="DG40" s="43"/>
      <c r="DH40" s="43"/>
      <c r="DI40" s="43"/>
      <c r="DJ40" s="43"/>
    </row>
    <row r="41" spans="1:114">
      <c r="A41" s="34" t="s">
        <v>206</v>
      </c>
      <c r="B41" s="34">
        <v>5579</v>
      </c>
      <c r="C41" s="34">
        <v>2</v>
      </c>
      <c r="D41" s="43">
        <v>1</v>
      </c>
      <c r="E41" s="26" t="s">
        <v>139</v>
      </c>
      <c r="F41" s="26" t="s">
        <v>59</v>
      </c>
      <c r="G41" s="48">
        <f t="shared" si="0"/>
        <v>62</v>
      </c>
      <c r="H41" s="26" t="s">
        <v>59</v>
      </c>
      <c r="I41" s="26" t="s">
        <v>60</v>
      </c>
      <c r="J41" s="26" t="s">
        <v>59</v>
      </c>
      <c r="K41" s="26" t="s">
        <v>59</v>
      </c>
      <c r="L41" s="26" t="s">
        <v>59</v>
      </c>
      <c r="M41" s="26" t="s">
        <v>59</v>
      </c>
      <c r="N41" s="26" t="s">
        <v>59</v>
      </c>
      <c r="O41" s="26" t="s">
        <v>59</v>
      </c>
      <c r="P41" s="26" t="s">
        <v>59</v>
      </c>
      <c r="Q41" s="26" t="s">
        <v>60</v>
      </c>
      <c r="R41" s="26" t="s">
        <v>60</v>
      </c>
      <c r="S41" s="26" t="s">
        <v>60</v>
      </c>
      <c r="T41" s="26" t="s">
        <v>60</v>
      </c>
      <c r="U41" s="26">
        <v>31</v>
      </c>
      <c r="V41" s="26">
        <v>31</v>
      </c>
      <c r="W41" s="26" t="s">
        <v>60</v>
      </c>
      <c r="X41" s="26" t="s">
        <v>60</v>
      </c>
      <c r="Y41" s="26">
        <v>7.11</v>
      </c>
      <c r="Z41" s="26">
        <v>0.91</v>
      </c>
      <c r="AA41" s="26">
        <v>0.2</v>
      </c>
      <c r="AB41" s="26" t="s">
        <v>61</v>
      </c>
      <c r="AC41" s="27" t="s">
        <v>61</v>
      </c>
      <c r="AD41" s="26">
        <v>7</v>
      </c>
      <c r="AE41" s="26">
        <v>1.1000000000000001</v>
      </c>
      <c r="AF41" s="26">
        <v>0.18</v>
      </c>
      <c r="AG41" s="26" t="s">
        <v>61</v>
      </c>
      <c r="AH41" s="27" t="s">
        <v>61</v>
      </c>
      <c r="AI41" s="26" t="s">
        <v>60</v>
      </c>
      <c r="AJ41" s="26" t="s">
        <v>60</v>
      </c>
      <c r="AK41" s="26" t="s">
        <v>59</v>
      </c>
      <c r="AL41" s="26" t="s">
        <v>59</v>
      </c>
      <c r="AM41" s="26" t="s">
        <v>59</v>
      </c>
      <c r="AN41" s="26" t="s">
        <v>60</v>
      </c>
      <c r="AO41" s="26" t="s">
        <v>60</v>
      </c>
      <c r="AP41" s="26" t="s">
        <v>59</v>
      </c>
      <c r="AQ41" s="26" t="s">
        <v>59</v>
      </c>
      <c r="AR41" s="26" t="s">
        <v>59</v>
      </c>
      <c r="AS41" s="26">
        <v>0.878</v>
      </c>
      <c r="AT41" s="26" t="s">
        <v>64</v>
      </c>
      <c r="AU41" s="26" t="s">
        <v>59</v>
      </c>
      <c r="AV41" s="26" t="s">
        <v>59</v>
      </c>
      <c r="AW41" s="26" t="s">
        <v>59</v>
      </c>
      <c r="AX41" s="26" t="s">
        <v>59</v>
      </c>
      <c r="AY41" s="186">
        <v>31</v>
      </c>
      <c r="AZ41" s="186">
        <v>31</v>
      </c>
      <c r="BA41" s="186" t="s">
        <v>60</v>
      </c>
      <c r="BB41" s="186" t="s">
        <v>60</v>
      </c>
      <c r="BC41" s="26">
        <v>7.05</v>
      </c>
      <c r="BD41" s="26">
        <v>0.99</v>
      </c>
      <c r="BE41" s="26" t="s">
        <v>61</v>
      </c>
      <c r="BF41" s="26">
        <v>0</v>
      </c>
      <c r="BG41" s="48">
        <v>1</v>
      </c>
      <c r="BH41" s="27" t="s">
        <v>61</v>
      </c>
      <c r="BI41" s="27" t="s">
        <v>61</v>
      </c>
      <c r="BJ41" s="26">
        <v>-0.05</v>
      </c>
      <c r="BK41" s="26">
        <v>0.14000000000000001</v>
      </c>
      <c r="BL41" s="26" t="s">
        <v>61</v>
      </c>
      <c r="BM41" s="26">
        <v>-0.35</v>
      </c>
      <c r="BN41" s="26">
        <v>0.24</v>
      </c>
      <c r="BO41" s="26" t="s">
        <v>61</v>
      </c>
      <c r="BP41" s="26">
        <v>6.4</v>
      </c>
      <c r="BQ41" s="26">
        <v>1.2</v>
      </c>
      <c r="BR41" s="26" t="s">
        <v>61</v>
      </c>
      <c r="BS41" s="26">
        <v>0</v>
      </c>
      <c r="BT41" s="26">
        <v>1</v>
      </c>
      <c r="BU41" s="27" t="s">
        <v>61</v>
      </c>
      <c r="BV41" s="27" t="s">
        <v>61</v>
      </c>
      <c r="BW41" s="26">
        <v>-0.62</v>
      </c>
      <c r="BX41" s="26">
        <v>0.13</v>
      </c>
      <c r="BY41" s="27" t="s">
        <v>61</v>
      </c>
      <c r="BZ41" s="26">
        <v>-0.91</v>
      </c>
      <c r="CA41" s="27">
        <v>-0.35</v>
      </c>
      <c r="CB41" s="26" t="s">
        <v>61</v>
      </c>
      <c r="CC41" s="26" t="s">
        <v>60</v>
      </c>
      <c r="CD41" s="26" t="s">
        <v>60</v>
      </c>
      <c r="CE41" s="26" t="s">
        <v>59</v>
      </c>
      <c r="CF41" s="26"/>
      <c r="CG41" s="26"/>
      <c r="CH41" s="26" t="s">
        <v>59</v>
      </c>
      <c r="CI41" s="26" t="s">
        <v>59</v>
      </c>
      <c r="CJ41" s="26" t="s">
        <v>59</v>
      </c>
      <c r="CK41" s="26" t="s">
        <v>59</v>
      </c>
      <c r="CL41" s="26" t="s">
        <v>59</v>
      </c>
      <c r="CM41" s="26" t="s">
        <v>59</v>
      </c>
      <c r="CN41" s="26" t="s">
        <v>59</v>
      </c>
      <c r="CO41" s="26" t="s">
        <v>59</v>
      </c>
      <c r="CP41" s="26" t="s">
        <v>60</v>
      </c>
      <c r="CQ41" s="26" t="s">
        <v>60</v>
      </c>
      <c r="CR41" s="26" t="s">
        <v>59</v>
      </c>
      <c r="CS41" s="26"/>
      <c r="CT41" s="26"/>
      <c r="CU41" s="26" t="s">
        <v>59</v>
      </c>
      <c r="CV41" s="26" t="s">
        <v>59</v>
      </c>
      <c r="CW41" s="26" t="s">
        <v>59</v>
      </c>
      <c r="CX41" s="26" t="s">
        <v>59</v>
      </c>
      <c r="CY41" s="26" t="s">
        <v>59</v>
      </c>
      <c r="CZ41" s="26" t="s">
        <v>59</v>
      </c>
      <c r="DA41" s="26" t="s">
        <v>59</v>
      </c>
      <c r="DB41" s="26" t="s">
        <v>59</v>
      </c>
      <c r="DC41" s="26">
        <v>6</v>
      </c>
    </row>
    <row r="42" spans="1:114" ht="14">
      <c r="A42" s="49" t="s">
        <v>330</v>
      </c>
      <c r="B42" s="43">
        <v>9023</v>
      </c>
      <c r="C42" s="34">
        <v>2</v>
      </c>
      <c r="D42" s="43">
        <v>1</v>
      </c>
      <c r="E42" s="48" t="s">
        <v>139</v>
      </c>
      <c r="F42" s="26" t="s">
        <v>59</v>
      </c>
      <c r="G42" s="48">
        <f t="shared" si="0"/>
        <v>36</v>
      </c>
      <c r="H42" s="26" t="s">
        <v>59</v>
      </c>
      <c r="I42" s="26" t="s">
        <v>59</v>
      </c>
      <c r="J42" s="48" t="s">
        <v>59</v>
      </c>
      <c r="K42" s="26" t="s">
        <v>59</v>
      </c>
      <c r="L42" s="26" t="s">
        <v>59</v>
      </c>
      <c r="M42" s="26" t="s">
        <v>59</v>
      </c>
      <c r="N42" s="26" t="s">
        <v>59</v>
      </c>
      <c r="O42" s="26" t="s">
        <v>59</v>
      </c>
      <c r="P42" s="26" t="s">
        <v>59</v>
      </c>
      <c r="Q42" s="48" t="s">
        <v>59</v>
      </c>
      <c r="R42" s="48" t="s">
        <v>59</v>
      </c>
      <c r="S42" s="48" t="s">
        <v>59</v>
      </c>
      <c r="T42" s="48" t="s">
        <v>59</v>
      </c>
      <c r="U42" s="48">
        <v>21</v>
      </c>
      <c r="V42" s="48">
        <v>20</v>
      </c>
      <c r="W42" s="48" t="s">
        <v>59</v>
      </c>
      <c r="X42" s="48" t="s">
        <v>59</v>
      </c>
      <c r="Y42" s="69">
        <v>8</v>
      </c>
      <c r="Z42" s="69">
        <v>1.3</v>
      </c>
      <c r="AA42" s="69" t="s">
        <v>61</v>
      </c>
      <c r="AB42" s="69" t="s">
        <v>61</v>
      </c>
      <c r="AC42" s="69" t="s">
        <v>61</v>
      </c>
      <c r="AD42" s="69">
        <v>7.5</v>
      </c>
      <c r="AE42" s="69">
        <v>1.1000000000000001</v>
      </c>
      <c r="AF42" s="69" t="s">
        <v>61</v>
      </c>
      <c r="AG42" s="69" t="s">
        <v>61</v>
      </c>
      <c r="AH42" s="69" t="s">
        <v>61</v>
      </c>
      <c r="AI42" s="69" t="s">
        <v>59</v>
      </c>
      <c r="AJ42" s="69" t="s">
        <v>59</v>
      </c>
      <c r="AK42" s="69" t="s">
        <v>59</v>
      </c>
      <c r="AL42" s="69" t="s">
        <v>59</v>
      </c>
      <c r="AM42" s="69" t="s">
        <v>59</v>
      </c>
      <c r="AN42" s="69" t="s">
        <v>59</v>
      </c>
      <c r="AO42" s="69" t="s">
        <v>59</v>
      </c>
      <c r="AP42" s="69" t="s">
        <v>59</v>
      </c>
      <c r="AQ42" s="69" t="s">
        <v>59</v>
      </c>
      <c r="AR42" s="69" t="s">
        <v>59</v>
      </c>
      <c r="AS42" s="69" t="s">
        <v>61</v>
      </c>
      <c r="AT42" s="69" t="s">
        <v>64</v>
      </c>
      <c r="AU42" s="69" t="s">
        <v>59</v>
      </c>
      <c r="AV42" s="69" t="s">
        <v>59</v>
      </c>
      <c r="AW42" s="69" t="s">
        <v>59</v>
      </c>
      <c r="AX42" s="69" t="s">
        <v>59</v>
      </c>
      <c r="AY42" s="215">
        <v>19</v>
      </c>
      <c r="AZ42" s="215">
        <v>17</v>
      </c>
      <c r="BA42" s="215" t="s">
        <v>59</v>
      </c>
      <c r="BB42" s="215" t="s">
        <v>59</v>
      </c>
      <c r="BC42" s="69">
        <v>8</v>
      </c>
      <c r="BD42" s="69">
        <v>1.3</v>
      </c>
      <c r="BE42" s="69" t="s">
        <v>61</v>
      </c>
      <c r="BF42" s="48">
        <v>0</v>
      </c>
      <c r="BG42" s="48">
        <v>1</v>
      </c>
      <c r="BH42" s="69" t="s">
        <v>61</v>
      </c>
      <c r="BI42" s="69" t="s">
        <v>61</v>
      </c>
      <c r="BJ42" s="69" t="s">
        <v>61</v>
      </c>
      <c r="BK42" s="69" t="s">
        <v>61</v>
      </c>
      <c r="BL42" s="69" t="s">
        <v>61</v>
      </c>
      <c r="BM42" s="69" t="s">
        <v>61</v>
      </c>
      <c r="BN42" s="69" t="s">
        <v>61</v>
      </c>
      <c r="BO42" s="69" t="s">
        <v>162</v>
      </c>
      <c r="BP42" s="69">
        <v>7.9</v>
      </c>
      <c r="BQ42" s="69">
        <v>1.2</v>
      </c>
      <c r="BR42" s="69" t="s">
        <v>61</v>
      </c>
      <c r="BS42" s="26">
        <v>0</v>
      </c>
      <c r="BT42" s="26">
        <v>1</v>
      </c>
      <c r="BU42" s="69" t="s">
        <v>61</v>
      </c>
      <c r="BV42" s="69" t="s">
        <v>61</v>
      </c>
      <c r="BW42" s="69" t="s">
        <v>61</v>
      </c>
      <c r="BX42" s="69" t="s">
        <v>61</v>
      </c>
      <c r="BY42" s="69" t="s">
        <v>61</v>
      </c>
      <c r="BZ42" s="69" t="s">
        <v>61</v>
      </c>
      <c r="CA42" s="69" t="s">
        <v>61</v>
      </c>
      <c r="CB42" s="69" t="s">
        <v>162</v>
      </c>
      <c r="CC42" s="69" t="s">
        <v>59</v>
      </c>
      <c r="CD42" s="69" t="s">
        <v>59</v>
      </c>
      <c r="CE42" s="69" t="s">
        <v>59</v>
      </c>
      <c r="CF42" s="69"/>
      <c r="CG42" s="69"/>
      <c r="CH42" s="69" t="s">
        <v>59</v>
      </c>
      <c r="CI42" s="69" t="s">
        <v>59</v>
      </c>
      <c r="CJ42" s="69" t="s">
        <v>59</v>
      </c>
      <c r="CK42" s="69" t="s">
        <v>59</v>
      </c>
      <c r="CL42" s="69" t="s">
        <v>59</v>
      </c>
      <c r="CM42" s="69" t="s">
        <v>59</v>
      </c>
      <c r="CN42" s="69" t="s">
        <v>59</v>
      </c>
      <c r="CO42" s="69" t="s">
        <v>59</v>
      </c>
      <c r="CP42" s="69" t="s">
        <v>59</v>
      </c>
      <c r="CQ42" s="69" t="s">
        <v>59</v>
      </c>
      <c r="CR42" s="69" t="s">
        <v>59</v>
      </c>
      <c r="CS42" s="69"/>
      <c r="CT42" s="69"/>
      <c r="CU42" s="69" t="s">
        <v>59</v>
      </c>
      <c r="CV42" s="69" t="s">
        <v>59</v>
      </c>
      <c r="CW42" s="69" t="s">
        <v>59</v>
      </c>
      <c r="CX42" s="69" t="s">
        <v>59</v>
      </c>
      <c r="CY42" s="69" t="s">
        <v>59</v>
      </c>
      <c r="CZ42" s="69" t="s">
        <v>59</v>
      </c>
      <c r="DA42" s="69" t="s">
        <v>59</v>
      </c>
      <c r="DB42" s="69" t="s">
        <v>59</v>
      </c>
      <c r="DC42" s="69">
        <v>13</v>
      </c>
      <c r="DD42" s="55"/>
      <c r="DE42" s="43"/>
      <c r="DF42" s="43"/>
      <c r="DG42" s="43"/>
      <c r="DH42" s="43"/>
      <c r="DI42" s="43"/>
      <c r="DJ42" s="43"/>
    </row>
    <row r="43" spans="1:114">
      <c r="A43" s="34" t="s">
        <v>193</v>
      </c>
      <c r="B43" s="34">
        <v>5147</v>
      </c>
      <c r="C43" s="34">
        <v>2</v>
      </c>
      <c r="D43" s="43">
        <v>1</v>
      </c>
      <c r="E43" s="26" t="s">
        <v>139</v>
      </c>
      <c r="F43" s="26" t="s">
        <v>59</v>
      </c>
      <c r="G43" s="48">
        <f t="shared" si="0"/>
        <v>49</v>
      </c>
      <c r="H43" s="26" t="s">
        <v>59</v>
      </c>
      <c r="I43" s="26" t="s">
        <v>60</v>
      </c>
      <c r="J43" s="26" t="s">
        <v>59</v>
      </c>
      <c r="K43" s="26" t="s">
        <v>59</v>
      </c>
      <c r="L43" s="26" t="s">
        <v>59</v>
      </c>
      <c r="M43" s="26" t="s">
        <v>59</v>
      </c>
      <c r="N43" s="26" t="s">
        <v>59</v>
      </c>
      <c r="O43" s="26" t="s">
        <v>59</v>
      </c>
      <c r="P43" s="26" t="s">
        <v>59</v>
      </c>
      <c r="Q43" s="26" t="s">
        <v>60</v>
      </c>
      <c r="R43" s="26" t="s">
        <v>60</v>
      </c>
      <c r="S43" s="26" t="s">
        <v>60</v>
      </c>
      <c r="T43" s="26" t="s">
        <v>60</v>
      </c>
      <c r="U43" s="26">
        <v>24</v>
      </c>
      <c r="V43" s="26">
        <v>25</v>
      </c>
      <c r="W43" s="26" t="s">
        <v>60</v>
      </c>
      <c r="X43" s="26" t="s">
        <v>60</v>
      </c>
      <c r="Y43" s="26">
        <v>9</v>
      </c>
      <c r="Z43" s="26">
        <v>1.2</v>
      </c>
      <c r="AA43" s="26" t="s">
        <v>61</v>
      </c>
      <c r="AB43" s="26" t="s">
        <v>61</v>
      </c>
      <c r="AC43" s="27" t="s">
        <v>61</v>
      </c>
      <c r="AD43" s="26">
        <v>9.4</v>
      </c>
      <c r="AE43" s="26">
        <v>1.8</v>
      </c>
      <c r="AF43" s="26" t="s">
        <v>61</v>
      </c>
      <c r="AG43" s="26" t="s">
        <v>61</v>
      </c>
      <c r="AH43" s="27" t="s">
        <v>61</v>
      </c>
      <c r="AI43" s="26" t="s">
        <v>60</v>
      </c>
      <c r="AJ43" s="26" t="s">
        <v>60</v>
      </c>
      <c r="AK43" s="26" t="s">
        <v>59</v>
      </c>
      <c r="AL43" s="26" t="s">
        <v>59</v>
      </c>
      <c r="AM43" s="26" t="s">
        <v>59</v>
      </c>
      <c r="AN43" s="26" t="s">
        <v>60</v>
      </c>
      <c r="AO43" s="26" t="s">
        <v>60</v>
      </c>
      <c r="AP43" s="26" t="s">
        <v>59</v>
      </c>
      <c r="AQ43" s="26" t="s">
        <v>59</v>
      </c>
      <c r="AR43" s="26" t="s">
        <v>59</v>
      </c>
      <c r="AS43" s="26">
        <v>0.32800000000000001</v>
      </c>
      <c r="AT43" s="26" t="s">
        <v>64</v>
      </c>
      <c r="AU43" s="26" t="s">
        <v>59</v>
      </c>
      <c r="AV43" s="26" t="s">
        <v>59</v>
      </c>
      <c r="AW43" s="26" t="s">
        <v>59</v>
      </c>
      <c r="AX43" s="26" t="s">
        <v>59</v>
      </c>
      <c r="AY43" s="186">
        <v>24</v>
      </c>
      <c r="AZ43" s="186">
        <v>25</v>
      </c>
      <c r="BA43" s="186" t="s">
        <v>60</v>
      </c>
      <c r="BB43" s="186" t="s">
        <v>60</v>
      </c>
      <c r="BC43" s="26">
        <v>8.6</v>
      </c>
      <c r="BD43" s="26">
        <v>1.3</v>
      </c>
      <c r="BE43" s="26" t="s">
        <v>61</v>
      </c>
      <c r="BF43" s="48">
        <v>0</v>
      </c>
      <c r="BG43" s="48">
        <v>1</v>
      </c>
      <c r="BH43" s="27" t="s">
        <v>61</v>
      </c>
      <c r="BI43" s="27" t="s">
        <v>61</v>
      </c>
      <c r="BJ43" s="26">
        <v>-0.4</v>
      </c>
      <c r="BK43" s="26" t="s">
        <v>61</v>
      </c>
      <c r="BL43" s="26" t="s">
        <v>61</v>
      </c>
      <c r="BM43" s="26" t="s">
        <v>61</v>
      </c>
      <c r="BN43" s="26" t="s">
        <v>61</v>
      </c>
      <c r="BO43" s="26" t="s">
        <v>61</v>
      </c>
      <c r="BP43" s="26">
        <v>7.1</v>
      </c>
      <c r="BQ43" s="26">
        <v>1.2</v>
      </c>
      <c r="BR43" s="26" t="s">
        <v>61</v>
      </c>
      <c r="BS43" s="26">
        <v>0</v>
      </c>
      <c r="BT43" s="26">
        <v>1</v>
      </c>
      <c r="BU43" s="27" t="s">
        <v>61</v>
      </c>
      <c r="BV43" s="27" t="s">
        <v>61</v>
      </c>
      <c r="BW43" s="26">
        <v>-2.2999999999999998</v>
      </c>
      <c r="BX43" s="26" t="s">
        <v>61</v>
      </c>
      <c r="BY43" s="27" t="s">
        <v>61</v>
      </c>
      <c r="BZ43" s="26" t="s">
        <v>61</v>
      </c>
      <c r="CA43" s="27" t="s">
        <v>61</v>
      </c>
      <c r="CB43" s="26" t="s">
        <v>162</v>
      </c>
      <c r="CC43" s="26" t="s">
        <v>60</v>
      </c>
      <c r="CD43" s="26" t="s">
        <v>60</v>
      </c>
      <c r="CE43" s="26" t="s">
        <v>59</v>
      </c>
      <c r="CF43" s="26"/>
      <c r="CG43" s="26"/>
      <c r="CH43" s="26" t="s">
        <v>59</v>
      </c>
      <c r="CI43" s="26" t="s">
        <v>59</v>
      </c>
      <c r="CJ43" s="26" t="s">
        <v>59</v>
      </c>
      <c r="CK43" s="26" t="s">
        <v>59</v>
      </c>
      <c r="CL43" s="26" t="s">
        <v>59</v>
      </c>
      <c r="CM43" s="26" t="s">
        <v>59</v>
      </c>
      <c r="CN43" s="26" t="s">
        <v>59</v>
      </c>
      <c r="CO43" s="26" t="s">
        <v>59</v>
      </c>
      <c r="CP43" s="26" t="s">
        <v>60</v>
      </c>
      <c r="CQ43" s="26" t="s">
        <v>60</v>
      </c>
      <c r="CR43" s="26" t="s">
        <v>59</v>
      </c>
      <c r="CS43" s="26"/>
      <c r="CT43" s="26"/>
      <c r="CU43" s="26" t="s">
        <v>59</v>
      </c>
      <c r="CV43" s="26" t="s">
        <v>59</v>
      </c>
      <c r="CW43" s="26" t="s">
        <v>59</v>
      </c>
      <c r="CX43" s="26" t="s">
        <v>59</v>
      </c>
      <c r="CY43" s="26" t="s">
        <v>59</v>
      </c>
      <c r="CZ43" s="26" t="s">
        <v>59</v>
      </c>
      <c r="DA43" s="26" t="s">
        <v>59</v>
      </c>
      <c r="DB43" s="26" t="s">
        <v>59</v>
      </c>
      <c r="DC43" s="26">
        <v>3</v>
      </c>
    </row>
    <row r="44" spans="1:114">
      <c r="A44" s="34" t="s">
        <v>270</v>
      </c>
      <c r="B44" s="34">
        <v>8506</v>
      </c>
      <c r="C44" s="34">
        <v>2</v>
      </c>
      <c r="D44" s="43">
        <v>1</v>
      </c>
      <c r="E44" s="26" t="s">
        <v>139</v>
      </c>
      <c r="F44" s="26" t="s">
        <v>59</v>
      </c>
      <c r="G44" s="48">
        <f t="shared" si="0"/>
        <v>61</v>
      </c>
      <c r="H44" s="26" t="s">
        <v>59</v>
      </c>
      <c r="I44" s="26" t="s">
        <v>59</v>
      </c>
      <c r="J44" s="26" t="s">
        <v>59</v>
      </c>
      <c r="K44" s="26" t="s">
        <v>59</v>
      </c>
      <c r="L44" s="26" t="s">
        <v>59</v>
      </c>
      <c r="M44" s="26" t="s">
        <v>59</v>
      </c>
      <c r="N44" s="26" t="s">
        <v>59</v>
      </c>
      <c r="O44" s="26" t="s">
        <v>59</v>
      </c>
      <c r="P44" s="26" t="s">
        <v>59</v>
      </c>
      <c r="Q44" s="26" t="s">
        <v>59</v>
      </c>
      <c r="R44" s="26" t="s">
        <v>59</v>
      </c>
      <c r="S44" s="26" t="s">
        <v>60</v>
      </c>
      <c r="T44" s="26" t="s">
        <v>60</v>
      </c>
      <c r="U44" s="26">
        <v>35</v>
      </c>
      <c r="V44" s="26">
        <v>34</v>
      </c>
      <c r="W44" s="26" t="s">
        <v>60</v>
      </c>
      <c r="X44" s="26" t="s">
        <v>60</v>
      </c>
      <c r="Y44" s="26">
        <v>9.3000000000000007</v>
      </c>
      <c r="Z44" s="26">
        <v>1</v>
      </c>
      <c r="AA44" s="26" t="s">
        <v>61</v>
      </c>
      <c r="AB44" s="26" t="s">
        <v>61</v>
      </c>
      <c r="AC44" s="27" t="s">
        <v>61</v>
      </c>
      <c r="AD44" s="26">
        <v>9.1</v>
      </c>
      <c r="AE44" s="26">
        <v>1</v>
      </c>
      <c r="AF44" s="26" t="s">
        <v>61</v>
      </c>
      <c r="AG44" s="26" t="s">
        <v>61</v>
      </c>
      <c r="AH44" s="27" t="s">
        <v>61</v>
      </c>
      <c r="AI44" s="26" t="s">
        <v>59</v>
      </c>
      <c r="AJ44" s="26" t="s">
        <v>60</v>
      </c>
      <c r="AK44" s="26" t="s">
        <v>59</v>
      </c>
      <c r="AL44" s="26" t="s">
        <v>59</v>
      </c>
      <c r="AM44" s="26" t="s">
        <v>59</v>
      </c>
      <c r="AN44" s="26" t="s">
        <v>60</v>
      </c>
      <c r="AO44" s="26" t="s">
        <v>60</v>
      </c>
      <c r="AP44" s="26" t="s">
        <v>59</v>
      </c>
      <c r="AQ44" s="26" t="s">
        <v>59</v>
      </c>
      <c r="AR44" s="26" t="s">
        <v>59</v>
      </c>
      <c r="AS44" s="26" t="s">
        <v>61</v>
      </c>
      <c r="AT44" s="26" t="s">
        <v>64</v>
      </c>
      <c r="AU44" s="26" t="s">
        <v>59</v>
      </c>
      <c r="AV44" s="26" t="s">
        <v>59</v>
      </c>
      <c r="AW44" s="26" t="s">
        <v>59</v>
      </c>
      <c r="AX44" s="26" t="s">
        <v>59</v>
      </c>
      <c r="AY44" s="186">
        <v>29</v>
      </c>
      <c r="AZ44" s="186">
        <v>32</v>
      </c>
      <c r="BA44" s="186" t="s">
        <v>60</v>
      </c>
      <c r="BB44" s="186" t="s">
        <v>60</v>
      </c>
      <c r="BC44" s="26">
        <v>8.6</v>
      </c>
      <c r="BD44" s="26">
        <v>1.3</v>
      </c>
      <c r="BE44" s="26" t="s">
        <v>61</v>
      </c>
      <c r="BF44" s="48">
        <v>0</v>
      </c>
      <c r="BG44" s="48">
        <v>1</v>
      </c>
      <c r="BH44" s="27" t="s">
        <v>61</v>
      </c>
      <c r="BI44" s="27" t="s">
        <v>61</v>
      </c>
      <c r="BJ44" s="26" t="s">
        <v>61</v>
      </c>
      <c r="BK44" s="26" t="s">
        <v>61</v>
      </c>
      <c r="BL44" s="26" t="s">
        <v>61</v>
      </c>
      <c r="BM44" s="26" t="s">
        <v>61</v>
      </c>
      <c r="BN44" s="26" t="s">
        <v>61</v>
      </c>
      <c r="BO44" s="26" t="s">
        <v>61</v>
      </c>
      <c r="BP44" s="26">
        <v>8.1</v>
      </c>
      <c r="BQ44" s="26">
        <v>1.2</v>
      </c>
      <c r="BR44" s="26" t="s">
        <v>61</v>
      </c>
      <c r="BS44" s="26">
        <v>0</v>
      </c>
      <c r="BT44" s="26">
        <v>1</v>
      </c>
      <c r="BU44" s="27" t="s">
        <v>61</v>
      </c>
      <c r="BV44" s="27" t="s">
        <v>61</v>
      </c>
      <c r="BW44" s="26" t="s">
        <v>61</v>
      </c>
      <c r="BX44" s="26" t="s">
        <v>61</v>
      </c>
      <c r="BY44" s="27" t="s">
        <v>61</v>
      </c>
      <c r="BZ44" s="26" t="s">
        <v>61</v>
      </c>
      <c r="CA44" s="27" t="s">
        <v>61</v>
      </c>
      <c r="CB44" s="26" t="s">
        <v>167</v>
      </c>
      <c r="CC44" s="26" t="s">
        <v>60</v>
      </c>
      <c r="CD44" s="26" t="s">
        <v>60</v>
      </c>
      <c r="CE44" s="26" t="s">
        <v>59</v>
      </c>
      <c r="CF44" s="26"/>
      <c r="CG44" s="26"/>
      <c r="CH44" s="26" t="s">
        <v>59</v>
      </c>
      <c r="CI44" s="26" t="s">
        <v>59</v>
      </c>
      <c r="CJ44" s="26" t="s">
        <v>59</v>
      </c>
      <c r="CK44" s="26" t="s">
        <v>59</v>
      </c>
      <c r="CL44" s="26" t="s">
        <v>59</v>
      </c>
      <c r="CM44" s="26" t="s">
        <v>59</v>
      </c>
      <c r="CN44" s="26" t="s">
        <v>59</v>
      </c>
      <c r="CO44" s="26" t="s">
        <v>59</v>
      </c>
      <c r="CP44" s="26" t="s">
        <v>60</v>
      </c>
      <c r="CQ44" s="26" t="s">
        <v>60</v>
      </c>
      <c r="CR44" s="26" t="s">
        <v>59</v>
      </c>
      <c r="CS44" s="26"/>
      <c r="CT44" s="26"/>
      <c r="CU44" s="26" t="s">
        <v>59</v>
      </c>
      <c r="CV44" s="26" t="s">
        <v>59</v>
      </c>
      <c r="CW44" s="26" t="s">
        <v>59</v>
      </c>
      <c r="CX44" s="26" t="s">
        <v>59</v>
      </c>
      <c r="CY44" s="26" t="s">
        <v>59</v>
      </c>
      <c r="CZ44" s="26" t="s">
        <v>59</v>
      </c>
      <c r="DA44" s="26" t="s">
        <v>59</v>
      </c>
      <c r="DB44" s="26" t="s">
        <v>59</v>
      </c>
      <c r="DC44" s="26">
        <v>18</v>
      </c>
    </row>
    <row r="45" spans="1:114">
      <c r="A45" s="34" t="s">
        <v>249</v>
      </c>
      <c r="B45" s="34">
        <v>8019</v>
      </c>
      <c r="C45" s="34">
        <v>2</v>
      </c>
      <c r="D45" s="43">
        <v>1</v>
      </c>
      <c r="E45" s="26" t="s">
        <v>139</v>
      </c>
      <c r="F45" s="26" t="s">
        <v>59</v>
      </c>
      <c r="G45" s="48">
        <f t="shared" si="0"/>
        <v>137</v>
      </c>
      <c r="H45" s="26" t="s">
        <v>59</v>
      </c>
      <c r="I45" s="26" t="s">
        <v>59</v>
      </c>
      <c r="J45" s="26" t="s">
        <v>59</v>
      </c>
      <c r="K45" s="26" t="s">
        <v>59</v>
      </c>
      <c r="L45" s="26" t="s">
        <v>59</v>
      </c>
      <c r="M45" s="26" t="s">
        <v>59</v>
      </c>
      <c r="N45" s="26" t="s">
        <v>59</v>
      </c>
      <c r="O45" s="26" t="s">
        <v>59</v>
      </c>
      <c r="P45" s="26" t="s">
        <v>59</v>
      </c>
      <c r="Q45" s="26" t="s">
        <v>59</v>
      </c>
      <c r="R45" s="26" t="s">
        <v>59</v>
      </c>
      <c r="S45" s="26" t="s">
        <v>60</v>
      </c>
      <c r="T45" s="26" t="s">
        <v>60</v>
      </c>
      <c r="U45" s="26">
        <v>73</v>
      </c>
      <c r="V45" s="26">
        <v>64</v>
      </c>
      <c r="W45" s="26" t="s">
        <v>60</v>
      </c>
      <c r="X45" s="26" t="s">
        <v>60</v>
      </c>
      <c r="Y45" s="26">
        <v>9.4</v>
      </c>
      <c r="Z45" s="26">
        <v>1.4</v>
      </c>
      <c r="AA45" s="26" t="s">
        <v>61</v>
      </c>
      <c r="AB45" s="26" t="s">
        <v>61</v>
      </c>
      <c r="AC45" s="27" t="s">
        <v>61</v>
      </c>
      <c r="AD45" s="26">
        <v>9.6</v>
      </c>
      <c r="AE45" s="26">
        <v>1.6</v>
      </c>
      <c r="AF45" s="26" t="s">
        <v>61</v>
      </c>
      <c r="AG45" s="26" t="s">
        <v>61</v>
      </c>
      <c r="AH45" s="27" t="s">
        <v>61</v>
      </c>
      <c r="AI45" s="26" t="s">
        <v>60</v>
      </c>
      <c r="AJ45" s="26" t="s">
        <v>60</v>
      </c>
      <c r="AK45" s="26" t="s">
        <v>59</v>
      </c>
      <c r="AL45" s="26" t="s">
        <v>59</v>
      </c>
      <c r="AM45" s="26" t="s">
        <v>59</v>
      </c>
      <c r="AN45" s="26" t="s">
        <v>60</v>
      </c>
      <c r="AO45" s="26" t="s">
        <v>60</v>
      </c>
      <c r="AP45" s="26" t="s">
        <v>59</v>
      </c>
      <c r="AQ45" s="26" t="s">
        <v>59</v>
      </c>
      <c r="AR45" s="26" t="s">
        <v>59</v>
      </c>
      <c r="AS45" s="26">
        <v>0.53</v>
      </c>
      <c r="AT45" s="26" t="s">
        <v>64</v>
      </c>
      <c r="AU45" s="26" t="s">
        <v>59</v>
      </c>
      <c r="AV45" s="26" t="s">
        <v>59</v>
      </c>
      <c r="AW45" s="26" t="s">
        <v>59</v>
      </c>
      <c r="AX45" s="26" t="s">
        <v>59</v>
      </c>
      <c r="AY45" s="186">
        <v>73</v>
      </c>
      <c r="AZ45" s="186">
        <v>64</v>
      </c>
      <c r="BA45" s="186" t="s">
        <v>60</v>
      </c>
      <c r="BB45" s="186" t="s">
        <v>60</v>
      </c>
      <c r="BC45" s="26">
        <v>8.6</v>
      </c>
      <c r="BD45" s="26">
        <v>1.3</v>
      </c>
      <c r="BE45" s="26" t="s">
        <v>61</v>
      </c>
      <c r="BF45" s="48">
        <v>0</v>
      </c>
      <c r="BG45" s="48">
        <v>1</v>
      </c>
      <c r="BH45" s="27" t="s">
        <v>61</v>
      </c>
      <c r="BI45" s="27" t="s">
        <v>61</v>
      </c>
      <c r="BJ45" s="26">
        <v>-0.8</v>
      </c>
      <c r="BK45" s="26" t="s">
        <v>61</v>
      </c>
      <c r="BL45" s="26" t="s">
        <v>61</v>
      </c>
      <c r="BM45" s="26" t="s">
        <v>61</v>
      </c>
      <c r="BN45" s="26" t="s">
        <v>61</v>
      </c>
      <c r="BO45" s="26" t="s">
        <v>119</v>
      </c>
      <c r="BP45" s="26">
        <v>7.9</v>
      </c>
      <c r="BQ45" s="26">
        <v>1.2</v>
      </c>
      <c r="BR45" s="26" t="s">
        <v>61</v>
      </c>
      <c r="BS45" s="26">
        <v>0</v>
      </c>
      <c r="BT45" s="26">
        <v>1</v>
      </c>
      <c r="BU45" s="27" t="s">
        <v>61</v>
      </c>
      <c r="BV45" s="27" t="s">
        <v>61</v>
      </c>
      <c r="BW45" s="26">
        <v>-1.7</v>
      </c>
      <c r="BX45" s="26" t="s">
        <v>61</v>
      </c>
      <c r="BY45" s="27" t="s">
        <v>61</v>
      </c>
      <c r="BZ45" s="26" t="s">
        <v>61</v>
      </c>
      <c r="CA45" s="27" t="s">
        <v>61</v>
      </c>
      <c r="CB45" s="26" t="s">
        <v>119</v>
      </c>
      <c r="CC45" s="26" t="s">
        <v>60</v>
      </c>
      <c r="CD45" s="26" t="s">
        <v>60</v>
      </c>
      <c r="CE45" s="27" t="s">
        <v>59</v>
      </c>
      <c r="CF45" s="27"/>
      <c r="CG45" s="27"/>
      <c r="CH45" s="27" t="s">
        <v>59</v>
      </c>
      <c r="CI45" s="27" t="s">
        <v>59</v>
      </c>
      <c r="CJ45" s="26" t="s">
        <v>59</v>
      </c>
      <c r="CK45" s="27" t="s">
        <v>59</v>
      </c>
      <c r="CL45" s="27" t="s">
        <v>59</v>
      </c>
      <c r="CM45" s="26" t="s">
        <v>59</v>
      </c>
      <c r="CN45" s="26" t="s">
        <v>59</v>
      </c>
      <c r="CO45" s="26" t="s">
        <v>59</v>
      </c>
      <c r="CP45" s="26" t="s">
        <v>59</v>
      </c>
      <c r="CQ45" s="26" t="s">
        <v>60</v>
      </c>
      <c r="CR45" s="27" t="s">
        <v>59</v>
      </c>
      <c r="CS45" s="27"/>
      <c r="CT45" s="27"/>
      <c r="CU45" s="27" t="s">
        <v>59</v>
      </c>
      <c r="CV45" s="27" t="s">
        <v>59</v>
      </c>
      <c r="CW45" s="26" t="s">
        <v>59</v>
      </c>
      <c r="CX45" s="27" t="s">
        <v>59</v>
      </c>
      <c r="CY45" s="27" t="s">
        <v>59</v>
      </c>
      <c r="CZ45" s="27" t="s">
        <v>59</v>
      </c>
      <c r="DA45" s="27" t="s">
        <v>59</v>
      </c>
      <c r="DB45" s="26" t="s">
        <v>59</v>
      </c>
      <c r="DC45" s="26">
        <v>6</v>
      </c>
    </row>
    <row r="46" spans="1:114">
      <c r="A46" s="34" t="s">
        <v>198</v>
      </c>
      <c r="B46" s="34">
        <v>5357</v>
      </c>
      <c r="C46" s="34">
        <v>2</v>
      </c>
      <c r="D46" s="43">
        <v>1</v>
      </c>
      <c r="E46" s="26" t="s">
        <v>139</v>
      </c>
      <c r="F46" s="26" t="s">
        <v>59</v>
      </c>
      <c r="G46" s="48">
        <f t="shared" si="0"/>
        <v>93</v>
      </c>
      <c r="H46" s="26" t="s">
        <v>59</v>
      </c>
      <c r="I46" s="26" t="s">
        <v>60</v>
      </c>
      <c r="J46" s="26" t="s">
        <v>59</v>
      </c>
      <c r="K46" s="26" t="s">
        <v>59</v>
      </c>
      <c r="L46" s="26" t="s">
        <v>59</v>
      </c>
      <c r="M46" s="26" t="s">
        <v>59</v>
      </c>
      <c r="N46" s="26" t="s">
        <v>59</v>
      </c>
      <c r="O46" s="26" t="s">
        <v>59</v>
      </c>
      <c r="P46" s="26" t="s">
        <v>59</v>
      </c>
      <c r="Q46" s="26" t="s">
        <v>60</v>
      </c>
      <c r="R46" s="26" t="s">
        <v>60</v>
      </c>
      <c r="S46" s="26" t="s">
        <v>60</v>
      </c>
      <c r="T46" s="26" t="s">
        <v>60</v>
      </c>
      <c r="U46" s="26">
        <v>80</v>
      </c>
      <c r="V46" s="26">
        <v>80</v>
      </c>
      <c r="W46" s="26" t="s">
        <v>60</v>
      </c>
      <c r="X46" s="26" t="s">
        <v>60</v>
      </c>
      <c r="Y46" s="26">
        <v>8.8000000000000007</v>
      </c>
      <c r="Z46" s="26">
        <v>1.7</v>
      </c>
      <c r="AA46" s="26" t="s">
        <v>61</v>
      </c>
      <c r="AB46" s="26" t="s">
        <v>61</v>
      </c>
      <c r="AC46" s="27" t="s">
        <v>61</v>
      </c>
      <c r="AD46" s="26">
        <v>8.4</v>
      </c>
      <c r="AE46" s="26">
        <v>1.6</v>
      </c>
      <c r="AF46" s="26" t="s">
        <v>61</v>
      </c>
      <c r="AG46" s="26" t="s">
        <v>61</v>
      </c>
      <c r="AH46" s="27" t="s">
        <v>61</v>
      </c>
      <c r="AI46" s="26" t="s">
        <v>60</v>
      </c>
      <c r="AJ46" s="26" t="s">
        <v>60</v>
      </c>
      <c r="AK46" s="26" t="s">
        <v>59</v>
      </c>
      <c r="AL46" s="26" t="s">
        <v>59</v>
      </c>
      <c r="AM46" s="26" t="s">
        <v>59</v>
      </c>
      <c r="AN46" s="26" t="s">
        <v>60</v>
      </c>
      <c r="AO46" s="26" t="s">
        <v>60</v>
      </c>
      <c r="AP46" s="26" t="s">
        <v>59</v>
      </c>
      <c r="AQ46" s="26" t="s">
        <v>59</v>
      </c>
      <c r="AR46" s="26" t="s">
        <v>59</v>
      </c>
      <c r="AS46" s="26" t="s">
        <v>61</v>
      </c>
      <c r="AT46" s="26" t="s">
        <v>64</v>
      </c>
      <c r="AU46" s="26" t="s">
        <v>59</v>
      </c>
      <c r="AV46" s="26" t="s">
        <v>59</v>
      </c>
      <c r="AW46" s="26" t="s">
        <v>59</v>
      </c>
      <c r="AX46" s="26" t="s">
        <v>59</v>
      </c>
      <c r="AY46" s="186">
        <v>38</v>
      </c>
      <c r="AZ46" s="186">
        <v>55</v>
      </c>
      <c r="BA46" s="186" t="s">
        <v>60</v>
      </c>
      <c r="BB46" s="186" t="s">
        <v>60</v>
      </c>
      <c r="BC46" s="26">
        <v>8</v>
      </c>
      <c r="BD46" s="26">
        <v>1.4</v>
      </c>
      <c r="BE46" s="26" t="s">
        <v>61</v>
      </c>
      <c r="BF46" s="48">
        <v>0</v>
      </c>
      <c r="BG46" s="48">
        <v>1</v>
      </c>
      <c r="BH46" s="27" t="s">
        <v>61</v>
      </c>
      <c r="BI46" s="27" t="s">
        <v>61</v>
      </c>
      <c r="BJ46" s="26" t="s">
        <v>61</v>
      </c>
      <c r="BK46" s="26" t="s">
        <v>61</v>
      </c>
      <c r="BL46" s="26" t="s">
        <v>61</v>
      </c>
      <c r="BM46" s="26" t="s">
        <v>61</v>
      </c>
      <c r="BN46" s="26" t="s">
        <v>61</v>
      </c>
      <c r="BO46" s="26" t="s">
        <v>61</v>
      </c>
      <c r="BP46" s="26">
        <v>7.7</v>
      </c>
      <c r="BQ46" s="26">
        <v>1.2</v>
      </c>
      <c r="BR46" s="26" t="s">
        <v>61</v>
      </c>
      <c r="BS46" s="26">
        <v>0</v>
      </c>
      <c r="BT46" s="26">
        <v>1</v>
      </c>
      <c r="BU46" s="27" t="s">
        <v>61</v>
      </c>
      <c r="BV46" s="27" t="s">
        <v>61</v>
      </c>
      <c r="BW46" s="26" t="s">
        <v>61</v>
      </c>
      <c r="BX46" s="26" t="s">
        <v>61</v>
      </c>
      <c r="BY46" s="27" t="s">
        <v>61</v>
      </c>
      <c r="BZ46" s="26" t="s">
        <v>61</v>
      </c>
      <c r="CA46" s="27" t="s">
        <v>61</v>
      </c>
      <c r="CB46" s="26" t="s">
        <v>61</v>
      </c>
      <c r="CC46" s="26" t="s">
        <v>60</v>
      </c>
      <c r="CD46" s="26" t="s">
        <v>60</v>
      </c>
      <c r="CE46" s="26" t="s">
        <v>59</v>
      </c>
      <c r="CF46" s="26"/>
      <c r="CG46" s="26"/>
      <c r="CH46" s="26" t="s">
        <v>59</v>
      </c>
      <c r="CI46" s="26" t="s">
        <v>59</v>
      </c>
      <c r="CJ46" s="26" t="s">
        <v>59</v>
      </c>
      <c r="CK46" s="26" t="s">
        <v>59</v>
      </c>
      <c r="CL46" s="26" t="s">
        <v>59</v>
      </c>
      <c r="CM46" s="26" t="s">
        <v>59</v>
      </c>
      <c r="CN46" s="26" t="s">
        <v>59</v>
      </c>
      <c r="CO46" s="26" t="s">
        <v>59</v>
      </c>
      <c r="CP46" s="26" t="s">
        <v>59</v>
      </c>
      <c r="CQ46" s="26" t="s">
        <v>60</v>
      </c>
      <c r="CR46" s="26" t="s">
        <v>59</v>
      </c>
      <c r="CS46" s="26"/>
      <c r="CT46" s="26"/>
      <c r="CU46" s="26" t="s">
        <v>59</v>
      </c>
      <c r="CV46" s="26" t="s">
        <v>59</v>
      </c>
      <c r="CW46" s="26" t="s">
        <v>59</v>
      </c>
      <c r="CX46" s="26" t="s">
        <v>59</v>
      </c>
      <c r="CY46" s="26" t="s">
        <v>59</v>
      </c>
      <c r="CZ46" s="26" t="s">
        <v>59</v>
      </c>
      <c r="DA46" s="26" t="s">
        <v>59</v>
      </c>
      <c r="DB46" s="26" t="s">
        <v>59</v>
      </c>
      <c r="DC46" s="26">
        <v>160</v>
      </c>
    </row>
    <row r="47" spans="1:114">
      <c r="A47" s="34" t="s">
        <v>185</v>
      </c>
      <c r="B47" s="34">
        <v>5052</v>
      </c>
      <c r="C47" s="34">
        <v>2</v>
      </c>
      <c r="D47" s="43">
        <v>1</v>
      </c>
      <c r="E47" s="26" t="s">
        <v>139</v>
      </c>
      <c r="F47" s="26" t="s">
        <v>59</v>
      </c>
      <c r="G47" s="48">
        <f t="shared" si="0"/>
        <v>402</v>
      </c>
      <c r="H47" s="26" t="s">
        <v>59</v>
      </c>
      <c r="I47" s="26" t="s">
        <v>59</v>
      </c>
      <c r="J47" s="26" t="s">
        <v>59</v>
      </c>
      <c r="K47" s="26" t="s">
        <v>59</v>
      </c>
      <c r="L47" s="26" t="s">
        <v>59</v>
      </c>
      <c r="M47" s="26" t="s">
        <v>59</v>
      </c>
      <c r="N47" s="26" t="s">
        <v>59</v>
      </c>
      <c r="O47" s="26" t="s">
        <v>59</v>
      </c>
      <c r="P47" s="26" t="s">
        <v>59</v>
      </c>
      <c r="Q47" s="26" t="s">
        <v>59</v>
      </c>
      <c r="R47" s="26" t="s">
        <v>59</v>
      </c>
      <c r="S47" s="26" t="s">
        <v>60</v>
      </c>
      <c r="T47" s="26" t="s">
        <v>60</v>
      </c>
      <c r="U47" s="26">
        <v>159</v>
      </c>
      <c r="V47" s="26">
        <v>153</v>
      </c>
      <c r="W47" s="26" t="s">
        <v>60</v>
      </c>
      <c r="X47" s="26" t="s">
        <v>60</v>
      </c>
      <c r="Y47" s="26">
        <v>7.1</v>
      </c>
      <c r="Z47" s="26">
        <v>1.6</v>
      </c>
      <c r="AA47" s="27" t="s">
        <v>61</v>
      </c>
      <c r="AB47" s="27" t="s">
        <v>61</v>
      </c>
      <c r="AC47" s="27" t="s">
        <v>61</v>
      </c>
      <c r="AD47" s="26">
        <v>7</v>
      </c>
      <c r="AE47" s="26">
        <v>1.4</v>
      </c>
      <c r="AF47" s="27" t="s">
        <v>61</v>
      </c>
      <c r="AG47" s="27" t="s">
        <v>61</v>
      </c>
      <c r="AH47" s="27" t="s">
        <v>61</v>
      </c>
      <c r="AI47" s="26" t="s">
        <v>60</v>
      </c>
      <c r="AJ47" s="26" t="s">
        <v>60</v>
      </c>
      <c r="AK47" s="26" t="s">
        <v>59</v>
      </c>
      <c r="AL47" s="26" t="s">
        <v>59</v>
      </c>
      <c r="AM47" s="26" t="s">
        <v>59</v>
      </c>
      <c r="AN47" s="26" t="s">
        <v>60</v>
      </c>
      <c r="AO47" s="26" t="s">
        <v>60</v>
      </c>
      <c r="AP47" s="26" t="s">
        <v>59</v>
      </c>
      <c r="AQ47" s="26" t="s">
        <v>59</v>
      </c>
      <c r="AR47" s="26" t="s">
        <v>59</v>
      </c>
      <c r="AS47" s="26" t="s">
        <v>61</v>
      </c>
      <c r="AT47" s="26" t="s">
        <v>64</v>
      </c>
      <c r="AU47" s="26" t="s">
        <v>61</v>
      </c>
      <c r="AV47" s="26" t="s">
        <v>61</v>
      </c>
      <c r="AW47" s="26" t="s">
        <v>61</v>
      </c>
      <c r="AX47" s="26" t="s">
        <v>61</v>
      </c>
      <c r="AY47" s="186">
        <v>180</v>
      </c>
      <c r="AZ47" s="186">
        <v>222</v>
      </c>
      <c r="BA47" s="186" t="s">
        <v>60</v>
      </c>
      <c r="BB47" s="186" t="s">
        <v>60</v>
      </c>
      <c r="BC47" s="26">
        <v>7.3</v>
      </c>
      <c r="BD47" s="27">
        <v>1.6</v>
      </c>
      <c r="BE47" s="27" t="s">
        <v>61</v>
      </c>
      <c r="BF47" s="48">
        <v>0</v>
      </c>
      <c r="BG47" s="48">
        <v>1</v>
      </c>
      <c r="BH47" s="26" t="s">
        <v>61</v>
      </c>
      <c r="BI47" s="27" t="s">
        <v>61</v>
      </c>
      <c r="BJ47" s="27" t="s">
        <v>61</v>
      </c>
      <c r="BK47" s="27" t="s">
        <v>61</v>
      </c>
      <c r="BL47" s="27" t="s">
        <v>61</v>
      </c>
      <c r="BM47" s="27" t="s">
        <v>61</v>
      </c>
      <c r="BN47" s="27" t="s">
        <v>61</v>
      </c>
      <c r="BO47" s="27" t="s">
        <v>61</v>
      </c>
      <c r="BP47" s="26">
        <v>6.8</v>
      </c>
      <c r="BQ47" s="26">
        <v>1.2</v>
      </c>
      <c r="BR47" s="27" t="s">
        <v>61</v>
      </c>
      <c r="BS47" s="26">
        <v>0</v>
      </c>
      <c r="BT47" s="26">
        <v>1</v>
      </c>
      <c r="BU47" s="27" t="s">
        <v>61</v>
      </c>
      <c r="BV47" s="27" t="s">
        <v>61</v>
      </c>
      <c r="BW47" s="27" t="s">
        <v>61</v>
      </c>
      <c r="BX47" s="27" t="s">
        <v>61</v>
      </c>
      <c r="BY47" s="27" t="s">
        <v>61</v>
      </c>
      <c r="BZ47" s="27" t="s">
        <v>61</v>
      </c>
      <c r="CA47" s="27" t="s">
        <v>61</v>
      </c>
      <c r="CB47" s="27" t="s">
        <v>61</v>
      </c>
      <c r="CC47" s="26" t="s">
        <v>60</v>
      </c>
      <c r="CD47" s="26" t="s">
        <v>60</v>
      </c>
      <c r="CE47" s="26" t="s">
        <v>59</v>
      </c>
      <c r="CF47" s="26"/>
      <c r="CG47" s="26"/>
      <c r="CH47" s="26" t="s">
        <v>59</v>
      </c>
      <c r="CI47" s="26" t="s">
        <v>59</v>
      </c>
      <c r="CJ47" s="26" t="s">
        <v>59</v>
      </c>
      <c r="CK47" s="26" t="s">
        <v>59</v>
      </c>
      <c r="CL47" s="26" t="s">
        <v>59</v>
      </c>
      <c r="CM47" s="26" t="s">
        <v>59</v>
      </c>
      <c r="CN47" s="26" t="s">
        <v>59</v>
      </c>
      <c r="CO47" s="26" t="s">
        <v>59</v>
      </c>
      <c r="CP47" s="26" t="s">
        <v>60</v>
      </c>
      <c r="CQ47" s="26" t="s">
        <v>60</v>
      </c>
      <c r="CR47" s="26" t="s">
        <v>59</v>
      </c>
      <c r="CS47" s="26"/>
      <c r="CT47" s="26"/>
      <c r="CU47" s="26" t="s">
        <v>59</v>
      </c>
      <c r="CV47" s="26" t="s">
        <v>59</v>
      </c>
      <c r="CW47" s="26" t="s">
        <v>59</v>
      </c>
      <c r="CX47" s="26" t="s">
        <v>59</v>
      </c>
      <c r="CY47" s="26" t="s">
        <v>59</v>
      </c>
      <c r="CZ47" s="26" t="s">
        <v>59</v>
      </c>
      <c r="DA47" s="26" t="s">
        <v>59</v>
      </c>
      <c r="DB47" s="26" t="s">
        <v>59</v>
      </c>
      <c r="DC47" s="26">
        <v>6</v>
      </c>
      <c r="DE47" s="29"/>
      <c r="DF47" s="29"/>
      <c r="DI47" s="29"/>
    </row>
    <row r="48" spans="1:114">
      <c r="A48" s="34" t="s">
        <v>264</v>
      </c>
      <c r="B48" s="209">
        <v>8396</v>
      </c>
      <c r="C48" s="43">
        <v>4</v>
      </c>
      <c r="D48" s="43">
        <v>1</v>
      </c>
      <c r="E48" s="26" t="s">
        <v>139</v>
      </c>
      <c r="F48" s="26" t="s">
        <v>59</v>
      </c>
      <c r="G48" s="48">
        <f t="shared" si="0"/>
        <v>330</v>
      </c>
      <c r="H48" s="26" t="s">
        <v>59</v>
      </c>
      <c r="I48" s="26" t="s">
        <v>59</v>
      </c>
      <c r="J48" s="26" t="s">
        <v>59</v>
      </c>
      <c r="K48" s="26" t="s">
        <v>59</v>
      </c>
      <c r="L48" s="26" t="s">
        <v>59</v>
      </c>
      <c r="M48" s="26" t="s">
        <v>59</v>
      </c>
      <c r="N48" s="26" t="s">
        <v>59</v>
      </c>
      <c r="O48" s="26" t="s">
        <v>59</v>
      </c>
      <c r="P48" s="26" t="s">
        <v>59</v>
      </c>
      <c r="Q48" s="26" t="s">
        <v>59</v>
      </c>
      <c r="R48" s="26" t="s">
        <v>59</v>
      </c>
      <c r="S48" s="26" t="s">
        <v>59</v>
      </c>
      <c r="T48" s="26" t="s">
        <v>59</v>
      </c>
      <c r="U48" s="26">
        <v>102</v>
      </c>
      <c r="V48" s="26">
        <v>100</v>
      </c>
      <c r="W48" s="26">
        <v>102</v>
      </c>
      <c r="X48" s="26">
        <v>100</v>
      </c>
      <c r="Y48" s="26">
        <v>9.4</v>
      </c>
      <c r="Z48" s="26">
        <v>1.3</v>
      </c>
      <c r="AA48" s="26" t="s">
        <v>61</v>
      </c>
      <c r="AB48" s="26">
        <v>9.3000000000000007</v>
      </c>
      <c r="AC48" s="27" t="s">
        <v>265</v>
      </c>
      <c r="AD48" s="26">
        <v>8.9</v>
      </c>
      <c r="AE48" s="26">
        <v>1.1000000000000001</v>
      </c>
      <c r="AF48" s="26" t="s">
        <v>61</v>
      </c>
      <c r="AG48" s="26">
        <v>8.6</v>
      </c>
      <c r="AH48" s="27" t="s">
        <v>266</v>
      </c>
      <c r="AI48" s="26">
        <v>9</v>
      </c>
      <c r="AJ48" s="26">
        <v>1.1000000000000001</v>
      </c>
      <c r="AK48" s="27" t="s">
        <v>61</v>
      </c>
      <c r="AL48" s="26">
        <v>9</v>
      </c>
      <c r="AM48" s="27" t="s">
        <v>267</v>
      </c>
      <c r="AN48" s="26">
        <v>9.1999999999999993</v>
      </c>
      <c r="AO48" s="26">
        <v>1.5</v>
      </c>
      <c r="AP48" s="27" t="s">
        <v>61</v>
      </c>
      <c r="AQ48" s="27">
        <v>8.8000000000000007</v>
      </c>
      <c r="AR48" s="27" t="s">
        <v>268</v>
      </c>
      <c r="AS48" s="27" t="s">
        <v>61</v>
      </c>
      <c r="AT48" s="27" t="s">
        <v>104</v>
      </c>
      <c r="AU48" s="27" t="s">
        <v>59</v>
      </c>
      <c r="AV48" s="27" t="s">
        <v>59</v>
      </c>
      <c r="AW48" s="27" t="s">
        <v>59</v>
      </c>
      <c r="AX48" s="27" t="s">
        <v>59</v>
      </c>
      <c r="AY48" s="26">
        <v>82</v>
      </c>
      <c r="AZ48" s="26">
        <v>86</v>
      </c>
      <c r="BA48" s="26">
        <v>83</v>
      </c>
      <c r="BB48" s="26">
        <v>79</v>
      </c>
      <c r="BC48" s="26">
        <v>8.9</v>
      </c>
      <c r="BD48" s="26">
        <v>1.6</v>
      </c>
      <c r="BE48" s="26" t="s">
        <v>61</v>
      </c>
      <c r="BF48" s="48">
        <v>0</v>
      </c>
      <c r="BG48" s="48">
        <v>1</v>
      </c>
      <c r="BH48" s="27" t="s">
        <v>61</v>
      </c>
      <c r="BI48" s="27" t="s">
        <v>61</v>
      </c>
      <c r="BJ48" s="26" t="s">
        <v>61</v>
      </c>
      <c r="BK48" s="26" t="s">
        <v>61</v>
      </c>
      <c r="BL48" s="26" t="s">
        <v>61</v>
      </c>
      <c r="BM48" s="26" t="s">
        <v>61</v>
      </c>
      <c r="BN48" s="26" t="s">
        <v>61</v>
      </c>
      <c r="BO48" s="26" t="s">
        <v>61</v>
      </c>
      <c r="BP48" s="26">
        <v>8.4</v>
      </c>
      <c r="BQ48" s="26">
        <v>1.2</v>
      </c>
      <c r="BR48" s="26" t="s">
        <v>61</v>
      </c>
      <c r="BS48" s="26">
        <v>0</v>
      </c>
      <c r="BT48" s="26">
        <v>1</v>
      </c>
      <c r="BU48" s="27" t="s">
        <v>61</v>
      </c>
      <c r="BV48" s="27" t="s">
        <v>61</v>
      </c>
      <c r="BW48" s="26" t="s">
        <v>61</v>
      </c>
      <c r="BX48" s="26" t="s">
        <v>61</v>
      </c>
      <c r="BY48" s="27" t="s">
        <v>61</v>
      </c>
      <c r="BZ48" s="26" t="s">
        <v>61</v>
      </c>
      <c r="CA48" s="27" t="s">
        <v>61</v>
      </c>
      <c r="CB48" s="26" t="s">
        <v>61</v>
      </c>
      <c r="CC48" s="26">
        <v>8.5</v>
      </c>
      <c r="CD48" s="26">
        <v>1.2</v>
      </c>
      <c r="CE48" s="27" t="s">
        <v>61</v>
      </c>
      <c r="CF48" s="69">
        <v>0</v>
      </c>
      <c r="CG48" s="69">
        <v>1</v>
      </c>
      <c r="CH48" s="27" t="s">
        <v>61</v>
      </c>
      <c r="CI48" s="27" t="s">
        <v>61</v>
      </c>
      <c r="CJ48" s="26" t="s">
        <v>61</v>
      </c>
      <c r="CK48" s="27" t="s">
        <v>61</v>
      </c>
      <c r="CL48" s="27" t="s">
        <v>61</v>
      </c>
      <c r="CM48" s="26" t="s">
        <v>61</v>
      </c>
      <c r="CN48" s="26" t="s">
        <v>61</v>
      </c>
      <c r="CO48" s="26" t="s">
        <v>61</v>
      </c>
      <c r="CP48" s="26">
        <v>9.1</v>
      </c>
      <c r="CQ48" s="26">
        <v>1.4</v>
      </c>
      <c r="CR48" s="27" t="s">
        <v>61</v>
      </c>
      <c r="CS48" s="69">
        <v>0</v>
      </c>
      <c r="CT48" s="69">
        <v>1</v>
      </c>
      <c r="CU48" s="27" t="s">
        <v>61</v>
      </c>
      <c r="CV48" s="27" t="s">
        <v>61</v>
      </c>
      <c r="CW48" s="26" t="s">
        <v>61</v>
      </c>
      <c r="CX48" s="27" t="s">
        <v>61</v>
      </c>
      <c r="CY48" s="27" t="s">
        <v>61</v>
      </c>
      <c r="CZ48" s="27" t="s">
        <v>61</v>
      </c>
      <c r="DA48" s="27" t="s">
        <v>61</v>
      </c>
      <c r="DB48" s="26" t="s">
        <v>61</v>
      </c>
      <c r="DC48" s="26">
        <v>18</v>
      </c>
    </row>
    <row r="49" spans="1:114" ht="14">
      <c r="A49" s="49" t="s">
        <v>349</v>
      </c>
      <c r="B49" s="43">
        <v>10161</v>
      </c>
      <c r="C49" s="34">
        <v>2</v>
      </c>
      <c r="D49" s="43">
        <v>1</v>
      </c>
      <c r="E49" s="48" t="s">
        <v>139</v>
      </c>
      <c r="F49" s="26" t="s">
        <v>59</v>
      </c>
      <c r="G49" s="48">
        <f t="shared" si="0"/>
        <v>88</v>
      </c>
      <c r="H49" s="26" t="s">
        <v>59</v>
      </c>
      <c r="I49" s="26" t="s">
        <v>59</v>
      </c>
      <c r="J49" s="48" t="s">
        <v>59</v>
      </c>
      <c r="K49" s="26" t="s">
        <v>59</v>
      </c>
      <c r="L49" s="26" t="s">
        <v>59</v>
      </c>
      <c r="M49" s="26" t="s">
        <v>59</v>
      </c>
      <c r="N49" s="26" t="s">
        <v>59</v>
      </c>
      <c r="O49" s="26" t="s">
        <v>59</v>
      </c>
      <c r="P49" s="26" t="s">
        <v>59</v>
      </c>
      <c r="Q49" s="48" t="s">
        <v>59</v>
      </c>
      <c r="R49" s="48" t="s">
        <v>59</v>
      </c>
      <c r="S49" s="48" t="s">
        <v>59</v>
      </c>
      <c r="T49" s="48" t="s">
        <v>59</v>
      </c>
      <c r="U49" s="48">
        <v>44</v>
      </c>
      <c r="V49" s="48">
        <v>44</v>
      </c>
      <c r="W49" s="48" t="s">
        <v>59</v>
      </c>
      <c r="X49" s="48" t="s">
        <v>59</v>
      </c>
      <c r="Y49" s="69">
        <v>8.5</v>
      </c>
      <c r="Z49" s="69">
        <v>1.9</v>
      </c>
      <c r="AA49" s="69" t="s">
        <v>61</v>
      </c>
      <c r="AB49" s="69" t="s">
        <v>61</v>
      </c>
      <c r="AC49" s="69" t="s">
        <v>61</v>
      </c>
      <c r="AD49" s="69">
        <v>8.3000000000000007</v>
      </c>
      <c r="AE49" s="69">
        <v>1.7</v>
      </c>
      <c r="AF49" s="69" t="s">
        <v>61</v>
      </c>
      <c r="AG49" s="69" t="s">
        <v>61</v>
      </c>
      <c r="AH49" s="69" t="s">
        <v>61</v>
      </c>
      <c r="AI49" s="69" t="s">
        <v>59</v>
      </c>
      <c r="AJ49" s="69" t="s">
        <v>59</v>
      </c>
      <c r="AK49" s="69" t="s">
        <v>59</v>
      </c>
      <c r="AL49" s="69" t="s">
        <v>59</v>
      </c>
      <c r="AM49" s="69" t="s">
        <v>59</v>
      </c>
      <c r="AN49" s="69" t="s">
        <v>59</v>
      </c>
      <c r="AO49" s="69" t="s">
        <v>59</v>
      </c>
      <c r="AP49" s="69" t="s">
        <v>59</v>
      </c>
      <c r="AQ49" s="69" t="s">
        <v>59</v>
      </c>
      <c r="AR49" s="69" t="s">
        <v>59</v>
      </c>
      <c r="AS49" s="69">
        <v>0.7</v>
      </c>
      <c r="AT49" s="69" t="s">
        <v>64</v>
      </c>
      <c r="AU49" s="69" t="s">
        <v>59</v>
      </c>
      <c r="AV49" s="69" t="s">
        <v>59</v>
      </c>
      <c r="AW49" s="69" t="s">
        <v>59</v>
      </c>
      <c r="AX49" s="69" t="s">
        <v>59</v>
      </c>
      <c r="AY49" s="215">
        <v>44</v>
      </c>
      <c r="AZ49" s="215">
        <v>44</v>
      </c>
      <c r="BA49" s="215" t="s">
        <v>59</v>
      </c>
      <c r="BB49" s="215" t="s">
        <v>59</v>
      </c>
      <c r="BC49" s="69">
        <v>8.4</v>
      </c>
      <c r="BD49" s="69">
        <v>2</v>
      </c>
      <c r="BE49" s="69" t="s">
        <v>61</v>
      </c>
      <c r="BF49" s="48">
        <v>0</v>
      </c>
      <c r="BG49" s="48">
        <v>1</v>
      </c>
      <c r="BH49" s="69" t="s">
        <v>61</v>
      </c>
      <c r="BI49" s="69" t="s">
        <v>61</v>
      </c>
      <c r="BJ49" s="69">
        <v>0</v>
      </c>
      <c r="BK49" s="69">
        <v>1.8</v>
      </c>
      <c r="BL49" s="69" t="s">
        <v>61</v>
      </c>
      <c r="BM49" s="69" t="s">
        <v>61</v>
      </c>
      <c r="BN49" s="69" t="s">
        <v>61</v>
      </c>
      <c r="BO49" s="69" t="s">
        <v>61</v>
      </c>
      <c r="BP49" s="69">
        <v>7.4</v>
      </c>
      <c r="BQ49" s="69">
        <v>1.2</v>
      </c>
      <c r="BR49" s="69" t="s">
        <v>61</v>
      </c>
      <c r="BS49" s="26">
        <v>0</v>
      </c>
      <c r="BT49" s="26">
        <v>1</v>
      </c>
      <c r="BU49" s="69" t="s">
        <v>61</v>
      </c>
      <c r="BV49" s="69" t="s">
        <v>61</v>
      </c>
      <c r="BW49" s="69">
        <v>-0.9</v>
      </c>
      <c r="BX49" s="69">
        <v>1.6</v>
      </c>
      <c r="BY49" s="69" t="s">
        <v>61</v>
      </c>
      <c r="BZ49" s="69" t="s">
        <v>61</v>
      </c>
      <c r="CA49" s="69" t="s">
        <v>61</v>
      </c>
      <c r="CB49" s="69" t="s">
        <v>162</v>
      </c>
      <c r="CC49" s="69" t="s">
        <v>59</v>
      </c>
      <c r="CD49" s="69" t="s">
        <v>59</v>
      </c>
      <c r="CE49" s="69" t="s">
        <v>59</v>
      </c>
      <c r="CF49" s="69"/>
      <c r="CG49" s="69"/>
      <c r="CH49" s="69" t="s">
        <v>59</v>
      </c>
      <c r="CI49" s="69" t="s">
        <v>59</v>
      </c>
      <c r="CJ49" s="69" t="s">
        <v>59</v>
      </c>
      <c r="CK49" s="69" t="s">
        <v>59</v>
      </c>
      <c r="CL49" s="69" t="s">
        <v>59</v>
      </c>
      <c r="CM49" s="69" t="s">
        <v>59</v>
      </c>
      <c r="CN49" s="69" t="s">
        <v>59</v>
      </c>
      <c r="CO49" s="69" t="s">
        <v>59</v>
      </c>
      <c r="CP49" s="69" t="s">
        <v>59</v>
      </c>
      <c r="CQ49" s="69" t="s">
        <v>59</v>
      </c>
      <c r="CR49" s="69" t="s">
        <v>59</v>
      </c>
      <c r="CS49" s="69"/>
      <c r="CT49" s="69"/>
      <c r="CU49" s="69" t="s">
        <v>59</v>
      </c>
      <c r="CV49" s="69" t="s">
        <v>59</v>
      </c>
      <c r="CW49" s="69" t="s">
        <v>59</v>
      </c>
      <c r="CX49" s="69" t="s">
        <v>59</v>
      </c>
      <c r="CY49" s="69" t="s">
        <v>59</v>
      </c>
      <c r="CZ49" s="69" t="s">
        <v>59</v>
      </c>
      <c r="DA49" s="69" t="s">
        <v>59</v>
      </c>
      <c r="DB49" s="69" t="s">
        <v>59</v>
      </c>
      <c r="DC49" s="69">
        <v>6</v>
      </c>
      <c r="DD49" s="55"/>
      <c r="DE49" s="43"/>
      <c r="DF49" s="43"/>
      <c r="DG49" s="43"/>
      <c r="DH49" s="43"/>
      <c r="DI49" s="43"/>
      <c r="DJ49" s="43"/>
    </row>
    <row r="50" spans="1:114">
      <c r="A50" s="49" t="s">
        <v>329</v>
      </c>
      <c r="B50" s="43">
        <v>9017</v>
      </c>
      <c r="C50" s="34">
        <v>2</v>
      </c>
      <c r="D50" s="43">
        <v>1</v>
      </c>
      <c r="E50" s="48" t="s">
        <v>139</v>
      </c>
      <c r="F50" s="26" t="s">
        <v>59</v>
      </c>
      <c r="G50" s="48">
        <f t="shared" si="0"/>
        <v>211</v>
      </c>
      <c r="H50" s="26" t="s">
        <v>59</v>
      </c>
      <c r="I50" s="26" t="s">
        <v>59</v>
      </c>
      <c r="J50" s="48" t="s">
        <v>59</v>
      </c>
      <c r="K50" s="26" t="s">
        <v>59</v>
      </c>
      <c r="L50" s="26" t="s">
        <v>59</v>
      </c>
      <c r="M50" s="26" t="s">
        <v>59</v>
      </c>
      <c r="N50" s="26" t="s">
        <v>59</v>
      </c>
      <c r="O50" s="26" t="s">
        <v>59</v>
      </c>
      <c r="P50" s="26" t="s">
        <v>59</v>
      </c>
      <c r="Q50" s="48" t="s">
        <v>59</v>
      </c>
      <c r="R50" s="48" t="s">
        <v>59</v>
      </c>
      <c r="S50" s="48" t="s">
        <v>59</v>
      </c>
      <c r="T50" s="48" t="s">
        <v>59</v>
      </c>
      <c r="U50" s="48">
        <v>108</v>
      </c>
      <c r="V50" s="48">
        <v>106</v>
      </c>
      <c r="W50" s="48" t="s">
        <v>59</v>
      </c>
      <c r="X50" s="48" t="s">
        <v>59</v>
      </c>
      <c r="Y50" s="48">
        <v>8</v>
      </c>
      <c r="Z50" s="48">
        <v>1.9</v>
      </c>
      <c r="AA50" s="48" t="s">
        <v>61</v>
      </c>
      <c r="AB50" s="48" t="s">
        <v>61</v>
      </c>
      <c r="AC50" s="48" t="s">
        <v>61</v>
      </c>
      <c r="AD50" s="48">
        <v>8.1</v>
      </c>
      <c r="AE50" s="48">
        <v>2</v>
      </c>
      <c r="AF50" s="48" t="s">
        <v>61</v>
      </c>
      <c r="AG50" s="48" t="s">
        <v>61</v>
      </c>
      <c r="AH50" s="48" t="s">
        <v>61</v>
      </c>
      <c r="AI50" s="48" t="s">
        <v>59</v>
      </c>
      <c r="AJ50" s="48" t="s">
        <v>59</v>
      </c>
      <c r="AK50" s="48" t="s">
        <v>59</v>
      </c>
      <c r="AL50" s="48" t="s">
        <v>59</v>
      </c>
      <c r="AM50" s="48" t="s">
        <v>59</v>
      </c>
      <c r="AN50" s="48" t="s">
        <v>59</v>
      </c>
      <c r="AO50" s="48" t="s">
        <v>59</v>
      </c>
      <c r="AP50" s="48" t="s">
        <v>59</v>
      </c>
      <c r="AQ50" s="48" t="s">
        <v>59</v>
      </c>
      <c r="AR50" s="48" t="s">
        <v>59</v>
      </c>
      <c r="AS50" s="48" t="s">
        <v>61</v>
      </c>
      <c r="AT50" s="48" t="s">
        <v>64</v>
      </c>
      <c r="AU50" s="48" t="s">
        <v>59</v>
      </c>
      <c r="AV50" s="48" t="s">
        <v>59</v>
      </c>
      <c r="AW50" s="48" t="s">
        <v>59</v>
      </c>
      <c r="AX50" s="48" t="s">
        <v>59</v>
      </c>
      <c r="AY50" s="73">
        <v>106</v>
      </c>
      <c r="AZ50" s="73">
        <v>105</v>
      </c>
      <c r="BA50" s="73" t="s">
        <v>59</v>
      </c>
      <c r="BB50" s="73" t="s">
        <v>59</v>
      </c>
      <c r="BC50" s="48">
        <v>7.81</v>
      </c>
      <c r="BD50" s="48">
        <v>1.9</v>
      </c>
      <c r="BE50" s="48" t="s">
        <v>61</v>
      </c>
      <c r="BF50" s="48">
        <v>0</v>
      </c>
      <c r="BG50" s="48">
        <v>1</v>
      </c>
      <c r="BH50" s="48" t="s">
        <v>61</v>
      </c>
      <c r="BI50" s="48" t="s">
        <v>61</v>
      </c>
      <c r="BJ50" s="48">
        <v>-0.23</v>
      </c>
      <c r="BK50" s="48" t="s">
        <v>61</v>
      </c>
      <c r="BL50" s="48" t="s">
        <v>61</v>
      </c>
      <c r="BM50" s="48" t="s">
        <v>61</v>
      </c>
      <c r="BN50" s="48" t="s">
        <v>61</v>
      </c>
      <c r="BO50" s="48" t="s">
        <v>61</v>
      </c>
      <c r="BP50" s="48">
        <v>7.33</v>
      </c>
      <c r="BQ50" s="48">
        <v>1.21</v>
      </c>
      <c r="BR50" s="48" t="s">
        <v>61</v>
      </c>
      <c r="BS50" s="26">
        <v>0</v>
      </c>
      <c r="BT50" s="26">
        <v>1</v>
      </c>
      <c r="BU50" s="48" t="s">
        <v>61</v>
      </c>
      <c r="BV50" s="48" t="s">
        <v>61</v>
      </c>
      <c r="BW50" s="48">
        <v>-0.81</v>
      </c>
      <c r="BX50" s="48" t="s">
        <v>61</v>
      </c>
      <c r="BY50" s="48" t="s">
        <v>61</v>
      </c>
      <c r="BZ50" s="48" t="s">
        <v>61</v>
      </c>
      <c r="CA50" s="48" t="s">
        <v>61</v>
      </c>
      <c r="CB50" s="48" t="s">
        <v>61</v>
      </c>
      <c r="CC50" s="48" t="s">
        <v>59</v>
      </c>
      <c r="CD50" s="48" t="s">
        <v>59</v>
      </c>
      <c r="CE50" s="48" t="s">
        <v>59</v>
      </c>
      <c r="CF50" s="48"/>
      <c r="CG50" s="48"/>
      <c r="CH50" s="48" t="s">
        <v>59</v>
      </c>
      <c r="CI50" s="48" t="s">
        <v>59</v>
      </c>
      <c r="CJ50" s="48" t="s">
        <v>59</v>
      </c>
      <c r="CK50" s="48" t="s">
        <v>59</v>
      </c>
      <c r="CL50" s="48" t="s">
        <v>59</v>
      </c>
      <c r="CM50" s="48" t="s">
        <v>59</v>
      </c>
      <c r="CN50" s="48" t="s">
        <v>59</v>
      </c>
      <c r="CO50" s="48" t="s">
        <v>59</v>
      </c>
      <c r="CP50" s="48" t="s">
        <v>59</v>
      </c>
      <c r="CQ50" s="48" t="s">
        <v>59</v>
      </c>
      <c r="CR50" s="48" t="s">
        <v>59</v>
      </c>
      <c r="CS50" s="48"/>
      <c r="CT50" s="48"/>
      <c r="CU50" s="48" t="s">
        <v>59</v>
      </c>
      <c r="CV50" s="48" t="s">
        <v>59</v>
      </c>
      <c r="CW50" s="48" t="s">
        <v>59</v>
      </c>
      <c r="CX50" s="48" t="s">
        <v>59</v>
      </c>
      <c r="CY50" s="48" t="s">
        <v>59</v>
      </c>
      <c r="CZ50" s="48" t="s">
        <v>59</v>
      </c>
      <c r="DA50" s="48" t="s">
        <v>59</v>
      </c>
      <c r="DB50" s="48" t="s">
        <v>59</v>
      </c>
      <c r="DC50" s="48">
        <v>12</v>
      </c>
      <c r="DD50" s="55"/>
      <c r="DE50" s="43"/>
      <c r="DF50" s="43"/>
      <c r="DG50" s="43"/>
      <c r="DH50" s="43"/>
      <c r="DI50" s="43"/>
      <c r="DJ50" s="43"/>
    </row>
    <row r="51" spans="1:114" ht="14">
      <c r="A51" s="49" t="s">
        <v>421</v>
      </c>
      <c r="B51" s="43">
        <v>12481</v>
      </c>
      <c r="C51" s="34">
        <v>2</v>
      </c>
      <c r="D51" s="43">
        <v>1</v>
      </c>
      <c r="E51" s="48" t="s">
        <v>139</v>
      </c>
      <c r="F51" s="26" t="s">
        <v>59</v>
      </c>
      <c r="G51" s="48">
        <f t="shared" si="0"/>
        <v>138</v>
      </c>
      <c r="H51" s="26" t="s">
        <v>59</v>
      </c>
      <c r="I51" s="26" t="s">
        <v>59</v>
      </c>
      <c r="J51" s="48" t="s">
        <v>59</v>
      </c>
      <c r="K51" s="26" t="s">
        <v>59</v>
      </c>
      <c r="L51" s="26" t="s">
        <v>59</v>
      </c>
      <c r="M51" s="26" t="s">
        <v>59</v>
      </c>
      <c r="N51" s="26" t="s">
        <v>59</v>
      </c>
      <c r="O51" s="26" t="s">
        <v>59</v>
      </c>
      <c r="P51" s="26" t="s">
        <v>59</v>
      </c>
      <c r="Q51" s="48" t="s">
        <v>59</v>
      </c>
      <c r="R51" s="48" t="s">
        <v>59</v>
      </c>
      <c r="S51" s="48" t="s">
        <v>59</v>
      </c>
      <c r="T51" s="48" t="s">
        <v>59</v>
      </c>
      <c r="U51" s="48">
        <v>75</v>
      </c>
      <c r="V51" s="48">
        <v>75</v>
      </c>
      <c r="W51" s="48" t="s">
        <v>59</v>
      </c>
      <c r="X51" s="48" t="s">
        <v>59</v>
      </c>
      <c r="Y51" s="69">
        <v>8.69</v>
      </c>
      <c r="Z51" s="69">
        <v>1.74</v>
      </c>
      <c r="AA51" s="69" t="s">
        <v>61</v>
      </c>
      <c r="AB51" s="69" t="s">
        <v>61</v>
      </c>
      <c r="AC51" s="69" t="s">
        <v>61</v>
      </c>
      <c r="AD51" s="69">
        <v>8.86</v>
      </c>
      <c r="AE51" s="69">
        <v>1.66</v>
      </c>
      <c r="AF51" s="69" t="s">
        <v>61</v>
      </c>
      <c r="AG51" s="69" t="s">
        <v>61</v>
      </c>
      <c r="AH51" s="69" t="s">
        <v>61</v>
      </c>
      <c r="AI51" s="69" t="s">
        <v>59</v>
      </c>
      <c r="AJ51" s="69" t="s">
        <v>59</v>
      </c>
      <c r="AK51" s="69" t="s">
        <v>59</v>
      </c>
      <c r="AL51" s="69" t="s">
        <v>59</v>
      </c>
      <c r="AM51" s="69" t="s">
        <v>59</v>
      </c>
      <c r="AN51" s="69" t="s">
        <v>59</v>
      </c>
      <c r="AO51" s="69" t="s">
        <v>59</v>
      </c>
      <c r="AP51" s="69" t="s">
        <v>59</v>
      </c>
      <c r="AQ51" s="69" t="s">
        <v>59</v>
      </c>
      <c r="AR51" s="69" t="s">
        <v>59</v>
      </c>
      <c r="AS51" s="69" t="s">
        <v>61</v>
      </c>
      <c r="AT51" s="69" t="s">
        <v>64</v>
      </c>
      <c r="AU51" s="69" t="s">
        <v>59</v>
      </c>
      <c r="AV51" s="69" t="s">
        <v>59</v>
      </c>
      <c r="AW51" s="69" t="s">
        <v>59</v>
      </c>
      <c r="AX51" s="69" t="s">
        <v>59</v>
      </c>
      <c r="AY51" s="215">
        <v>68</v>
      </c>
      <c r="AZ51" s="215">
        <v>70</v>
      </c>
      <c r="BA51" s="215" t="s">
        <v>59</v>
      </c>
      <c r="BB51" s="215" t="s">
        <v>59</v>
      </c>
      <c r="BC51" s="69">
        <v>7.98</v>
      </c>
      <c r="BD51" s="69">
        <v>1.95</v>
      </c>
      <c r="BE51" s="69" t="s">
        <v>61</v>
      </c>
      <c r="BF51" s="48">
        <v>0</v>
      </c>
      <c r="BG51" s="48">
        <v>1</v>
      </c>
      <c r="BH51" s="69" t="s">
        <v>61</v>
      </c>
      <c r="BI51" s="69" t="s">
        <v>61</v>
      </c>
      <c r="BJ51" s="69" t="s">
        <v>61</v>
      </c>
      <c r="BK51" s="69" t="s">
        <v>61</v>
      </c>
      <c r="BL51" s="69" t="s">
        <v>61</v>
      </c>
      <c r="BM51" s="69" t="s">
        <v>61</v>
      </c>
      <c r="BN51" s="69" t="s">
        <v>61</v>
      </c>
      <c r="BO51" s="69" t="s">
        <v>61</v>
      </c>
      <c r="BP51" s="69">
        <v>7.13</v>
      </c>
      <c r="BQ51" s="69">
        <v>1.22</v>
      </c>
      <c r="BR51" s="69" t="s">
        <v>61</v>
      </c>
      <c r="BS51" s="26">
        <v>0</v>
      </c>
      <c r="BT51" s="26">
        <v>1</v>
      </c>
      <c r="BU51" s="69" t="s">
        <v>61</v>
      </c>
      <c r="BV51" s="69" t="s">
        <v>61</v>
      </c>
      <c r="BW51" s="69" t="s">
        <v>61</v>
      </c>
      <c r="BX51" s="69" t="s">
        <v>61</v>
      </c>
      <c r="BY51" s="69" t="s">
        <v>61</v>
      </c>
      <c r="BZ51" s="69" t="s">
        <v>61</v>
      </c>
      <c r="CA51" s="69" t="s">
        <v>61</v>
      </c>
      <c r="CB51" s="69" t="s">
        <v>162</v>
      </c>
      <c r="CC51" s="69" t="s">
        <v>59</v>
      </c>
      <c r="CD51" s="69" t="s">
        <v>59</v>
      </c>
      <c r="CE51" s="69" t="s">
        <v>59</v>
      </c>
      <c r="CF51" s="69"/>
      <c r="CG51" s="69"/>
      <c r="CH51" s="69" t="s">
        <v>59</v>
      </c>
      <c r="CI51" s="69" t="s">
        <v>59</v>
      </c>
      <c r="CJ51" s="69" t="s">
        <v>59</v>
      </c>
      <c r="CK51" s="69" t="s">
        <v>59</v>
      </c>
      <c r="CL51" s="69" t="s">
        <v>59</v>
      </c>
      <c r="CM51" s="69" t="s">
        <v>59</v>
      </c>
      <c r="CN51" s="69" t="s">
        <v>59</v>
      </c>
      <c r="CO51" s="69" t="s">
        <v>59</v>
      </c>
      <c r="CP51" s="69" t="s">
        <v>59</v>
      </c>
      <c r="CQ51" s="69" t="s">
        <v>59</v>
      </c>
      <c r="CR51" s="69" t="s">
        <v>59</v>
      </c>
      <c r="CS51" s="69"/>
      <c r="CT51" s="69"/>
      <c r="CU51" s="69" t="s">
        <v>59</v>
      </c>
      <c r="CV51" s="69" t="s">
        <v>59</v>
      </c>
      <c r="CW51" s="69" t="s">
        <v>59</v>
      </c>
      <c r="CX51" s="69" t="s">
        <v>59</v>
      </c>
      <c r="CY51" s="69" t="s">
        <v>59</v>
      </c>
      <c r="CZ51" s="69" t="s">
        <v>59</v>
      </c>
      <c r="DA51" s="69" t="s">
        <v>59</v>
      </c>
      <c r="DB51" s="69" t="s">
        <v>59</v>
      </c>
      <c r="DC51" s="69">
        <v>84</v>
      </c>
      <c r="DD51" s="55"/>
      <c r="DE51" s="43"/>
      <c r="DF51" s="43"/>
      <c r="DG51" s="43"/>
      <c r="DH51" s="43"/>
      <c r="DI51" s="43"/>
      <c r="DJ51" s="43"/>
    </row>
    <row r="52" spans="1:114" ht="14">
      <c r="A52" s="49" t="s">
        <v>431</v>
      </c>
      <c r="B52" s="43">
        <v>120041</v>
      </c>
      <c r="C52" s="34">
        <v>2</v>
      </c>
      <c r="D52" s="43">
        <v>1</v>
      </c>
      <c r="E52" s="48" t="s">
        <v>139</v>
      </c>
      <c r="F52" s="26" t="s">
        <v>59</v>
      </c>
      <c r="G52" s="48">
        <f t="shared" si="0"/>
        <v>55</v>
      </c>
      <c r="H52" s="26" t="s">
        <v>59</v>
      </c>
      <c r="I52" s="26" t="s">
        <v>59</v>
      </c>
      <c r="J52" s="48" t="s">
        <v>59</v>
      </c>
      <c r="K52" s="26" t="s">
        <v>59</v>
      </c>
      <c r="L52" s="26" t="s">
        <v>59</v>
      </c>
      <c r="M52" s="26" t="s">
        <v>59</v>
      </c>
      <c r="N52" s="26" t="s">
        <v>59</v>
      </c>
      <c r="O52" s="26" t="s">
        <v>59</v>
      </c>
      <c r="P52" s="26" t="s">
        <v>59</v>
      </c>
      <c r="Q52" s="48" t="s">
        <v>59</v>
      </c>
      <c r="R52" s="48" t="s">
        <v>59</v>
      </c>
      <c r="S52" s="48" t="s">
        <v>59</v>
      </c>
      <c r="T52" s="48" t="s">
        <v>59</v>
      </c>
      <c r="U52" s="48">
        <v>29</v>
      </c>
      <c r="V52" s="48">
        <v>28</v>
      </c>
      <c r="W52" s="48" t="s">
        <v>59</v>
      </c>
      <c r="X52" s="48" t="s">
        <v>59</v>
      </c>
      <c r="Y52" s="69">
        <v>8.5299999999999994</v>
      </c>
      <c r="Z52" s="69">
        <v>1.18</v>
      </c>
      <c r="AA52" s="69" t="s">
        <v>61</v>
      </c>
      <c r="AB52" s="69" t="s">
        <v>61</v>
      </c>
      <c r="AC52" s="69" t="s">
        <v>61</v>
      </c>
      <c r="AD52" s="69">
        <v>8.56</v>
      </c>
      <c r="AE52" s="69">
        <v>1.1399999999999999</v>
      </c>
      <c r="AF52" s="69" t="s">
        <v>61</v>
      </c>
      <c r="AG52" s="69" t="s">
        <v>61</v>
      </c>
      <c r="AH52" s="69" t="s">
        <v>61</v>
      </c>
      <c r="AI52" s="69" t="s">
        <v>59</v>
      </c>
      <c r="AJ52" s="69" t="s">
        <v>59</v>
      </c>
      <c r="AK52" s="69" t="s">
        <v>59</v>
      </c>
      <c r="AL52" s="69" t="s">
        <v>59</v>
      </c>
      <c r="AM52" s="69" t="s">
        <v>59</v>
      </c>
      <c r="AN52" s="69" t="s">
        <v>59</v>
      </c>
      <c r="AO52" s="69" t="s">
        <v>59</v>
      </c>
      <c r="AP52" s="69" t="s">
        <v>59</v>
      </c>
      <c r="AQ52" s="69" t="s">
        <v>59</v>
      </c>
      <c r="AR52" s="69" t="s">
        <v>59</v>
      </c>
      <c r="AS52" s="69" t="s">
        <v>61</v>
      </c>
      <c r="AT52" s="69" t="s">
        <v>64</v>
      </c>
      <c r="AU52" s="69" t="s">
        <v>59</v>
      </c>
      <c r="AV52" s="69" t="s">
        <v>59</v>
      </c>
      <c r="AW52" s="69" t="s">
        <v>59</v>
      </c>
      <c r="AX52" s="69" t="s">
        <v>59</v>
      </c>
      <c r="AY52" s="215">
        <v>27</v>
      </c>
      <c r="AZ52" s="215">
        <v>28</v>
      </c>
      <c r="BA52" s="215" t="s">
        <v>59</v>
      </c>
      <c r="BB52" s="215" t="s">
        <v>59</v>
      </c>
      <c r="BC52" s="69">
        <v>8.84</v>
      </c>
      <c r="BD52" s="69">
        <v>1.38</v>
      </c>
      <c r="BE52" s="69" t="s">
        <v>61</v>
      </c>
      <c r="BF52" s="48">
        <v>0</v>
      </c>
      <c r="BG52" s="48">
        <v>1</v>
      </c>
      <c r="BH52" s="69" t="s">
        <v>61</v>
      </c>
      <c r="BI52" s="69" t="s">
        <v>61</v>
      </c>
      <c r="BJ52" s="69">
        <v>-0.31</v>
      </c>
      <c r="BK52" s="69">
        <v>1.43</v>
      </c>
      <c r="BL52" s="69" t="s">
        <v>61</v>
      </c>
      <c r="BM52" s="69" t="s">
        <v>61</v>
      </c>
      <c r="BN52" s="69" t="s">
        <v>61</v>
      </c>
      <c r="BO52" s="69" t="s">
        <v>61</v>
      </c>
      <c r="BP52" s="69">
        <v>8.7100000000000009</v>
      </c>
      <c r="BQ52" s="69">
        <v>1.25</v>
      </c>
      <c r="BR52" s="69" t="s">
        <v>61</v>
      </c>
      <c r="BS52" s="26">
        <v>0</v>
      </c>
      <c r="BT52" s="26">
        <v>1</v>
      </c>
      <c r="BU52" s="69" t="s">
        <v>61</v>
      </c>
      <c r="BV52" s="69" t="s">
        <v>61</v>
      </c>
      <c r="BW52" s="69">
        <v>-0.15</v>
      </c>
      <c r="BX52" s="69">
        <v>1.1599999999999999</v>
      </c>
      <c r="BY52" s="69" t="s">
        <v>61</v>
      </c>
      <c r="BZ52" s="69" t="s">
        <v>61</v>
      </c>
      <c r="CA52" s="69" t="s">
        <v>61</v>
      </c>
      <c r="CB52" s="69" t="s">
        <v>61</v>
      </c>
      <c r="CC52" s="69" t="s">
        <v>59</v>
      </c>
      <c r="CD52" s="69" t="s">
        <v>59</v>
      </c>
      <c r="CE52" s="69" t="s">
        <v>59</v>
      </c>
      <c r="CF52" s="69"/>
      <c r="CG52" s="69"/>
      <c r="CH52" s="69" t="s">
        <v>59</v>
      </c>
      <c r="CI52" s="69" t="s">
        <v>59</v>
      </c>
      <c r="CJ52" s="69" t="s">
        <v>59</v>
      </c>
      <c r="CK52" s="69" t="s">
        <v>59</v>
      </c>
      <c r="CL52" s="69" t="s">
        <v>59</v>
      </c>
      <c r="CM52" s="69" t="s">
        <v>59</v>
      </c>
      <c r="CN52" s="69" t="s">
        <v>59</v>
      </c>
      <c r="CO52" s="69" t="s">
        <v>59</v>
      </c>
      <c r="CP52" s="69" t="s">
        <v>59</v>
      </c>
      <c r="CQ52" s="69" t="s">
        <v>59</v>
      </c>
      <c r="CR52" s="69" t="s">
        <v>59</v>
      </c>
      <c r="CS52" s="69"/>
      <c r="CT52" s="69"/>
      <c r="CU52" s="69" t="s">
        <v>59</v>
      </c>
      <c r="CV52" s="69" t="s">
        <v>59</v>
      </c>
      <c r="CW52" s="69" t="s">
        <v>59</v>
      </c>
      <c r="CX52" s="69" t="s">
        <v>59</v>
      </c>
      <c r="CY52" s="69" t="s">
        <v>59</v>
      </c>
      <c r="CZ52" s="69" t="s">
        <v>59</v>
      </c>
      <c r="DA52" s="69" t="s">
        <v>59</v>
      </c>
      <c r="DB52" s="69" t="s">
        <v>59</v>
      </c>
      <c r="DC52" s="69">
        <v>6</v>
      </c>
      <c r="DD52" s="55"/>
      <c r="DE52" s="43"/>
      <c r="DF52" s="43"/>
      <c r="DG52" s="43"/>
      <c r="DH52" s="43"/>
      <c r="DI52" s="43"/>
      <c r="DJ52" s="43"/>
    </row>
    <row r="53" spans="1:114">
      <c r="A53" s="43" t="s">
        <v>365</v>
      </c>
      <c r="B53" s="43">
        <v>10313</v>
      </c>
      <c r="C53" s="34">
        <v>2</v>
      </c>
      <c r="D53" s="43">
        <v>1</v>
      </c>
      <c r="E53" s="48" t="s">
        <v>139</v>
      </c>
      <c r="F53" s="26" t="s">
        <v>59</v>
      </c>
      <c r="G53" s="48">
        <f t="shared" si="0"/>
        <v>95</v>
      </c>
      <c r="H53" s="26" t="s">
        <v>59</v>
      </c>
      <c r="I53" s="26" t="s">
        <v>59</v>
      </c>
      <c r="J53" s="48" t="s">
        <v>59</v>
      </c>
      <c r="K53" s="26" t="s">
        <v>59</v>
      </c>
      <c r="L53" s="26" t="s">
        <v>59</v>
      </c>
      <c r="M53" s="26" t="s">
        <v>59</v>
      </c>
      <c r="N53" s="26" t="s">
        <v>59</v>
      </c>
      <c r="O53" s="26" t="s">
        <v>59</v>
      </c>
      <c r="P53" s="26" t="s">
        <v>59</v>
      </c>
      <c r="Q53" s="48" t="s">
        <v>59</v>
      </c>
      <c r="R53" s="48" t="s">
        <v>59</v>
      </c>
      <c r="S53" s="48" t="s">
        <v>59</v>
      </c>
      <c r="T53" s="48" t="s">
        <v>59</v>
      </c>
      <c r="U53" s="48">
        <v>48</v>
      </c>
      <c r="V53" s="48">
        <v>47</v>
      </c>
      <c r="W53" s="48" t="s">
        <v>59</v>
      </c>
      <c r="X53" s="48" t="s">
        <v>59</v>
      </c>
      <c r="Y53" s="48">
        <v>7.61</v>
      </c>
      <c r="Z53" s="48">
        <v>1.65</v>
      </c>
      <c r="AA53" s="48" t="s">
        <v>61</v>
      </c>
      <c r="AB53" s="48" t="s">
        <v>61</v>
      </c>
      <c r="AC53" s="48" t="s">
        <v>61</v>
      </c>
      <c r="AD53" s="48">
        <v>7.63</v>
      </c>
      <c r="AE53" s="48">
        <v>1.53</v>
      </c>
      <c r="AF53" s="48" t="s">
        <v>61</v>
      </c>
      <c r="AG53" s="48" t="s">
        <v>61</v>
      </c>
      <c r="AH53" s="48" t="s">
        <v>61</v>
      </c>
      <c r="AI53" s="48" t="s">
        <v>59</v>
      </c>
      <c r="AJ53" s="48" t="s">
        <v>59</v>
      </c>
      <c r="AK53" s="48" t="s">
        <v>59</v>
      </c>
      <c r="AL53" s="48" t="s">
        <v>59</v>
      </c>
      <c r="AM53" s="48" t="s">
        <v>59</v>
      </c>
      <c r="AN53" s="48" t="s">
        <v>59</v>
      </c>
      <c r="AO53" s="48" t="s">
        <v>59</v>
      </c>
      <c r="AP53" s="48" t="s">
        <v>59</v>
      </c>
      <c r="AQ53" s="48" t="s">
        <v>59</v>
      </c>
      <c r="AR53" s="48" t="s">
        <v>59</v>
      </c>
      <c r="AS53" s="48">
        <v>0.68799999999999994</v>
      </c>
      <c r="AT53" s="48" t="s">
        <v>64</v>
      </c>
      <c r="AU53" s="48" t="s">
        <v>59</v>
      </c>
      <c r="AV53" s="48" t="s">
        <v>59</v>
      </c>
      <c r="AW53" s="48" t="s">
        <v>59</v>
      </c>
      <c r="AX53" s="48" t="s">
        <v>59</v>
      </c>
      <c r="AY53" s="73">
        <v>48</v>
      </c>
      <c r="AZ53" s="73">
        <v>47</v>
      </c>
      <c r="BA53" s="73" t="s">
        <v>59</v>
      </c>
      <c r="BB53" s="73" t="s">
        <v>59</v>
      </c>
      <c r="BC53" s="48">
        <v>7.43</v>
      </c>
      <c r="BD53" s="48">
        <v>1.49</v>
      </c>
      <c r="BE53" s="48" t="s">
        <v>59</v>
      </c>
      <c r="BF53" s="48">
        <v>0</v>
      </c>
      <c r="BG53" s="48">
        <v>1</v>
      </c>
      <c r="BH53" s="48" t="s">
        <v>59</v>
      </c>
      <c r="BI53" s="48" t="s">
        <v>59</v>
      </c>
      <c r="BJ53" s="48" t="s">
        <v>61</v>
      </c>
      <c r="BK53" s="48" t="s">
        <v>61</v>
      </c>
      <c r="BL53" s="48" t="s">
        <v>61</v>
      </c>
      <c r="BM53" s="48" t="s">
        <v>61</v>
      </c>
      <c r="BN53" s="48" t="s">
        <v>61</v>
      </c>
      <c r="BO53" s="48" t="s">
        <v>61</v>
      </c>
      <c r="BP53" s="48">
        <v>7.37</v>
      </c>
      <c r="BQ53" s="48">
        <v>1.27</v>
      </c>
      <c r="BR53" s="48" t="s">
        <v>61</v>
      </c>
      <c r="BS53" s="26">
        <v>0</v>
      </c>
      <c r="BT53" s="26">
        <v>1</v>
      </c>
      <c r="BU53" s="48" t="s">
        <v>61</v>
      </c>
      <c r="BV53" s="48" t="s">
        <v>61</v>
      </c>
      <c r="BW53" s="48" t="s">
        <v>61</v>
      </c>
      <c r="BX53" s="48" t="s">
        <v>61</v>
      </c>
      <c r="BY53" s="48" t="s">
        <v>61</v>
      </c>
      <c r="BZ53" s="48" t="s">
        <v>61</v>
      </c>
      <c r="CA53" s="48" t="s">
        <v>61</v>
      </c>
      <c r="CB53" s="48" t="s">
        <v>61</v>
      </c>
      <c r="CC53" s="48" t="s">
        <v>59</v>
      </c>
      <c r="CD53" s="48" t="s">
        <v>59</v>
      </c>
      <c r="CE53" s="48" t="s">
        <v>59</v>
      </c>
      <c r="CF53" s="48"/>
      <c r="CG53" s="48"/>
      <c r="CH53" s="48" t="s">
        <v>59</v>
      </c>
      <c r="CI53" s="48" t="s">
        <v>59</v>
      </c>
      <c r="CJ53" s="48" t="s">
        <v>59</v>
      </c>
      <c r="CK53" s="48" t="s">
        <v>59</v>
      </c>
      <c r="CL53" s="48" t="s">
        <v>59</v>
      </c>
      <c r="CM53" s="48" t="s">
        <v>59</v>
      </c>
      <c r="CN53" s="48" t="s">
        <v>59</v>
      </c>
      <c r="CO53" s="48" t="s">
        <v>59</v>
      </c>
      <c r="CP53" s="48" t="s">
        <v>59</v>
      </c>
      <c r="CQ53" s="48" t="s">
        <v>59</v>
      </c>
      <c r="CR53" s="48" t="s">
        <v>59</v>
      </c>
      <c r="CS53" s="48"/>
      <c r="CT53" s="48"/>
      <c r="CU53" s="48" t="s">
        <v>59</v>
      </c>
      <c r="CV53" s="48" t="s">
        <v>59</v>
      </c>
      <c r="CW53" s="48" t="s">
        <v>59</v>
      </c>
      <c r="CX53" s="48" t="s">
        <v>59</v>
      </c>
      <c r="CY53" s="48" t="s">
        <v>59</v>
      </c>
      <c r="CZ53" s="48" t="s">
        <v>59</v>
      </c>
      <c r="DA53" s="48" t="s">
        <v>59</v>
      </c>
      <c r="DB53" s="48" t="s">
        <v>59</v>
      </c>
      <c r="DC53" s="48">
        <v>6</v>
      </c>
      <c r="DD53" s="55"/>
      <c r="DE53" s="43"/>
      <c r="DF53" s="43"/>
      <c r="DG53" s="43"/>
      <c r="DH53" s="43"/>
      <c r="DI53" s="43"/>
      <c r="DJ53" s="43"/>
    </row>
    <row r="54" spans="1:114">
      <c r="A54" s="34" t="s">
        <v>225</v>
      </c>
      <c r="B54" s="34">
        <v>6106</v>
      </c>
      <c r="C54" s="34">
        <v>2</v>
      </c>
      <c r="D54" s="43">
        <v>1</v>
      </c>
      <c r="E54" s="26" t="s">
        <v>139</v>
      </c>
      <c r="F54" s="26" t="s">
        <v>59</v>
      </c>
      <c r="G54" s="48">
        <f t="shared" si="0"/>
        <v>31</v>
      </c>
      <c r="H54" s="26" t="s">
        <v>59</v>
      </c>
      <c r="I54" s="26" t="s">
        <v>60</v>
      </c>
      <c r="J54" s="26" t="s">
        <v>59</v>
      </c>
      <c r="K54" s="26" t="s">
        <v>59</v>
      </c>
      <c r="L54" s="26" t="s">
        <v>59</v>
      </c>
      <c r="M54" s="26" t="s">
        <v>59</v>
      </c>
      <c r="N54" s="26" t="s">
        <v>59</v>
      </c>
      <c r="O54" s="26" t="s">
        <v>59</v>
      </c>
      <c r="P54" s="26" t="s">
        <v>59</v>
      </c>
      <c r="Q54" s="26" t="s">
        <v>60</v>
      </c>
      <c r="R54" s="26" t="s">
        <v>60</v>
      </c>
      <c r="S54" s="26" t="s">
        <v>60</v>
      </c>
      <c r="T54" s="26" t="s">
        <v>60</v>
      </c>
      <c r="U54" s="26">
        <v>16</v>
      </c>
      <c r="V54" s="26">
        <v>15</v>
      </c>
      <c r="W54" s="26" t="s">
        <v>60</v>
      </c>
      <c r="X54" s="26" t="s">
        <v>60</v>
      </c>
      <c r="Y54" s="26">
        <v>8.8000000000000007</v>
      </c>
      <c r="Z54" s="26">
        <v>1.22</v>
      </c>
      <c r="AA54" s="26" t="s">
        <v>61</v>
      </c>
      <c r="AB54" s="26" t="s">
        <v>61</v>
      </c>
      <c r="AC54" s="27" t="s">
        <v>61</v>
      </c>
      <c r="AD54" s="26">
        <v>9.1</v>
      </c>
      <c r="AE54" s="26">
        <v>1.3</v>
      </c>
      <c r="AF54" s="26" t="s">
        <v>61</v>
      </c>
      <c r="AG54" s="26" t="s">
        <v>61</v>
      </c>
      <c r="AH54" s="27" t="s">
        <v>61</v>
      </c>
      <c r="AI54" s="26" t="s">
        <v>60</v>
      </c>
      <c r="AJ54" s="26" t="s">
        <v>60</v>
      </c>
      <c r="AK54" s="26" t="s">
        <v>59</v>
      </c>
      <c r="AL54" s="26" t="s">
        <v>59</v>
      </c>
      <c r="AM54" s="26" t="s">
        <v>59</v>
      </c>
      <c r="AN54" s="26" t="s">
        <v>60</v>
      </c>
      <c r="AO54" s="26" t="s">
        <v>60</v>
      </c>
      <c r="AP54" s="26" t="s">
        <v>59</v>
      </c>
      <c r="AQ54" s="26" t="s">
        <v>59</v>
      </c>
      <c r="AR54" s="26" t="s">
        <v>59</v>
      </c>
      <c r="AS54" s="26" t="s">
        <v>61</v>
      </c>
      <c r="AT54" s="26" t="s">
        <v>64</v>
      </c>
      <c r="AU54" s="26" t="s">
        <v>59</v>
      </c>
      <c r="AV54" s="26" t="s">
        <v>59</v>
      </c>
      <c r="AW54" s="26" t="s">
        <v>59</v>
      </c>
      <c r="AX54" s="26" t="s">
        <v>59</v>
      </c>
      <c r="AY54" s="186">
        <v>16</v>
      </c>
      <c r="AZ54" s="186">
        <v>15</v>
      </c>
      <c r="BA54" s="186" t="s">
        <v>60</v>
      </c>
      <c r="BB54" s="186" t="s">
        <v>60</v>
      </c>
      <c r="BC54" s="26">
        <v>8.1999999999999993</v>
      </c>
      <c r="BD54" s="26">
        <v>1.2</v>
      </c>
      <c r="BE54" s="26" t="s">
        <v>61</v>
      </c>
      <c r="BF54" s="48">
        <v>0</v>
      </c>
      <c r="BG54" s="48">
        <v>1</v>
      </c>
      <c r="BH54" s="27" t="s">
        <v>61</v>
      </c>
      <c r="BI54" s="27" t="s">
        <v>61</v>
      </c>
      <c r="BJ54" s="26" t="s">
        <v>61</v>
      </c>
      <c r="BK54" s="26" t="s">
        <v>61</v>
      </c>
      <c r="BL54" s="26" t="s">
        <v>61</v>
      </c>
      <c r="BM54" s="26" t="s">
        <v>61</v>
      </c>
      <c r="BN54" s="26" t="s">
        <v>61</v>
      </c>
      <c r="BO54" s="26" t="s">
        <v>61</v>
      </c>
      <c r="BP54" s="26">
        <v>7.8</v>
      </c>
      <c r="BQ54" s="26">
        <v>1.3</v>
      </c>
      <c r="BR54" s="26" t="s">
        <v>61</v>
      </c>
      <c r="BS54" s="26">
        <v>0</v>
      </c>
      <c r="BT54" s="26">
        <v>1</v>
      </c>
      <c r="BU54" s="27" t="s">
        <v>61</v>
      </c>
      <c r="BV54" s="27" t="s">
        <v>61</v>
      </c>
      <c r="BW54" s="26" t="s">
        <v>61</v>
      </c>
      <c r="BX54" s="26" t="s">
        <v>61</v>
      </c>
      <c r="BY54" s="27" t="s">
        <v>61</v>
      </c>
      <c r="BZ54" s="26" t="s">
        <v>61</v>
      </c>
      <c r="CA54" s="27" t="s">
        <v>61</v>
      </c>
      <c r="CB54" s="26" t="s">
        <v>61</v>
      </c>
      <c r="CC54" s="26" t="s">
        <v>60</v>
      </c>
      <c r="CD54" s="26" t="s">
        <v>60</v>
      </c>
      <c r="CE54" s="26" t="s">
        <v>59</v>
      </c>
      <c r="CF54" s="26"/>
      <c r="CG54" s="26"/>
      <c r="CH54" s="26" t="s">
        <v>59</v>
      </c>
      <c r="CI54" s="26" t="s">
        <v>59</v>
      </c>
      <c r="CJ54" s="26" t="s">
        <v>59</v>
      </c>
      <c r="CK54" s="26" t="s">
        <v>59</v>
      </c>
      <c r="CL54" s="26" t="s">
        <v>59</v>
      </c>
      <c r="CM54" s="26" t="s">
        <v>59</v>
      </c>
      <c r="CN54" s="26" t="s">
        <v>59</v>
      </c>
      <c r="CO54" s="26" t="s">
        <v>59</v>
      </c>
      <c r="CP54" s="26" t="s">
        <v>60</v>
      </c>
      <c r="CQ54" s="26" t="s">
        <v>59</v>
      </c>
      <c r="CR54" s="26" t="s">
        <v>59</v>
      </c>
      <c r="CS54" s="26"/>
      <c r="CT54" s="26"/>
      <c r="CU54" s="26" t="s">
        <v>59</v>
      </c>
      <c r="CV54" s="26" t="s">
        <v>59</v>
      </c>
      <c r="CW54" s="26" t="s">
        <v>59</v>
      </c>
      <c r="CX54" s="26" t="s">
        <v>59</v>
      </c>
      <c r="CY54" s="26" t="s">
        <v>59</v>
      </c>
      <c r="CZ54" s="26" t="s">
        <v>59</v>
      </c>
      <c r="DA54" s="26" t="s">
        <v>59</v>
      </c>
      <c r="DB54" s="26" t="s">
        <v>59</v>
      </c>
      <c r="DC54" s="26">
        <v>6</v>
      </c>
    </row>
    <row r="55" spans="1:114">
      <c r="A55" s="49" t="s">
        <v>340</v>
      </c>
      <c r="B55" s="43">
        <v>10023</v>
      </c>
      <c r="C55" s="34">
        <v>2</v>
      </c>
      <c r="D55" s="43">
        <v>1</v>
      </c>
      <c r="E55" s="48" t="s">
        <v>139</v>
      </c>
      <c r="F55" s="26" t="s">
        <v>59</v>
      </c>
      <c r="G55" s="48">
        <f t="shared" si="0"/>
        <v>263</v>
      </c>
      <c r="H55" s="26" t="s">
        <v>59</v>
      </c>
      <c r="I55" s="26" t="s">
        <v>59</v>
      </c>
      <c r="J55" s="48" t="s">
        <v>59</v>
      </c>
      <c r="K55" s="26" t="s">
        <v>59</v>
      </c>
      <c r="L55" s="26" t="s">
        <v>59</v>
      </c>
      <c r="M55" s="26" t="s">
        <v>59</v>
      </c>
      <c r="N55" s="26" t="s">
        <v>59</v>
      </c>
      <c r="O55" s="26" t="s">
        <v>59</v>
      </c>
      <c r="P55" s="26" t="s">
        <v>59</v>
      </c>
      <c r="Q55" s="48" t="s">
        <v>59</v>
      </c>
      <c r="R55" s="48" t="s">
        <v>59</v>
      </c>
      <c r="S55" s="48" t="s">
        <v>59</v>
      </c>
      <c r="T55" s="48" t="s">
        <v>59</v>
      </c>
      <c r="U55" s="48">
        <v>132</v>
      </c>
      <c r="V55" s="48">
        <v>131</v>
      </c>
      <c r="W55" s="48" t="s">
        <v>59</v>
      </c>
      <c r="X55" s="48" t="s">
        <v>59</v>
      </c>
      <c r="Y55" s="48">
        <v>7.5</v>
      </c>
      <c r="Z55" s="48">
        <v>1.7</v>
      </c>
      <c r="AA55" s="48" t="s">
        <v>61</v>
      </c>
      <c r="AB55" s="48" t="s">
        <v>61</v>
      </c>
      <c r="AC55" s="48" t="s">
        <v>61</v>
      </c>
      <c r="AD55" s="48">
        <v>7.7</v>
      </c>
      <c r="AE55" s="48">
        <v>2.2000000000000002</v>
      </c>
      <c r="AF55" s="48" t="s">
        <v>61</v>
      </c>
      <c r="AG55" s="48" t="s">
        <v>61</v>
      </c>
      <c r="AH55" s="48" t="s">
        <v>61</v>
      </c>
      <c r="AI55" s="48" t="s">
        <v>59</v>
      </c>
      <c r="AJ55" s="48" t="s">
        <v>59</v>
      </c>
      <c r="AK55" s="48" t="s">
        <v>59</v>
      </c>
      <c r="AL55" s="48" t="s">
        <v>59</v>
      </c>
      <c r="AM55" s="48" t="s">
        <v>59</v>
      </c>
      <c r="AN55" s="48" t="s">
        <v>59</v>
      </c>
      <c r="AO55" s="48" t="s">
        <v>59</v>
      </c>
      <c r="AP55" s="48" t="s">
        <v>59</v>
      </c>
      <c r="AQ55" s="48" t="s">
        <v>59</v>
      </c>
      <c r="AR55" s="48" t="s">
        <v>59</v>
      </c>
      <c r="AS55" s="48">
        <v>0.49</v>
      </c>
      <c r="AT55" s="48" t="s">
        <v>64</v>
      </c>
      <c r="AU55" s="48" t="s">
        <v>59</v>
      </c>
      <c r="AV55" s="48" t="s">
        <v>59</v>
      </c>
      <c r="AW55" s="48" t="s">
        <v>59</v>
      </c>
      <c r="AX55" s="48" t="s">
        <v>59</v>
      </c>
      <c r="AY55" s="73">
        <v>132</v>
      </c>
      <c r="AZ55" s="73">
        <v>131</v>
      </c>
      <c r="BA55" s="73" t="s">
        <v>59</v>
      </c>
      <c r="BB55" s="73" t="s">
        <v>59</v>
      </c>
      <c r="BC55" s="48">
        <v>7.3</v>
      </c>
      <c r="BD55" s="48">
        <v>1.6</v>
      </c>
      <c r="BE55" s="48" t="s">
        <v>61</v>
      </c>
      <c r="BF55" s="48">
        <v>0</v>
      </c>
      <c r="BG55" s="48">
        <v>1</v>
      </c>
      <c r="BH55" s="48" t="s">
        <v>61</v>
      </c>
      <c r="BI55" s="48" t="s">
        <v>61</v>
      </c>
      <c r="BJ55" s="48">
        <v>-0.2</v>
      </c>
      <c r="BK55" s="48">
        <v>1.3</v>
      </c>
      <c r="BL55" s="48" t="s">
        <v>61</v>
      </c>
      <c r="BM55" s="48" t="s">
        <v>61</v>
      </c>
      <c r="BN55" s="48" t="s">
        <v>61</v>
      </c>
      <c r="BO55" s="48" t="s">
        <v>162</v>
      </c>
      <c r="BP55" s="48">
        <v>7.1</v>
      </c>
      <c r="BQ55" s="48">
        <v>1.3</v>
      </c>
      <c r="BR55" s="48" t="s">
        <v>61</v>
      </c>
      <c r="BS55" s="26">
        <v>0</v>
      </c>
      <c r="BT55" s="26">
        <v>1</v>
      </c>
      <c r="BU55" s="48" t="s">
        <v>61</v>
      </c>
      <c r="BV55" s="48" t="s">
        <v>61</v>
      </c>
      <c r="BW55" s="48">
        <v>-0.6</v>
      </c>
      <c r="BX55" s="48">
        <v>1.8</v>
      </c>
      <c r="BY55" s="48" t="s">
        <v>61</v>
      </c>
      <c r="BZ55" s="48" t="s">
        <v>61</v>
      </c>
      <c r="CA55" s="48" t="s">
        <v>61</v>
      </c>
      <c r="CB55" s="48" t="s">
        <v>119</v>
      </c>
      <c r="CC55" s="48" t="s">
        <v>59</v>
      </c>
      <c r="CD55" s="48" t="s">
        <v>59</v>
      </c>
      <c r="CE55" s="48" t="s">
        <v>59</v>
      </c>
      <c r="CF55" s="48"/>
      <c r="CG55" s="48"/>
      <c r="CH55" s="48" t="s">
        <v>59</v>
      </c>
      <c r="CI55" s="48" t="s">
        <v>59</v>
      </c>
      <c r="CJ55" s="48" t="s">
        <v>59</v>
      </c>
      <c r="CK55" s="48" t="s">
        <v>59</v>
      </c>
      <c r="CL55" s="48" t="s">
        <v>59</v>
      </c>
      <c r="CM55" s="48" t="s">
        <v>59</v>
      </c>
      <c r="CN55" s="48" t="s">
        <v>59</v>
      </c>
      <c r="CO55" s="48" t="s">
        <v>59</v>
      </c>
      <c r="CP55" s="48" t="s">
        <v>59</v>
      </c>
      <c r="CQ55" s="48" t="s">
        <v>59</v>
      </c>
      <c r="CR55" s="48" t="s">
        <v>59</v>
      </c>
      <c r="CS55" s="48"/>
      <c r="CT55" s="48"/>
      <c r="CU55" s="48" t="s">
        <v>59</v>
      </c>
      <c r="CV55" s="48" t="s">
        <v>59</v>
      </c>
      <c r="CW55" s="48" t="s">
        <v>59</v>
      </c>
      <c r="CX55" s="48" t="s">
        <v>59</v>
      </c>
      <c r="CY55" s="48" t="s">
        <v>59</v>
      </c>
      <c r="CZ55" s="48" t="s">
        <v>59</v>
      </c>
      <c r="DA55" s="48" t="s">
        <v>59</v>
      </c>
      <c r="DB55" s="48" t="s">
        <v>59</v>
      </c>
      <c r="DC55" s="48">
        <v>6</v>
      </c>
      <c r="DD55" s="55"/>
      <c r="DE55" s="43"/>
      <c r="DF55" s="43"/>
      <c r="DG55" s="43"/>
      <c r="DH55" s="43"/>
      <c r="DI55" s="43"/>
      <c r="DJ55" s="43"/>
    </row>
    <row r="56" spans="1:114" ht="14">
      <c r="A56" s="49" t="s">
        <v>399</v>
      </c>
      <c r="B56" s="43">
        <v>12164</v>
      </c>
      <c r="C56" s="34">
        <v>2</v>
      </c>
      <c r="D56" s="43">
        <v>1</v>
      </c>
      <c r="E56" s="48" t="s">
        <v>139</v>
      </c>
      <c r="F56" s="26" t="s">
        <v>59</v>
      </c>
      <c r="G56" s="48">
        <f t="shared" si="0"/>
        <v>162</v>
      </c>
      <c r="H56" s="26" t="s">
        <v>59</v>
      </c>
      <c r="I56" s="26" t="s">
        <v>59</v>
      </c>
      <c r="J56" s="48" t="s">
        <v>59</v>
      </c>
      <c r="K56" s="26" t="s">
        <v>59</v>
      </c>
      <c r="L56" s="26" t="s">
        <v>59</v>
      </c>
      <c r="M56" s="26" t="s">
        <v>59</v>
      </c>
      <c r="N56" s="26" t="s">
        <v>59</v>
      </c>
      <c r="O56" s="26" t="s">
        <v>59</v>
      </c>
      <c r="P56" s="26" t="s">
        <v>59</v>
      </c>
      <c r="Q56" s="48" t="s">
        <v>59</v>
      </c>
      <c r="R56" s="48" t="s">
        <v>59</v>
      </c>
      <c r="S56" s="48" t="s">
        <v>59</v>
      </c>
      <c r="T56" s="48" t="s">
        <v>59</v>
      </c>
      <c r="U56" s="48">
        <v>92</v>
      </c>
      <c r="V56" s="48">
        <v>70</v>
      </c>
      <c r="W56" s="48" t="s">
        <v>59</v>
      </c>
      <c r="X56" s="48" t="s">
        <v>59</v>
      </c>
      <c r="Y56" s="69">
        <v>7.8</v>
      </c>
      <c r="Z56" s="69">
        <v>1.6</v>
      </c>
      <c r="AA56" s="69" t="s">
        <v>61</v>
      </c>
      <c r="AB56" s="69" t="s">
        <v>61</v>
      </c>
      <c r="AC56" s="69" t="s">
        <v>61</v>
      </c>
      <c r="AD56" s="69">
        <v>7.5</v>
      </c>
      <c r="AE56" s="69">
        <v>1.5</v>
      </c>
      <c r="AF56" s="69" t="s">
        <v>61</v>
      </c>
      <c r="AG56" s="69" t="s">
        <v>61</v>
      </c>
      <c r="AH56" s="69" t="s">
        <v>61</v>
      </c>
      <c r="AI56" s="69" t="s">
        <v>59</v>
      </c>
      <c r="AJ56" s="69" t="s">
        <v>59</v>
      </c>
      <c r="AK56" s="69" t="s">
        <v>59</v>
      </c>
      <c r="AL56" s="69" t="s">
        <v>59</v>
      </c>
      <c r="AM56" s="69" t="s">
        <v>59</v>
      </c>
      <c r="AN56" s="69" t="s">
        <v>59</v>
      </c>
      <c r="AO56" s="69" t="s">
        <v>59</v>
      </c>
      <c r="AP56" s="69" t="s">
        <v>59</v>
      </c>
      <c r="AQ56" s="69" t="s">
        <v>59</v>
      </c>
      <c r="AR56" s="69" t="s">
        <v>59</v>
      </c>
      <c r="AS56" s="69" t="s">
        <v>61</v>
      </c>
      <c r="AT56" s="69" t="s">
        <v>64</v>
      </c>
      <c r="AU56" s="69" t="s">
        <v>400</v>
      </c>
      <c r="AV56" s="69" t="s">
        <v>59</v>
      </c>
      <c r="AW56" s="69" t="s">
        <v>59</v>
      </c>
      <c r="AX56" s="69" t="s">
        <v>59</v>
      </c>
      <c r="AY56" s="215">
        <v>92</v>
      </c>
      <c r="AZ56" s="215">
        <v>70</v>
      </c>
      <c r="BA56" s="215" t="s">
        <v>59</v>
      </c>
      <c r="BB56" s="215" t="s">
        <v>59</v>
      </c>
      <c r="BC56" s="69">
        <v>7.8</v>
      </c>
      <c r="BD56" s="69">
        <v>1.6</v>
      </c>
      <c r="BE56" s="69" t="s">
        <v>61</v>
      </c>
      <c r="BF56" s="48">
        <v>0</v>
      </c>
      <c r="BG56" s="48">
        <v>1</v>
      </c>
      <c r="BH56" s="69" t="s">
        <v>61</v>
      </c>
      <c r="BI56" s="69" t="s">
        <v>61</v>
      </c>
      <c r="BJ56" s="69" t="s">
        <v>61</v>
      </c>
      <c r="BK56" s="69" t="s">
        <v>61</v>
      </c>
      <c r="BL56" s="69" t="s">
        <v>61</v>
      </c>
      <c r="BM56" s="69" t="s">
        <v>61</v>
      </c>
      <c r="BN56" s="69" t="s">
        <v>61</v>
      </c>
      <c r="BO56" s="69" t="s">
        <v>61</v>
      </c>
      <c r="BP56" s="69">
        <v>6.9</v>
      </c>
      <c r="BQ56" s="69">
        <v>1.3</v>
      </c>
      <c r="BR56" s="69" t="s">
        <v>61</v>
      </c>
      <c r="BS56" s="26">
        <v>0</v>
      </c>
      <c r="BT56" s="26">
        <v>1</v>
      </c>
      <c r="BU56" s="69" t="s">
        <v>61</v>
      </c>
      <c r="BV56" s="69" t="s">
        <v>61</v>
      </c>
      <c r="BW56" s="69">
        <v>-7</v>
      </c>
      <c r="BX56" s="69" t="s">
        <v>61</v>
      </c>
      <c r="BY56" s="69" t="s">
        <v>61</v>
      </c>
      <c r="BZ56" s="69" t="s">
        <v>61</v>
      </c>
      <c r="CA56" s="69" t="s">
        <v>61</v>
      </c>
      <c r="CB56" s="69">
        <v>1E-3</v>
      </c>
      <c r="CC56" s="69" t="s">
        <v>59</v>
      </c>
      <c r="CD56" s="69" t="s">
        <v>59</v>
      </c>
      <c r="CE56" s="69" t="s">
        <v>59</v>
      </c>
      <c r="CF56" s="69"/>
      <c r="CG56" s="69"/>
      <c r="CH56" s="69" t="s">
        <v>59</v>
      </c>
      <c r="CI56" s="69" t="s">
        <v>59</v>
      </c>
      <c r="CJ56" s="69" t="s">
        <v>59</v>
      </c>
      <c r="CK56" s="69" t="s">
        <v>59</v>
      </c>
      <c r="CL56" s="69" t="s">
        <v>59</v>
      </c>
      <c r="CM56" s="69" t="s">
        <v>59</v>
      </c>
      <c r="CN56" s="69" t="s">
        <v>59</v>
      </c>
      <c r="CO56" s="69" t="s">
        <v>59</v>
      </c>
      <c r="CP56" s="69" t="s">
        <v>59</v>
      </c>
      <c r="CQ56" s="69" t="s">
        <v>59</v>
      </c>
      <c r="CR56" s="69" t="s">
        <v>59</v>
      </c>
      <c r="CS56" s="69"/>
      <c r="CT56" s="69"/>
      <c r="CU56" s="69" t="s">
        <v>59</v>
      </c>
      <c r="CV56" s="69" t="s">
        <v>59</v>
      </c>
      <c r="CW56" s="69" t="s">
        <v>59</v>
      </c>
      <c r="CX56" s="69" t="s">
        <v>59</v>
      </c>
      <c r="CY56" s="69" t="s">
        <v>59</v>
      </c>
      <c r="CZ56" s="69" t="s">
        <v>59</v>
      </c>
      <c r="DA56" s="69" t="s">
        <v>59</v>
      </c>
      <c r="DB56" s="69" t="s">
        <v>59</v>
      </c>
      <c r="DC56" s="69">
        <v>16</v>
      </c>
      <c r="DD56" s="43"/>
      <c r="DE56" s="43"/>
      <c r="DF56" s="43"/>
      <c r="DG56" s="43"/>
      <c r="DH56" s="43"/>
      <c r="DI56" s="43"/>
      <c r="DJ56" s="43"/>
    </row>
    <row r="57" spans="1:114" ht="14">
      <c r="A57" s="34" t="s">
        <v>182</v>
      </c>
      <c r="B57" s="34">
        <v>5045</v>
      </c>
      <c r="C57" s="34">
        <v>2</v>
      </c>
      <c r="D57" s="43">
        <v>1</v>
      </c>
      <c r="E57" s="26" t="s">
        <v>139</v>
      </c>
      <c r="F57" s="26" t="s">
        <v>59</v>
      </c>
      <c r="G57" s="48">
        <f t="shared" si="0"/>
        <v>163</v>
      </c>
      <c r="H57" s="26" t="s">
        <v>59</v>
      </c>
      <c r="I57" s="26" t="s">
        <v>60</v>
      </c>
      <c r="J57" s="26" t="s">
        <v>59</v>
      </c>
      <c r="K57" s="26" t="s">
        <v>59</v>
      </c>
      <c r="L57" s="26" t="s">
        <v>59</v>
      </c>
      <c r="M57" s="26" t="s">
        <v>59</v>
      </c>
      <c r="N57" s="26" t="s">
        <v>59</v>
      </c>
      <c r="O57" s="26" t="s">
        <v>59</v>
      </c>
      <c r="P57" s="26" t="s">
        <v>59</v>
      </c>
      <c r="Q57" s="26" t="s">
        <v>60</v>
      </c>
      <c r="R57" s="26" t="s">
        <v>60</v>
      </c>
      <c r="S57" s="26" t="s">
        <v>60</v>
      </c>
      <c r="T57" s="26" t="s">
        <v>60</v>
      </c>
      <c r="U57" s="26">
        <v>82</v>
      </c>
      <c r="V57" s="26">
        <v>81</v>
      </c>
      <c r="W57" s="26" t="s">
        <v>60</v>
      </c>
      <c r="X57" s="26" t="s">
        <v>60</v>
      </c>
      <c r="Y57" s="26">
        <v>8.4</v>
      </c>
      <c r="Z57" s="69" t="s">
        <v>61</v>
      </c>
      <c r="AA57" s="189">
        <v>0.2</v>
      </c>
      <c r="AB57" s="26" t="s">
        <v>61</v>
      </c>
      <c r="AC57" s="27" t="s">
        <v>61</v>
      </c>
      <c r="AD57" s="26">
        <v>8.1999999999999993</v>
      </c>
      <c r="AE57" s="26">
        <v>1.9</v>
      </c>
      <c r="AF57" s="26" t="s">
        <v>61</v>
      </c>
      <c r="AG57" s="26" t="s">
        <v>61</v>
      </c>
      <c r="AH57" s="27" t="s">
        <v>61</v>
      </c>
      <c r="AI57" s="26" t="s">
        <v>59</v>
      </c>
      <c r="AJ57" s="26" t="s">
        <v>60</v>
      </c>
      <c r="AK57" s="26" t="s">
        <v>59</v>
      </c>
      <c r="AL57" s="26" t="s">
        <v>59</v>
      </c>
      <c r="AM57" s="26" t="s">
        <v>59</v>
      </c>
      <c r="AN57" s="26" t="s">
        <v>60</v>
      </c>
      <c r="AO57" s="26" t="s">
        <v>60</v>
      </c>
      <c r="AP57" s="26" t="s">
        <v>59</v>
      </c>
      <c r="AQ57" s="26" t="s">
        <v>59</v>
      </c>
      <c r="AR57" s="26" t="s">
        <v>59</v>
      </c>
      <c r="AS57" s="26">
        <v>0.62</v>
      </c>
      <c r="AT57" s="26" t="s">
        <v>64</v>
      </c>
      <c r="AU57" s="26" t="s">
        <v>59</v>
      </c>
      <c r="AV57" s="26" t="s">
        <v>59</v>
      </c>
      <c r="AW57" s="26" t="s">
        <v>59</v>
      </c>
      <c r="AX57" s="26" t="s">
        <v>59</v>
      </c>
      <c r="AY57" s="186">
        <v>82</v>
      </c>
      <c r="AZ57" s="186">
        <v>81</v>
      </c>
      <c r="BA57" s="186" t="s">
        <v>60</v>
      </c>
      <c r="BB57" s="186" t="s">
        <v>60</v>
      </c>
      <c r="BC57" s="26">
        <v>8</v>
      </c>
      <c r="BD57" s="26">
        <v>1.6</v>
      </c>
      <c r="BE57" s="26" t="s">
        <v>61</v>
      </c>
      <c r="BF57" s="48">
        <v>0</v>
      </c>
      <c r="BG57" s="48">
        <v>1</v>
      </c>
      <c r="BH57" s="27" t="s">
        <v>61</v>
      </c>
      <c r="BI57" s="27" t="s">
        <v>61</v>
      </c>
      <c r="BJ57" s="26" t="s">
        <v>61</v>
      </c>
      <c r="BK57" s="26" t="s">
        <v>61</v>
      </c>
      <c r="BL57" s="26" t="s">
        <v>61</v>
      </c>
      <c r="BM57" s="26" t="s">
        <v>61</v>
      </c>
      <c r="BN57" s="26" t="s">
        <v>61</v>
      </c>
      <c r="BO57" s="26" t="s">
        <v>61</v>
      </c>
      <c r="BP57" s="26">
        <v>7.3</v>
      </c>
      <c r="BQ57" s="26">
        <v>1.3</v>
      </c>
      <c r="BR57" s="26" t="s">
        <v>61</v>
      </c>
      <c r="BS57" s="26">
        <v>0</v>
      </c>
      <c r="BT57" s="26">
        <v>1</v>
      </c>
      <c r="BU57" s="27" t="s">
        <v>61</v>
      </c>
      <c r="BV57" s="27" t="s">
        <v>61</v>
      </c>
      <c r="BW57" s="26" t="s">
        <v>61</v>
      </c>
      <c r="BX57" s="26" t="s">
        <v>61</v>
      </c>
      <c r="BY57" s="27" t="s">
        <v>61</v>
      </c>
      <c r="BZ57" s="26" t="s">
        <v>61</v>
      </c>
      <c r="CA57" s="27" t="s">
        <v>61</v>
      </c>
      <c r="CB57" s="26" t="s">
        <v>61</v>
      </c>
      <c r="CC57" s="26" t="s">
        <v>60</v>
      </c>
      <c r="CD57" s="26" t="s">
        <v>60</v>
      </c>
      <c r="CE57" s="26" t="s">
        <v>59</v>
      </c>
      <c r="CF57" s="26"/>
      <c r="CG57" s="26"/>
      <c r="CH57" s="26" t="s">
        <v>59</v>
      </c>
      <c r="CI57" s="26" t="s">
        <v>59</v>
      </c>
      <c r="CJ57" s="26" t="s">
        <v>59</v>
      </c>
      <c r="CK57" s="26" t="s">
        <v>59</v>
      </c>
      <c r="CL57" s="26" t="s">
        <v>59</v>
      </c>
      <c r="CM57" s="26" t="s">
        <v>59</v>
      </c>
      <c r="CN57" s="26" t="s">
        <v>59</v>
      </c>
      <c r="CO57" s="26" t="s">
        <v>59</v>
      </c>
      <c r="CP57" s="26" t="s">
        <v>60</v>
      </c>
      <c r="CQ57" s="26" t="s">
        <v>60</v>
      </c>
      <c r="CR57" s="26" t="s">
        <v>59</v>
      </c>
      <c r="CS57" s="26"/>
      <c r="CT57" s="26"/>
      <c r="CU57" s="26" t="s">
        <v>59</v>
      </c>
      <c r="CV57" s="26" t="s">
        <v>59</v>
      </c>
      <c r="CW57" s="26" t="s">
        <v>59</v>
      </c>
      <c r="CX57" s="26" t="s">
        <v>59</v>
      </c>
      <c r="CY57" s="26" t="s">
        <v>59</v>
      </c>
      <c r="CZ57" s="26" t="s">
        <v>59</v>
      </c>
      <c r="DA57" s="26" t="s">
        <v>59</v>
      </c>
      <c r="DB57" s="26" t="s">
        <v>59</v>
      </c>
      <c r="DC57" s="26">
        <v>24</v>
      </c>
    </row>
    <row r="58" spans="1:114" ht="14">
      <c r="A58" s="49" t="s">
        <v>396</v>
      </c>
      <c r="B58" s="43">
        <v>12035</v>
      </c>
      <c r="C58" s="34">
        <v>2</v>
      </c>
      <c r="D58" s="43">
        <v>1</v>
      </c>
      <c r="E58" s="48" t="s">
        <v>139</v>
      </c>
      <c r="F58" s="26" t="s">
        <v>59</v>
      </c>
      <c r="G58" s="48">
        <f t="shared" si="0"/>
        <v>164</v>
      </c>
      <c r="H58" s="26" t="s">
        <v>59</v>
      </c>
      <c r="I58" s="26" t="s">
        <v>59</v>
      </c>
      <c r="J58" s="48" t="s">
        <v>59</v>
      </c>
      <c r="K58" s="26" t="s">
        <v>59</v>
      </c>
      <c r="L58" s="26" t="s">
        <v>59</v>
      </c>
      <c r="M58" s="26" t="s">
        <v>59</v>
      </c>
      <c r="N58" s="26" t="s">
        <v>59</v>
      </c>
      <c r="O58" s="26" t="s">
        <v>59</v>
      </c>
      <c r="P58" s="26" t="s">
        <v>59</v>
      </c>
      <c r="Q58" s="48" t="s">
        <v>59</v>
      </c>
      <c r="R58" s="48" t="s">
        <v>59</v>
      </c>
      <c r="S58" s="48" t="s">
        <v>59</v>
      </c>
      <c r="T58" s="48" t="s">
        <v>59</v>
      </c>
      <c r="U58" s="48">
        <v>92</v>
      </c>
      <c r="V58" s="48">
        <v>72</v>
      </c>
      <c r="W58" s="48" t="s">
        <v>59</v>
      </c>
      <c r="X58" s="48" t="s">
        <v>59</v>
      </c>
      <c r="Y58" s="69">
        <v>9.1999999999999993</v>
      </c>
      <c r="Z58" s="69">
        <v>1</v>
      </c>
      <c r="AA58" s="69" t="s">
        <v>61</v>
      </c>
      <c r="AB58" s="69" t="s">
        <v>61</v>
      </c>
      <c r="AC58" s="69" t="s">
        <v>61</v>
      </c>
      <c r="AD58" s="69">
        <v>9.5</v>
      </c>
      <c r="AE58" s="69">
        <v>1.1000000000000001</v>
      </c>
      <c r="AF58" s="69" t="s">
        <v>61</v>
      </c>
      <c r="AG58" s="69" t="s">
        <v>61</v>
      </c>
      <c r="AH58" s="69" t="s">
        <v>61</v>
      </c>
      <c r="AI58" s="69" t="s">
        <v>59</v>
      </c>
      <c r="AJ58" s="69" t="s">
        <v>59</v>
      </c>
      <c r="AK58" s="69" t="s">
        <v>59</v>
      </c>
      <c r="AL58" s="69" t="s">
        <v>59</v>
      </c>
      <c r="AM58" s="69" t="s">
        <v>59</v>
      </c>
      <c r="AN58" s="69" t="s">
        <v>59</v>
      </c>
      <c r="AO58" s="69" t="s">
        <v>59</v>
      </c>
      <c r="AP58" s="69" t="s">
        <v>59</v>
      </c>
      <c r="AQ58" s="69" t="s">
        <v>59</v>
      </c>
      <c r="AR58" s="69" t="s">
        <v>59</v>
      </c>
      <c r="AS58" s="69">
        <v>7.0000000000000007E-2</v>
      </c>
      <c r="AT58" s="69" t="s">
        <v>64</v>
      </c>
      <c r="AU58" s="69" t="s">
        <v>59</v>
      </c>
      <c r="AV58" s="69" t="s">
        <v>59</v>
      </c>
      <c r="AW58" s="69" t="s">
        <v>59</v>
      </c>
      <c r="AX58" s="69" t="s">
        <v>59</v>
      </c>
      <c r="AY58" s="215">
        <v>92</v>
      </c>
      <c r="AZ58" s="215">
        <v>72</v>
      </c>
      <c r="BA58" s="215" t="s">
        <v>59</v>
      </c>
      <c r="BB58" s="215" t="s">
        <v>59</v>
      </c>
      <c r="BC58" s="69">
        <v>8.4</v>
      </c>
      <c r="BD58" s="69">
        <v>1.6</v>
      </c>
      <c r="BE58" s="69" t="s">
        <v>61</v>
      </c>
      <c r="BF58" s="48">
        <v>0</v>
      </c>
      <c r="BG58" s="48">
        <v>1</v>
      </c>
      <c r="BH58" s="69" t="s">
        <v>61</v>
      </c>
      <c r="BI58" s="69" t="s">
        <v>61</v>
      </c>
      <c r="BJ58" s="69">
        <v>-0.8</v>
      </c>
      <c r="BK58" s="69" t="s">
        <v>61</v>
      </c>
      <c r="BL58" s="69" t="s">
        <v>61</v>
      </c>
      <c r="BM58" s="69" t="s">
        <v>61</v>
      </c>
      <c r="BN58" s="69" t="s">
        <v>61</v>
      </c>
      <c r="BO58" s="69" t="s">
        <v>61</v>
      </c>
      <c r="BP58" s="69">
        <v>7.7</v>
      </c>
      <c r="BQ58" s="69">
        <v>1.3</v>
      </c>
      <c r="BR58" s="69" t="s">
        <v>61</v>
      </c>
      <c r="BS58" s="26">
        <v>0</v>
      </c>
      <c r="BT58" s="26">
        <v>1</v>
      </c>
      <c r="BU58" s="69" t="s">
        <v>61</v>
      </c>
      <c r="BV58" s="69" t="s">
        <v>61</v>
      </c>
      <c r="BW58" s="69">
        <v>-1.8</v>
      </c>
      <c r="BX58" s="69" t="s">
        <v>61</v>
      </c>
      <c r="BY58" s="69" t="s">
        <v>61</v>
      </c>
      <c r="BZ58" s="69" t="s">
        <v>61</v>
      </c>
      <c r="CA58" s="69" t="s">
        <v>61</v>
      </c>
      <c r="CB58" s="69" t="s">
        <v>61</v>
      </c>
      <c r="CC58" s="69" t="s">
        <v>59</v>
      </c>
      <c r="CD58" s="69" t="s">
        <v>59</v>
      </c>
      <c r="CE58" s="69" t="s">
        <v>59</v>
      </c>
      <c r="CF58" s="69"/>
      <c r="CG58" s="69"/>
      <c r="CH58" s="69" t="s">
        <v>59</v>
      </c>
      <c r="CI58" s="69" t="s">
        <v>59</v>
      </c>
      <c r="CJ58" s="69" t="s">
        <v>59</v>
      </c>
      <c r="CK58" s="69" t="s">
        <v>59</v>
      </c>
      <c r="CL58" s="69" t="s">
        <v>59</v>
      </c>
      <c r="CM58" s="69" t="s">
        <v>59</v>
      </c>
      <c r="CN58" s="69" t="s">
        <v>59</v>
      </c>
      <c r="CO58" s="69" t="s">
        <v>59</v>
      </c>
      <c r="CP58" s="69" t="s">
        <v>59</v>
      </c>
      <c r="CQ58" s="69" t="s">
        <v>59</v>
      </c>
      <c r="CR58" s="69" t="s">
        <v>59</v>
      </c>
      <c r="CS58" s="69"/>
      <c r="CT58" s="69"/>
      <c r="CU58" s="69" t="s">
        <v>59</v>
      </c>
      <c r="CV58" s="69" t="s">
        <v>59</v>
      </c>
      <c r="CW58" s="69" t="s">
        <v>59</v>
      </c>
      <c r="CX58" s="69" t="s">
        <v>59</v>
      </c>
      <c r="CY58" s="69" t="s">
        <v>59</v>
      </c>
      <c r="CZ58" s="69" t="s">
        <v>59</v>
      </c>
      <c r="DA58" s="69" t="s">
        <v>59</v>
      </c>
      <c r="DB58" s="69" t="s">
        <v>59</v>
      </c>
      <c r="DC58" s="69">
        <v>12</v>
      </c>
      <c r="DD58" s="55"/>
      <c r="DE58" s="43"/>
      <c r="DF58" s="43"/>
      <c r="DG58" s="43"/>
      <c r="DH58" s="43"/>
      <c r="DI58" s="43"/>
      <c r="DJ58" s="43"/>
    </row>
    <row r="59" spans="1:114">
      <c r="A59" s="34" t="s">
        <v>157</v>
      </c>
      <c r="B59" s="34">
        <v>1127</v>
      </c>
      <c r="C59" s="34">
        <v>2</v>
      </c>
      <c r="D59" s="43">
        <v>1</v>
      </c>
      <c r="E59" s="26" t="s">
        <v>139</v>
      </c>
      <c r="F59" s="26" t="s">
        <v>59</v>
      </c>
      <c r="G59" s="48">
        <f t="shared" si="0"/>
        <v>179</v>
      </c>
      <c r="H59" s="26" t="s">
        <v>59</v>
      </c>
      <c r="I59" s="26" t="s">
        <v>60</v>
      </c>
      <c r="J59" s="26" t="s">
        <v>59</v>
      </c>
      <c r="K59" s="26" t="s">
        <v>59</v>
      </c>
      <c r="L59" s="26" t="s">
        <v>59</v>
      </c>
      <c r="M59" s="26" t="s">
        <v>59</v>
      </c>
      <c r="N59" s="26" t="s">
        <v>59</v>
      </c>
      <c r="O59" s="26" t="s">
        <v>59</v>
      </c>
      <c r="P59" s="26" t="s">
        <v>59</v>
      </c>
      <c r="Q59" s="26" t="s">
        <v>60</v>
      </c>
      <c r="R59" s="26" t="s">
        <v>60</v>
      </c>
      <c r="S59" s="26" t="s">
        <v>60</v>
      </c>
      <c r="T59" s="26" t="s">
        <v>60</v>
      </c>
      <c r="U59" s="26">
        <v>85</v>
      </c>
      <c r="V59" s="26">
        <v>94</v>
      </c>
      <c r="W59" s="26" t="s">
        <v>60</v>
      </c>
      <c r="X59" s="26" t="s">
        <v>60</v>
      </c>
      <c r="Y59" s="26">
        <v>8.3000000000000007</v>
      </c>
      <c r="Z59" s="26">
        <v>1.9</v>
      </c>
      <c r="AA59" s="26" t="s">
        <v>61</v>
      </c>
      <c r="AB59" s="26" t="s">
        <v>61</v>
      </c>
      <c r="AC59" s="27" t="s">
        <v>61</v>
      </c>
      <c r="AD59" s="26">
        <v>8.3000000000000007</v>
      </c>
      <c r="AE59" s="26">
        <v>1.8</v>
      </c>
      <c r="AF59" s="26" t="s">
        <v>61</v>
      </c>
      <c r="AG59" s="26" t="s">
        <v>61</v>
      </c>
      <c r="AH59" s="27" t="s">
        <v>61</v>
      </c>
      <c r="AI59" s="26" t="s">
        <v>60</v>
      </c>
      <c r="AJ59" s="26" t="s">
        <v>60</v>
      </c>
      <c r="AK59" s="26" t="s">
        <v>59</v>
      </c>
      <c r="AL59" s="26" t="s">
        <v>59</v>
      </c>
      <c r="AM59" s="26" t="s">
        <v>59</v>
      </c>
      <c r="AN59" s="26" t="s">
        <v>60</v>
      </c>
      <c r="AO59" s="26" t="s">
        <v>60</v>
      </c>
      <c r="AP59" s="26" t="s">
        <v>59</v>
      </c>
      <c r="AQ59" s="26" t="s">
        <v>59</v>
      </c>
      <c r="AR59" s="26" t="s">
        <v>59</v>
      </c>
      <c r="AS59" s="26" t="s">
        <v>61</v>
      </c>
      <c r="AT59" s="26" t="s">
        <v>64</v>
      </c>
      <c r="AU59" s="26" t="s">
        <v>59</v>
      </c>
      <c r="AV59" s="26" t="s">
        <v>59</v>
      </c>
      <c r="AW59" s="26" t="s">
        <v>59</v>
      </c>
      <c r="AX59" s="26" t="s">
        <v>59</v>
      </c>
      <c r="AY59" s="186">
        <v>85</v>
      </c>
      <c r="AZ59" s="186">
        <v>94</v>
      </c>
      <c r="BA59" s="186" t="s">
        <v>60</v>
      </c>
      <c r="BB59" s="186" t="s">
        <v>60</v>
      </c>
      <c r="BC59" s="26">
        <v>7.6</v>
      </c>
      <c r="BD59" s="26">
        <v>1.7</v>
      </c>
      <c r="BE59" s="26" t="s">
        <v>61</v>
      </c>
      <c r="BF59" s="48">
        <v>0</v>
      </c>
      <c r="BG59" s="48">
        <v>1</v>
      </c>
      <c r="BH59" s="27" t="s">
        <v>61</v>
      </c>
      <c r="BI59" s="27" t="s">
        <v>61</v>
      </c>
      <c r="BJ59" s="26" t="s">
        <v>61</v>
      </c>
      <c r="BK59" s="26" t="s">
        <v>61</v>
      </c>
      <c r="BL59" s="26" t="s">
        <v>61</v>
      </c>
      <c r="BM59" s="26" t="s">
        <v>61</v>
      </c>
      <c r="BN59" s="26" t="s">
        <v>61</v>
      </c>
      <c r="BO59" s="26" t="s">
        <v>119</v>
      </c>
      <c r="BP59" s="26">
        <v>7.4</v>
      </c>
      <c r="BQ59" s="26">
        <v>1.3</v>
      </c>
      <c r="BR59" s="26" t="s">
        <v>61</v>
      </c>
      <c r="BS59" s="26">
        <v>0</v>
      </c>
      <c r="BT59" s="26">
        <v>1</v>
      </c>
      <c r="BU59" s="27" t="s">
        <v>61</v>
      </c>
      <c r="BV59" s="27" t="s">
        <v>61</v>
      </c>
      <c r="BW59" s="26" t="s">
        <v>61</v>
      </c>
      <c r="BX59" s="26" t="s">
        <v>61</v>
      </c>
      <c r="BY59" s="27" t="s">
        <v>61</v>
      </c>
      <c r="BZ59" s="26" t="s">
        <v>61</v>
      </c>
      <c r="CA59" s="27" t="s">
        <v>61</v>
      </c>
      <c r="CB59" s="26" t="s">
        <v>119</v>
      </c>
      <c r="CC59" s="26" t="s">
        <v>60</v>
      </c>
      <c r="CD59" s="26" t="s">
        <v>60</v>
      </c>
      <c r="CE59" s="26" t="s">
        <v>59</v>
      </c>
      <c r="CF59" s="26"/>
      <c r="CG59" s="26"/>
      <c r="CH59" s="26" t="s">
        <v>59</v>
      </c>
      <c r="CI59" s="26" t="s">
        <v>59</v>
      </c>
      <c r="CJ59" s="26" t="s">
        <v>59</v>
      </c>
      <c r="CK59" s="26" t="s">
        <v>59</v>
      </c>
      <c r="CL59" s="26" t="s">
        <v>59</v>
      </c>
      <c r="CM59" s="26" t="s">
        <v>59</v>
      </c>
      <c r="CN59" s="26" t="s">
        <v>59</v>
      </c>
      <c r="CO59" s="26" t="s">
        <v>59</v>
      </c>
      <c r="CP59" s="26" t="s">
        <v>60</v>
      </c>
      <c r="CQ59" s="26" t="s">
        <v>60</v>
      </c>
      <c r="CR59" s="26" t="s">
        <v>59</v>
      </c>
      <c r="CS59" s="26"/>
      <c r="CT59" s="26"/>
      <c r="CU59" s="26" t="s">
        <v>59</v>
      </c>
      <c r="CV59" s="26" t="s">
        <v>59</v>
      </c>
      <c r="CW59" s="26" t="s">
        <v>59</v>
      </c>
      <c r="CX59" s="26" t="s">
        <v>59</v>
      </c>
      <c r="CY59" s="26" t="s">
        <v>59</v>
      </c>
      <c r="CZ59" s="26" t="s">
        <v>59</v>
      </c>
      <c r="DA59" s="26" t="s">
        <v>59</v>
      </c>
      <c r="DB59" s="26" t="s">
        <v>59</v>
      </c>
      <c r="DC59" s="26">
        <v>6</v>
      </c>
    </row>
    <row r="60" spans="1:114">
      <c r="A60" s="34" t="s">
        <v>166</v>
      </c>
      <c r="B60" s="22">
        <v>1982</v>
      </c>
      <c r="C60" s="34">
        <v>2</v>
      </c>
      <c r="D60" s="43">
        <v>1</v>
      </c>
      <c r="E60" s="26" t="s">
        <v>139</v>
      </c>
      <c r="F60" s="26" t="s">
        <v>59</v>
      </c>
      <c r="G60" s="48">
        <f t="shared" si="0"/>
        <v>222</v>
      </c>
      <c r="H60" s="26" t="s">
        <v>59</v>
      </c>
      <c r="I60" s="26" t="s">
        <v>60</v>
      </c>
      <c r="J60" s="26" t="s">
        <v>59</v>
      </c>
      <c r="K60" s="26" t="s">
        <v>59</v>
      </c>
      <c r="L60" s="26" t="s">
        <v>59</v>
      </c>
      <c r="M60" s="26" t="s">
        <v>59</v>
      </c>
      <c r="N60" s="26" t="s">
        <v>59</v>
      </c>
      <c r="O60" s="26" t="s">
        <v>59</v>
      </c>
      <c r="P60" s="26" t="s">
        <v>59</v>
      </c>
      <c r="Q60" s="26" t="s">
        <v>60</v>
      </c>
      <c r="R60" s="26" t="s">
        <v>60</v>
      </c>
      <c r="S60" s="26" t="s">
        <v>60</v>
      </c>
      <c r="T60" s="26" t="s">
        <v>60</v>
      </c>
      <c r="U60" s="26">
        <v>107</v>
      </c>
      <c r="V60" s="26">
        <v>115</v>
      </c>
      <c r="W60" s="26" t="s">
        <v>60</v>
      </c>
      <c r="X60" s="26" t="s">
        <v>60</v>
      </c>
      <c r="Y60" s="26">
        <v>10</v>
      </c>
      <c r="Z60" s="26">
        <v>1.9</v>
      </c>
      <c r="AA60" s="26" t="s">
        <v>61</v>
      </c>
      <c r="AB60" s="26" t="s">
        <v>61</v>
      </c>
      <c r="AC60" s="27" t="s">
        <v>61</v>
      </c>
      <c r="AD60" s="26">
        <v>10.1</v>
      </c>
      <c r="AE60" s="26">
        <v>1.8</v>
      </c>
      <c r="AF60" s="26" t="s">
        <v>61</v>
      </c>
      <c r="AG60" s="26" t="s">
        <v>61</v>
      </c>
      <c r="AH60" s="27" t="s">
        <v>61</v>
      </c>
      <c r="AI60" s="26" t="s">
        <v>60</v>
      </c>
      <c r="AJ60" s="26" t="s">
        <v>60</v>
      </c>
      <c r="AK60" s="26" t="s">
        <v>59</v>
      </c>
      <c r="AL60" s="26" t="s">
        <v>59</v>
      </c>
      <c r="AM60" s="26" t="s">
        <v>59</v>
      </c>
      <c r="AN60" s="26" t="s">
        <v>60</v>
      </c>
      <c r="AO60" s="26" t="s">
        <v>60</v>
      </c>
      <c r="AP60" s="26" t="s">
        <v>59</v>
      </c>
      <c r="AQ60" s="26" t="s">
        <v>59</v>
      </c>
      <c r="AR60" s="26" t="s">
        <v>59</v>
      </c>
      <c r="AS60" s="26" t="s">
        <v>61</v>
      </c>
      <c r="AT60" s="26" t="s">
        <v>64</v>
      </c>
      <c r="AU60" s="26" t="s">
        <v>59</v>
      </c>
      <c r="AV60" s="26" t="s">
        <v>59</v>
      </c>
      <c r="AW60" s="26" t="s">
        <v>59</v>
      </c>
      <c r="AX60" s="26" t="s">
        <v>59</v>
      </c>
      <c r="AY60" s="186">
        <v>107</v>
      </c>
      <c r="AZ60" s="186">
        <v>115</v>
      </c>
      <c r="BA60" s="186" t="s">
        <v>60</v>
      </c>
      <c r="BB60" s="186" t="s">
        <v>60</v>
      </c>
      <c r="BC60" s="26">
        <v>10.1</v>
      </c>
      <c r="BD60" s="26">
        <v>1.8</v>
      </c>
      <c r="BE60" s="26" t="s">
        <v>61</v>
      </c>
      <c r="BF60" s="48">
        <v>0</v>
      </c>
      <c r="BG60" s="48">
        <v>1</v>
      </c>
      <c r="BH60" s="27" t="s">
        <v>61</v>
      </c>
      <c r="BI60" s="27" t="s">
        <v>61</v>
      </c>
      <c r="BJ60" s="26" t="s">
        <v>61</v>
      </c>
      <c r="BK60" s="26" t="s">
        <v>61</v>
      </c>
      <c r="BL60" s="26" t="s">
        <v>61</v>
      </c>
      <c r="BM60" s="26" t="s">
        <v>61</v>
      </c>
      <c r="BN60" s="26" t="s">
        <v>61</v>
      </c>
      <c r="BO60" s="26" t="s">
        <v>61</v>
      </c>
      <c r="BP60" s="26">
        <v>9.5</v>
      </c>
      <c r="BQ60" s="26">
        <v>1.3</v>
      </c>
      <c r="BR60" s="26" t="s">
        <v>61</v>
      </c>
      <c r="BS60" s="26">
        <v>0</v>
      </c>
      <c r="BT60" s="26">
        <v>1</v>
      </c>
      <c r="BU60" s="27" t="s">
        <v>61</v>
      </c>
      <c r="BV60" s="27" t="s">
        <v>61</v>
      </c>
      <c r="BW60" s="26" t="s">
        <v>61</v>
      </c>
      <c r="BX60" s="26" t="s">
        <v>61</v>
      </c>
      <c r="BY60" s="27" t="s">
        <v>61</v>
      </c>
      <c r="BZ60" s="26" t="s">
        <v>61</v>
      </c>
      <c r="CA60" s="27" t="s">
        <v>61</v>
      </c>
      <c r="CB60" s="26" t="s">
        <v>167</v>
      </c>
      <c r="CC60" s="26" t="s">
        <v>60</v>
      </c>
      <c r="CD60" s="26" t="s">
        <v>60</v>
      </c>
      <c r="CE60" s="26" t="s">
        <v>59</v>
      </c>
      <c r="CF60" s="26"/>
      <c r="CG60" s="26"/>
      <c r="CH60" s="26" t="s">
        <v>59</v>
      </c>
      <c r="CI60" s="26" t="s">
        <v>59</v>
      </c>
      <c r="CJ60" s="26" t="s">
        <v>59</v>
      </c>
      <c r="CK60" s="26" t="s">
        <v>59</v>
      </c>
      <c r="CL60" s="26" t="s">
        <v>59</v>
      </c>
      <c r="CM60" s="26" t="s">
        <v>59</v>
      </c>
      <c r="CN60" s="26" t="s">
        <v>59</v>
      </c>
      <c r="CO60" s="26" t="s">
        <v>59</v>
      </c>
      <c r="CP60" s="26" t="s">
        <v>59</v>
      </c>
      <c r="CQ60" s="26" t="s">
        <v>60</v>
      </c>
      <c r="CR60" s="26" t="s">
        <v>59</v>
      </c>
      <c r="CS60" s="26"/>
      <c r="CT60" s="26"/>
      <c r="CU60" s="26" t="s">
        <v>59</v>
      </c>
      <c r="CV60" s="26" t="s">
        <v>59</v>
      </c>
      <c r="CW60" s="26" t="s">
        <v>59</v>
      </c>
      <c r="CX60" s="26" t="s">
        <v>59</v>
      </c>
      <c r="CY60" s="26" t="s">
        <v>59</v>
      </c>
      <c r="CZ60" s="26" t="s">
        <v>59</v>
      </c>
      <c r="DA60" s="26" t="s">
        <v>59</v>
      </c>
      <c r="DB60" s="26" t="s">
        <v>59</v>
      </c>
      <c r="DC60" s="26">
        <v>12</v>
      </c>
    </row>
    <row r="61" spans="1:114" ht="14">
      <c r="A61" s="49" t="s">
        <v>331</v>
      </c>
      <c r="B61" s="43">
        <v>9045</v>
      </c>
      <c r="C61" s="34">
        <v>2</v>
      </c>
      <c r="D61" s="43">
        <v>1</v>
      </c>
      <c r="E61" s="48" t="s">
        <v>139</v>
      </c>
      <c r="F61" s="26" t="s">
        <v>59</v>
      </c>
      <c r="G61" s="48">
        <f t="shared" si="0"/>
        <v>216</v>
      </c>
      <c r="H61" s="26" t="s">
        <v>59</v>
      </c>
      <c r="I61" s="26" t="s">
        <v>59</v>
      </c>
      <c r="J61" s="48" t="s">
        <v>59</v>
      </c>
      <c r="K61" s="26" t="s">
        <v>59</v>
      </c>
      <c r="L61" s="26" t="s">
        <v>59</v>
      </c>
      <c r="M61" s="26" t="s">
        <v>59</v>
      </c>
      <c r="N61" s="26" t="s">
        <v>59</v>
      </c>
      <c r="O61" s="26" t="s">
        <v>59</v>
      </c>
      <c r="P61" s="26" t="s">
        <v>59</v>
      </c>
      <c r="Q61" s="48" t="s">
        <v>59</v>
      </c>
      <c r="R61" s="48" t="s">
        <v>59</v>
      </c>
      <c r="S61" s="48" t="s">
        <v>59</v>
      </c>
      <c r="T61" s="48" t="s">
        <v>59</v>
      </c>
      <c r="U61" s="48">
        <v>119</v>
      </c>
      <c r="V61" s="48">
        <v>125</v>
      </c>
      <c r="W61" s="48" t="s">
        <v>59</v>
      </c>
      <c r="X61" s="48" t="s">
        <v>59</v>
      </c>
      <c r="Y61" s="69">
        <v>7.93</v>
      </c>
      <c r="Z61" s="69">
        <v>1.4</v>
      </c>
      <c r="AA61" s="69" t="s">
        <v>61</v>
      </c>
      <c r="AB61" s="69" t="s">
        <v>61</v>
      </c>
      <c r="AC61" s="69" t="s">
        <v>61</v>
      </c>
      <c r="AD61" s="69">
        <v>8.02</v>
      </c>
      <c r="AE61" s="69">
        <v>1.32</v>
      </c>
      <c r="AF61" s="69" t="s">
        <v>61</v>
      </c>
      <c r="AG61" s="69" t="s">
        <v>61</v>
      </c>
      <c r="AH61" s="69" t="s">
        <v>61</v>
      </c>
      <c r="AI61" s="69" t="s">
        <v>59</v>
      </c>
      <c r="AJ61" s="69" t="s">
        <v>59</v>
      </c>
      <c r="AK61" s="69" t="s">
        <v>59</v>
      </c>
      <c r="AL61" s="69" t="s">
        <v>59</v>
      </c>
      <c r="AM61" s="69" t="s">
        <v>59</v>
      </c>
      <c r="AN61" s="69" t="s">
        <v>59</v>
      </c>
      <c r="AO61" s="69" t="s">
        <v>59</v>
      </c>
      <c r="AP61" s="69" t="s">
        <v>59</v>
      </c>
      <c r="AQ61" s="69" t="s">
        <v>59</v>
      </c>
      <c r="AR61" s="69" t="s">
        <v>59</v>
      </c>
      <c r="AS61" s="69">
        <v>0.7</v>
      </c>
      <c r="AT61" s="69" t="s">
        <v>64</v>
      </c>
      <c r="AU61" s="69" t="s">
        <v>59</v>
      </c>
      <c r="AV61" s="69" t="s">
        <v>59</v>
      </c>
      <c r="AW61" s="69" t="s">
        <v>59</v>
      </c>
      <c r="AX61" s="69" t="s">
        <v>59</v>
      </c>
      <c r="AY61" s="215">
        <v>103</v>
      </c>
      <c r="AZ61" s="215">
        <v>113</v>
      </c>
      <c r="BA61" s="215" t="s">
        <v>59</v>
      </c>
      <c r="BB61" s="215" t="s">
        <v>59</v>
      </c>
      <c r="BC61" s="69">
        <v>8.2200000000000006</v>
      </c>
      <c r="BD61" s="69">
        <v>1.74</v>
      </c>
      <c r="BE61" s="69" t="s">
        <v>61</v>
      </c>
      <c r="BF61" s="48">
        <v>0</v>
      </c>
      <c r="BG61" s="48">
        <v>1</v>
      </c>
      <c r="BH61" s="69" t="s">
        <v>61</v>
      </c>
      <c r="BI61" s="69" t="s">
        <v>61</v>
      </c>
      <c r="BJ61" s="69">
        <v>0.28999999999999998</v>
      </c>
      <c r="BK61" s="69" t="s">
        <v>61</v>
      </c>
      <c r="BL61" s="69" t="s">
        <v>61</v>
      </c>
      <c r="BM61" s="69" t="s">
        <v>61</v>
      </c>
      <c r="BN61" s="69" t="s">
        <v>61</v>
      </c>
      <c r="BO61" s="69" t="s">
        <v>61</v>
      </c>
      <c r="BP61" s="69">
        <v>7.73</v>
      </c>
      <c r="BQ61" s="69">
        <v>1.32</v>
      </c>
      <c r="BR61" s="69" t="s">
        <v>61</v>
      </c>
      <c r="BS61" s="26">
        <v>0</v>
      </c>
      <c r="BT61" s="26">
        <v>1</v>
      </c>
      <c r="BU61" s="69" t="s">
        <v>61</v>
      </c>
      <c r="BV61" s="69" t="s">
        <v>61</v>
      </c>
      <c r="BW61" s="69">
        <v>-0.28999999999999998</v>
      </c>
      <c r="BX61" s="69" t="s">
        <v>61</v>
      </c>
      <c r="BY61" s="69" t="s">
        <v>61</v>
      </c>
      <c r="BZ61" s="69" t="s">
        <v>61</v>
      </c>
      <c r="CA61" s="69" t="s">
        <v>61</v>
      </c>
      <c r="CB61" s="69" t="s">
        <v>61</v>
      </c>
      <c r="CC61" s="69" t="s">
        <v>59</v>
      </c>
      <c r="CD61" s="69" t="s">
        <v>59</v>
      </c>
      <c r="CE61" s="69" t="s">
        <v>59</v>
      </c>
      <c r="CF61" s="69"/>
      <c r="CG61" s="69"/>
      <c r="CH61" s="69" t="s">
        <v>59</v>
      </c>
      <c r="CI61" s="69" t="s">
        <v>59</v>
      </c>
      <c r="CJ61" s="69" t="s">
        <v>59</v>
      </c>
      <c r="CK61" s="69" t="s">
        <v>59</v>
      </c>
      <c r="CL61" s="69" t="s">
        <v>59</v>
      </c>
      <c r="CM61" s="69" t="s">
        <v>59</v>
      </c>
      <c r="CN61" s="69" t="s">
        <v>59</v>
      </c>
      <c r="CO61" s="69" t="s">
        <v>59</v>
      </c>
      <c r="CP61" s="69" t="s">
        <v>59</v>
      </c>
      <c r="CQ61" s="69" t="s">
        <v>59</v>
      </c>
      <c r="CR61" s="69" t="s">
        <v>59</v>
      </c>
      <c r="CS61" s="69"/>
      <c r="CT61" s="69"/>
      <c r="CU61" s="69" t="s">
        <v>59</v>
      </c>
      <c r="CV61" s="69" t="s">
        <v>59</v>
      </c>
      <c r="CW61" s="69" t="s">
        <v>59</v>
      </c>
      <c r="CX61" s="69" t="s">
        <v>59</v>
      </c>
      <c r="CY61" s="69" t="s">
        <v>59</v>
      </c>
      <c r="CZ61" s="69" t="s">
        <v>59</v>
      </c>
      <c r="DA61" s="69" t="s">
        <v>59</v>
      </c>
      <c r="DB61" s="69" t="s">
        <v>59</v>
      </c>
      <c r="DC61" s="69">
        <v>6</v>
      </c>
      <c r="DD61" s="55"/>
      <c r="DE61" s="43"/>
      <c r="DF61" s="43"/>
      <c r="DG61" s="43"/>
      <c r="DH61" s="43"/>
      <c r="DI61" s="43"/>
      <c r="DJ61" s="43"/>
    </row>
    <row r="62" spans="1:114">
      <c r="A62" s="49" t="s">
        <v>375</v>
      </c>
      <c r="B62" s="43">
        <v>10391</v>
      </c>
      <c r="C62" s="34">
        <v>2</v>
      </c>
      <c r="D62" s="43">
        <v>1</v>
      </c>
      <c r="E62" s="48" t="s">
        <v>139</v>
      </c>
      <c r="F62" s="26" t="s">
        <v>59</v>
      </c>
      <c r="G62" s="48">
        <f t="shared" si="0"/>
        <v>48</v>
      </c>
      <c r="H62" s="26" t="s">
        <v>59</v>
      </c>
      <c r="I62" s="26" t="s">
        <v>59</v>
      </c>
      <c r="J62" s="48" t="s">
        <v>59</v>
      </c>
      <c r="K62" s="26" t="s">
        <v>59</v>
      </c>
      <c r="L62" s="26" t="s">
        <v>59</v>
      </c>
      <c r="M62" s="26" t="s">
        <v>59</v>
      </c>
      <c r="N62" s="26" t="s">
        <v>59</v>
      </c>
      <c r="O62" s="26" t="s">
        <v>59</v>
      </c>
      <c r="P62" s="26" t="s">
        <v>59</v>
      </c>
      <c r="Q62" s="48" t="s">
        <v>59</v>
      </c>
      <c r="R62" s="48" t="s">
        <v>59</v>
      </c>
      <c r="S62" s="48" t="s">
        <v>59</v>
      </c>
      <c r="T62" s="48" t="s">
        <v>59</v>
      </c>
      <c r="U62" s="48">
        <v>21</v>
      </c>
      <c r="V62" s="48">
        <v>27</v>
      </c>
      <c r="W62" s="48" t="s">
        <v>59</v>
      </c>
      <c r="X62" s="48" t="s">
        <v>59</v>
      </c>
      <c r="Y62" s="48">
        <v>6.81</v>
      </c>
      <c r="Z62" s="48">
        <v>0.83</v>
      </c>
      <c r="AA62" s="48" t="s">
        <v>61</v>
      </c>
      <c r="AB62" s="48" t="s">
        <v>61</v>
      </c>
      <c r="AC62" s="48" t="s">
        <v>61</v>
      </c>
      <c r="AD62" s="48">
        <v>6.89</v>
      </c>
      <c r="AE62" s="48">
        <v>1.5</v>
      </c>
      <c r="AF62" s="48" t="s">
        <v>61</v>
      </c>
      <c r="AG62" s="48" t="s">
        <v>61</v>
      </c>
      <c r="AH62" s="48" t="s">
        <v>61</v>
      </c>
      <c r="AI62" s="48" t="s">
        <v>59</v>
      </c>
      <c r="AJ62" s="48" t="s">
        <v>59</v>
      </c>
      <c r="AK62" s="48" t="s">
        <v>59</v>
      </c>
      <c r="AL62" s="48" t="s">
        <v>59</v>
      </c>
      <c r="AM62" s="48" t="s">
        <v>59</v>
      </c>
      <c r="AN62" s="48" t="s">
        <v>59</v>
      </c>
      <c r="AO62" s="48" t="s">
        <v>59</v>
      </c>
      <c r="AP62" s="48" t="s">
        <v>59</v>
      </c>
      <c r="AQ62" s="48" t="s">
        <v>59</v>
      </c>
      <c r="AR62" s="48" t="s">
        <v>59</v>
      </c>
      <c r="AS62" s="48">
        <v>0.83099999999999996</v>
      </c>
      <c r="AT62" s="48" t="s">
        <v>64</v>
      </c>
      <c r="AU62" s="48" t="s">
        <v>59</v>
      </c>
      <c r="AV62" s="48" t="s">
        <v>59</v>
      </c>
      <c r="AW62" s="48" t="s">
        <v>59</v>
      </c>
      <c r="AX62" s="48" t="s">
        <v>59</v>
      </c>
      <c r="AY62" s="73">
        <v>21</v>
      </c>
      <c r="AZ62" s="73">
        <v>27</v>
      </c>
      <c r="BA62" s="73" t="s">
        <v>59</v>
      </c>
      <c r="BB62" s="73" t="s">
        <v>59</v>
      </c>
      <c r="BC62" s="48">
        <v>6.77</v>
      </c>
      <c r="BD62" s="48">
        <v>0.8</v>
      </c>
      <c r="BE62" s="48" t="s">
        <v>61</v>
      </c>
      <c r="BF62" s="48">
        <v>0</v>
      </c>
      <c r="BG62" s="48">
        <v>1</v>
      </c>
      <c r="BH62" s="48" t="s">
        <v>61</v>
      </c>
      <c r="BI62" s="48" t="s">
        <v>61</v>
      </c>
      <c r="BJ62" s="48" t="s">
        <v>61</v>
      </c>
      <c r="BK62" s="48" t="s">
        <v>61</v>
      </c>
      <c r="BL62" s="48" t="s">
        <v>61</v>
      </c>
      <c r="BM62" s="48" t="s">
        <v>61</v>
      </c>
      <c r="BN62" s="48" t="s">
        <v>61</v>
      </c>
      <c r="BO62" s="48" t="s">
        <v>61</v>
      </c>
      <c r="BP62" s="48">
        <v>6.97</v>
      </c>
      <c r="BQ62" s="48">
        <v>1.35</v>
      </c>
      <c r="BR62" s="48" t="s">
        <v>61</v>
      </c>
      <c r="BS62" s="26">
        <v>0</v>
      </c>
      <c r="BT62" s="26">
        <v>1</v>
      </c>
      <c r="BU62" s="48" t="s">
        <v>61</v>
      </c>
      <c r="BV62" s="48" t="s">
        <v>61</v>
      </c>
      <c r="BW62" s="48" t="s">
        <v>61</v>
      </c>
      <c r="BX62" s="48" t="s">
        <v>61</v>
      </c>
      <c r="BY62" s="48" t="s">
        <v>61</v>
      </c>
      <c r="BZ62" s="48" t="s">
        <v>61</v>
      </c>
      <c r="CA62" s="48" t="s">
        <v>61</v>
      </c>
      <c r="CB62" s="48" t="s">
        <v>61</v>
      </c>
      <c r="CC62" s="48" t="s">
        <v>59</v>
      </c>
      <c r="CD62" s="48" t="s">
        <v>59</v>
      </c>
      <c r="CE62" s="48" t="s">
        <v>59</v>
      </c>
      <c r="CF62" s="48"/>
      <c r="CG62" s="48"/>
      <c r="CH62" s="48" t="s">
        <v>59</v>
      </c>
      <c r="CI62" s="48" t="s">
        <v>59</v>
      </c>
      <c r="CJ62" s="48" t="s">
        <v>59</v>
      </c>
      <c r="CK62" s="48" t="s">
        <v>59</v>
      </c>
      <c r="CL62" s="48" t="s">
        <v>59</v>
      </c>
      <c r="CM62" s="48" t="s">
        <v>59</v>
      </c>
      <c r="CN62" s="48" t="s">
        <v>59</v>
      </c>
      <c r="CO62" s="48" t="s">
        <v>59</v>
      </c>
      <c r="CP62" s="48" t="s">
        <v>59</v>
      </c>
      <c r="CQ62" s="48" t="s">
        <v>59</v>
      </c>
      <c r="CR62" s="48" t="s">
        <v>59</v>
      </c>
      <c r="CS62" s="48"/>
      <c r="CT62" s="48"/>
      <c r="CU62" s="48" t="s">
        <v>59</v>
      </c>
      <c r="CV62" s="48" t="s">
        <v>59</v>
      </c>
      <c r="CW62" s="48" t="s">
        <v>59</v>
      </c>
      <c r="CX62" s="48" t="s">
        <v>59</v>
      </c>
      <c r="CY62" s="48" t="s">
        <v>59</v>
      </c>
      <c r="CZ62" s="48" t="s">
        <v>59</v>
      </c>
      <c r="DA62" s="48" t="s">
        <v>59</v>
      </c>
      <c r="DB62" s="48" t="s">
        <v>59</v>
      </c>
      <c r="DC62" s="48">
        <v>4</v>
      </c>
      <c r="DD62" s="55"/>
      <c r="DE62" s="43"/>
      <c r="DF62" s="43"/>
      <c r="DG62" s="43"/>
      <c r="DH62" s="43"/>
      <c r="DI62" s="43"/>
      <c r="DJ62" s="43"/>
    </row>
    <row r="63" spans="1:114" ht="14">
      <c r="A63" s="49" t="s">
        <v>372</v>
      </c>
      <c r="B63" s="43">
        <v>10364</v>
      </c>
      <c r="C63" s="34">
        <v>2</v>
      </c>
      <c r="D63" s="43">
        <v>1</v>
      </c>
      <c r="E63" s="48" t="s">
        <v>139</v>
      </c>
      <c r="F63" s="26" t="s">
        <v>59</v>
      </c>
      <c r="G63" s="48">
        <f t="shared" si="0"/>
        <v>85</v>
      </c>
      <c r="H63" s="26" t="s">
        <v>59</v>
      </c>
      <c r="I63" s="26" t="s">
        <v>59</v>
      </c>
      <c r="J63" s="48" t="s">
        <v>59</v>
      </c>
      <c r="K63" s="26" t="s">
        <v>59</v>
      </c>
      <c r="L63" s="26" t="s">
        <v>59</v>
      </c>
      <c r="M63" s="26" t="s">
        <v>59</v>
      </c>
      <c r="N63" s="26" t="s">
        <v>59</v>
      </c>
      <c r="O63" s="26" t="s">
        <v>59</v>
      </c>
      <c r="P63" s="26" t="s">
        <v>59</v>
      </c>
      <c r="Q63" s="48" t="s">
        <v>59</v>
      </c>
      <c r="R63" s="48" t="s">
        <v>59</v>
      </c>
      <c r="S63" s="48" t="s">
        <v>59</v>
      </c>
      <c r="T63" s="48" t="s">
        <v>59</v>
      </c>
      <c r="U63" s="48">
        <v>42</v>
      </c>
      <c r="V63" s="48">
        <v>45</v>
      </c>
      <c r="W63" s="48" t="s">
        <v>59</v>
      </c>
      <c r="X63" s="48" t="s">
        <v>59</v>
      </c>
      <c r="Y63" s="69">
        <v>8.74</v>
      </c>
      <c r="Z63" s="69">
        <v>1.2</v>
      </c>
      <c r="AA63" s="69" t="s">
        <v>61</v>
      </c>
      <c r="AB63" s="69" t="s">
        <v>61</v>
      </c>
      <c r="AC63" s="69" t="s">
        <v>61</v>
      </c>
      <c r="AD63" s="69">
        <v>8.86</v>
      </c>
      <c r="AE63" s="69">
        <v>1.3</v>
      </c>
      <c r="AF63" s="69" t="s">
        <v>61</v>
      </c>
      <c r="AG63" s="69" t="s">
        <v>61</v>
      </c>
      <c r="AH63" s="69" t="s">
        <v>61</v>
      </c>
      <c r="AI63" s="69" t="s">
        <v>59</v>
      </c>
      <c r="AJ63" s="69" t="s">
        <v>59</v>
      </c>
      <c r="AK63" s="69" t="s">
        <v>59</v>
      </c>
      <c r="AL63" s="69" t="s">
        <v>59</v>
      </c>
      <c r="AM63" s="69" t="s">
        <v>59</v>
      </c>
      <c r="AN63" s="69" t="s">
        <v>59</v>
      </c>
      <c r="AO63" s="69" t="s">
        <v>59</v>
      </c>
      <c r="AP63" s="69" t="s">
        <v>59</v>
      </c>
      <c r="AQ63" s="69" t="s">
        <v>59</v>
      </c>
      <c r="AR63" s="69" t="s">
        <v>59</v>
      </c>
      <c r="AS63" s="69">
        <v>0.66</v>
      </c>
      <c r="AT63" s="69" t="s">
        <v>64</v>
      </c>
      <c r="AU63" s="69" t="s">
        <v>59</v>
      </c>
      <c r="AV63" s="69" t="s">
        <v>59</v>
      </c>
      <c r="AW63" s="69" t="s">
        <v>59</v>
      </c>
      <c r="AX63" s="69" t="s">
        <v>59</v>
      </c>
      <c r="AY63" s="215">
        <v>41</v>
      </c>
      <c r="AZ63" s="215">
        <v>44</v>
      </c>
      <c r="BA63" s="215" t="s">
        <v>59</v>
      </c>
      <c r="BB63" s="215" t="s">
        <v>59</v>
      </c>
      <c r="BC63" s="69">
        <v>8.64</v>
      </c>
      <c r="BD63" s="69">
        <v>1.39</v>
      </c>
      <c r="BE63" s="69" t="s">
        <v>61</v>
      </c>
      <c r="BF63" s="48">
        <v>0</v>
      </c>
      <c r="BG63" s="48">
        <v>1</v>
      </c>
      <c r="BH63" s="69" t="s">
        <v>61</v>
      </c>
      <c r="BI63" s="69" t="s">
        <v>61</v>
      </c>
      <c r="BJ63" s="69" t="s">
        <v>61</v>
      </c>
      <c r="BK63" s="69" t="s">
        <v>61</v>
      </c>
      <c r="BL63" s="69" t="s">
        <v>61</v>
      </c>
      <c r="BM63" s="69" t="s">
        <v>61</v>
      </c>
      <c r="BN63" s="69" t="s">
        <v>61</v>
      </c>
      <c r="BO63" s="69" t="s">
        <v>61</v>
      </c>
      <c r="BP63" s="69">
        <v>8.0500000000000007</v>
      </c>
      <c r="BQ63" s="69">
        <v>1.4</v>
      </c>
      <c r="BR63" s="69" t="s">
        <v>61</v>
      </c>
      <c r="BS63" s="26">
        <v>0</v>
      </c>
      <c r="BT63" s="26">
        <v>1</v>
      </c>
      <c r="BU63" s="69" t="s">
        <v>61</v>
      </c>
      <c r="BV63" s="69" t="s">
        <v>61</v>
      </c>
      <c r="BW63" s="69" t="s">
        <v>61</v>
      </c>
      <c r="BX63" s="69" t="s">
        <v>61</v>
      </c>
      <c r="BY63" s="69" t="s">
        <v>61</v>
      </c>
      <c r="BZ63" s="69" t="s">
        <v>61</v>
      </c>
      <c r="CA63" s="69" t="s">
        <v>61</v>
      </c>
      <c r="CB63" s="69" t="s">
        <v>61</v>
      </c>
      <c r="CC63" s="69" t="s">
        <v>59</v>
      </c>
      <c r="CD63" s="69" t="s">
        <v>59</v>
      </c>
      <c r="CE63" s="69" t="s">
        <v>59</v>
      </c>
      <c r="CF63" s="69"/>
      <c r="CG63" s="69"/>
      <c r="CH63" s="69" t="s">
        <v>59</v>
      </c>
      <c r="CI63" s="69" t="s">
        <v>59</v>
      </c>
      <c r="CJ63" s="69" t="s">
        <v>59</v>
      </c>
      <c r="CK63" s="69" t="s">
        <v>59</v>
      </c>
      <c r="CL63" s="69" t="s">
        <v>59</v>
      </c>
      <c r="CM63" s="69" t="s">
        <v>59</v>
      </c>
      <c r="CN63" s="69" t="s">
        <v>59</v>
      </c>
      <c r="CO63" s="69" t="s">
        <v>59</v>
      </c>
      <c r="CP63" s="69" t="s">
        <v>59</v>
      </c>
      <c r="CQ63" s="69" t="s">
        <v>59</v>
      </c>
      <c r="CR63" s="69" t="s">
        <v>59</v>
      </c>
      <c r="CS63" s="69"/>
      <c r="CT63" s="69"/>
      <c r="CU63" s="69" t="s">
        <v>59</v>
      </c>
      <c r="CV63" s="69" t="s">
        <v>59</v>
      </c>
      <c r="CW63" s="69" t="s">
        <v>59</v>
      </c>
      <c r="CX63" s="69" t="s">
        <v>59</v>
      </c>
      <c r="CY63" s="69" t="s">
        <v>59</v>
      </c>
      <c r="CZ63" s="69" t="s">
        <v>59</v>
      </c>
      <c r="DA63" s="69" t="s">
        <v>59</v>
      </c>
      <c r="DB63" s="69" t="s">
        <v>59</v>
      </c>
      <c r="DC63" s="69">
        <v>12</v>
      </c>
      <c r="DD63" s="55"/>
      <c r="DE63" s="43"/>
      <c r="DF63" s="43"/>
      <c r="DG63" s="43"/>
      <c r="DH63" s="43"/>
      <c r="DI63" s="43"/>
      <c r="DJ63" s="43"/>
    </row>
    <row r="64" spans="1:114" ht="14">
      <c r="A64" s="49" t="s">
        <v>355</v>
      </c>
      <c r="B64" s="43">
        <v>10210</v>
      </c>
      <c r="C64" s="34">
        <v>2</v>
      </c>
      <c r="D64" s="43">
        <v>1</v>
      </c>
      <c r="E64" s="48" t="s">
        <v>139</v>
      </c>
      <c r="F64" s="26" t="s">
        <v>59</v>
      </c>
      <c r="G64" s="48">
        <f t="shared" si="0"/>
        <v>39</v>
      </c>
      <c r="H64" s="26" t="s">
        <v>59</v>
      </c>
      <c r="I64" s="26" t="s">
        <v>59</v>
      </c>
      <c r="J64" s="48" t="s">
        <v>59</v>
      </c>
      <c r="K64" s="26" t="s">
        <v>59</v>
      </c>
      <c r="L64" s="26" t="s">
        <v>59</v>
      </c>
      <c r="M64" s="26" t="s">
        <v>59</v>
      </c>
      <c r="N64" s="26" t="s">
        <v>59</v>
      </c>
      <c r="O64" s="26" t="s">
        <v>59</v>
      </c>
      <c r="P64" s="26" t="s">
        <v>59</v>
      </c>
      <c r="Q64" s="48" t="s">
        <v>59</v>
      </c>
      <c r="R64" s="48" t="s">
        <v>59</v>
      </c>
      <c r="S64" s="48" t="s">
        <v>59</v>
      </c>
      <c r="T64" s="48" t="s">
        <v>59</v>
      </c>
      <c r="U64" s="48">
        <v>21</v>
      </c>
      <c r="V64" s="48">
        <v>25</v>
      </c>
      <c r="W64" s="48" t="s">
        <v>59</v>
      </c>
      <c r="X64" s="48" t="s">
        <v>59</v>
      </c>
      <c r="Y64" s="69">
        <v>8.5</v>
      </c>
      <c r="Z64" s="69">
        <v>1</v>
      </c>
      <c r="AA64" s="69" t="s">
        <v>61</v>
      </c>
      <c r="AB64" s="69" t="s">
        <v>61</v>
      </c>
      <c r="AC64" s="69" t="s">
        <v>61</v>
      </c>
      <c r="AD64" s="69">
        <v>9</v>
      </c>
      <c r="AE64" s="69">
        <v>1.2</v>
      </c>
      <c r="AF64" s="69" t="s">
        <v>61</v>
      </c>
      <c r="AG64" s="69" t="s">
        <v>61</v>
      </c>
      <c r="AH64" s="69" t="s">
        <v>61</v>
      </c>
      <c r="AI64" s="69" t="s">
        <v>59</v>
      </c>
      <c r="AJ64" s="69" t="s">
        <v>59</v>
      </c>
      <c r="AK64" s="69" t="s">
        <v>59</v>
      </c>
      <c r="AL64" s="69" t="s">
        <v>59</v>
      </c>
      <c r="AM64" s="69" t="s">
        <v>59</v>
      </c>
      <c r="AN64" s="69" t="s">
        <v>59</v>
      </c>
      <c r="AO64" s="69" t="s">
        <v>59</v>
      </c>
      <c r="AP64" s="69" t="s">
        <v>59</v>
      </c>
      <c r="AQ64" s="69" t="s">
        <v>59</v>
      </c>
      <c r="AR64" s="69" t="s">
        <v>59</v>
      </c>
      <c r="AS64" s="69">
        <v>0.13</v>
      </c>
      <c r="AT64" s="69" t="s">
        <v>64</v>
      </c>
      <c r="AU64" s="69" t="s">
        <v>59</v>
      </c>
      <c r="AV64" s="69" t="s">
        <v>59</v>
      </c>
      <c r="AW64" s="69" t="s">
        <v>59</v>
      </c>
      <c r="AX64" s="69" t="s">
        <v>59</v>
      </c>
      <c r="AY64" s="215">
        <v>18</v>
      </c>
      <c r="AZ64" s="215">
        <v>21</v>
      </c>
      <c r="BA64" s="215" t="s">
        <v>59</v>
      </c>
      <c r="BB64" s="215" t="s">
        <v>59</v>
      </c>
      <c r="BC64" s="69">
        <v>7.9</v>
      </c>
      <c r="BD64" s="69">
        <v>1.4</v>
      </c>
      <c r="BE64" s="69" t="s">
        <v>61</v>
      </c>
      <c r="BF64" s="48">
        <v>0</v>
      </c>
      <c r="BG64" s="48">
        <v>1</v>
      </c>
      <c r="BH64" s="69" t="s">
        <v>61</v>
      </c>
      <c r="BI64" s="69" t="s">
        <v>61</v>
      </c>
      <c r="BJ64" s="69">
        <v>-0.6</v>
      </c>
      <c r="BK64" s="69">
        <v>1.1000000000000001</v>
      </c>
      <c r="BL64" s="69" t="s">
        <v>61</v>
      </c>
      <c r="BM64" s="69" t="s">
        <v>61</v>
      </c>
      <c r="BN64" s="69" t="s">
        <v>61</v>
      </c>
      <c r="BO64" s="69" t="s">
        <v>61</v>
      </c>
      <c r="BP64" s="69">
        <v>7.4</v>
      </c>
      <c r="BQ64" s="69">
        <v>1.4</v>
      </c>
      <c r="BR64" s="69" t="s">
        <v>61</v>
      </c>
      <c r="BS64" s="26">
        <v>0</v>
      </c>
      <c r="BT64" s="26">
        <v>1</v>
      </c>
      <c r="BU64" s="69" t="s">
        <v>61</v>
      </c>
      <c r="BV64" s="69" t="s">
        <v>61</v>
      </c>
      <c r="BW64" s="69">
        <v>-1.6</v>
      </c>
      <c r="BX64" s="69">
        <v>1.4</v>
      </c>
      <c r="BY64" s="69" t="s">
        <v>61</v>
      </c>
      <c r="BZ64" s="69" t="s">
        <v>61</v>
      </c>
      <c r="CA64" s="69" t="s">
        <v>61</v>
      </c>
      <c r="CB64" s="69" t="s">
        <v>61</v>
      </c>
      <c r="CC64" s="69" t="s">
        <v>59</v>
      </c>
      <c r="CD64" s="69" t="s">
        <v>59</v>
      </c>
      <c r="CE64" s="69" t="s">
        <v>59</v>
      </c>
      <c r="CF64" s="69"/>
      <c r="CG64" s="69"/>
      <c r="CH64" s="69" t="s">
        <v>59</v>
      </c>
      <c r="CI64" s="69" t="s">
        <v>59</v>
      </c>
      <c r="CJ64" s="69" t="s">
        <v>59</v>
      </c>
      <c r="CK64" s="69" t="s">
        <v>59</v>
      </c>
      <c r="CL64" s="69" t="s">
        <v>59</v>
      </c>
      <c r="CM64" s="69" t="s">
        <v>59</v>
      </c>
      <c r="CN64" s="69" t="s">
        <v>59</v>
      </c>
      <c r="CO64" s="69" t="s">
        <v>59</v>
      </c>
      <c r="CP64" s="69" t="s">
        <v>59</v>
      </c>
      <c r="CQ64" s="69" t="s">
        <v>59</v>
      </c>
      <c r="CR64" s="69" t="s">
        <v>59</v>
      </c>
      <c r="CS64" s="69"/>
      <c r="CT64" s="69"/>
      <c r="CU64" s="69" t="s">
        <v>59</v>
      </c>
      <c r="CV64" s="69" t="s">
        <v>59</v>
      </c>
      <c r="CW64" s="69" t="s">
        <v>59</v>
      </c>
      <c r="CX64" s="69" t="s">
        <v>59</v>
      </c>
      <c r="CY64" s="69" t="s">
        <v>59</v>
      </c>
      <c r="CZ64" s="69" t="s">
        <v>59</v>
      </c>
      <c r="DA64" s="69" t="s">
        <v>59</v>
      </c>
      <c r="DB64" s="69" t="s">
        <v>59</v>
      </c>
      <c r="DC64" s="69">
        <v>12</v>
      </c>
      <c r="DD64" s="55"/>
      <c r="DE64" s="43"/>
      <c r="DF64" s="43"/>
      <c r="DG64" s="43"/>
      <c r="DH64" s="43"/>
      <c r="DI64" s="43"/>
      <c r="DJ64" s="43"/>
    </row>
    <row r="65" spans="1:114">
      <c r="A65" s="34" t="s">
        <v>211</v>
      </c>
      <c r="B65" s="34">
        <v>5852</v>
      </c>
      <c r="C65" s="34">
        <v>2</v>
      </c>
      <c r="D65" s="43">
        <v>1</v>
      </c>
      <c r="E65" s="26" t="s">
        <v>139</v>
      </c>
      <c r="F65" s="26" t="s">
        <v>59</v>
      </c>
      <c r="G65" s="48">
        <f t="shared" si="0"/>
        <v>93</v>
      </c>
      <c r="H65" s="26" t="s">
        <v>59</v>
      </c>
      <c r="I65" s="26" t="s">
        <v>60</v>
      </c>
      <c r="J65" s="26" t="s">
        <v>59</v>
      </c>
      <c r="K65" s="26" t="s">
        <v>59</v>
      </c>
      <c r="L65" s="26" t="s">
        <v>59</v>
      </c>
      <c r="M65" s="26" t="s">
        <v>59</v>
      </c>
      <c r="N65" s="26" t="s">
        <v>59</v>
      </c>
      <c r="O65" s="26" t="s">
        <v>59</v>
      </c>
      <c r="P65" s="26" t="s">
        <v>59</v>
      </c>
      <c r="Q65" s="26" t="s">
        <v>60</v>
      </c>
      <c r="R65" s="26" t="s">
        <v>60</v>
      </c>
      <c r="S65" s="26" t="s">
        <v>60</v>
      </c>
      <c r="T65" s="26" t="s">
        <v>60</v>
      </c>
      <c r="U65" s="26">
        <v>46</v>
      </c>
      <c r="V65" s="26">
        <v>47</v>
      </c>
      <c r="W65" s="26" t="s">
        <v>60</v>
      </c>
      <c r="X65" s="26" t="s">
        <v>60</v>
      </c>
      <c r="Y65" s="26">
        <v>9.3000000000000007</v>
      </c>
      <c r="Z65" s="26">
        <v>1.5</v>
      </c>
      <c r="AA65" s="26" t="s">
        <v>61</v>
      </c>
      <c r="AB65" s="26" t="s">
        <v>61</v>
      </c>
      <c r="AC65" s="27" t="s">
        <v>61</v>
      </c>
      <c r="AD65" s="26">
        <v>9.1999999999999993</v>
      </c>
      <c r="AE65" s="26">
        <v>1.1000000000000001</v>
      </c>
      <c r="AF65" s="26" t="s">
        <v>61</v>
      </c>
      <c r="AG65" s="26" t="s">
        <v>61</v>
      </c>
      <c r="AH65" s="27" t="s">
        <v>61</v>
      </c>
      <c r="AI65" s="26" t="s">
        <v>60</v>
      </c>
      <c r="AJ65" s="26" t="s">
        <v>60</v>
      </c>
      <c r="AK65" s="26" t="s">
        <v>59</v>
      </c>
      <c r="AL65" s="26" t="s">
        <v>59</v>
      </c>
      <c r="AM65" s="26" t="s">
        <v>59</v>
      </c>
      <c r="AN65" s="26" t="s">
        <v>60</v>
      </c>
      <c r="AO65" s="26" t="s">
        <v>59</v>
      </c>
      <c r="AP65" s="26" t="s">
        <v>59</v>
      </c>
      <c r="AQ65" s="26" t="s">
        <v>59</v>
      </c>
      <c r="AR65" s="26" t="s">
        <v>59</v>
      </c>
      <c r="AS65" s="26" t="s">
        <v>61</v>
      </c>
      <c r="AT65" s="26" t="s">
        <v>64</v>
      </c>
      <c r="AU65" s="26" t="s">
        <v>59</v>
      </c>
      <c r="AV65" s="26" t="s">
        <v>59</v>
      </c>
      <c r="AW65" s="26" t="s">
        <v>59</v>
      </c>
      <c r="AX65" s="26" t="s">
        <v>59</v>
      </c>
      <c r="AY65" s="186">
        <v>46</v>
      </c>
      <c r="AZ65" s="186">
        <v>47</v>
      </c>
      <c r="BA65" s="186" t="s">
        <v>60</v>
      </c>
      <c r="BB65" s="186" t="s">
        <v>60</v>
      </c>
      <c r="BC65" s="26">
        <v>8.9</v>
      </c>
      <c r="BD65" s="26">
        <v>1.4</v>
      </c>
      <c r="BE65" s="26" t="s">
        <v>61</v>
      </c>
      <c r="BF65" s="48">
        <v>0</v>
      </c>
      <c r="BG65" s="48">
        <v>1</v>
      </c>
      <c r="BH65" s="27" t="s">
        <v>61</v>
      </c>
      <c r="BI65" s="27" t="s">
        <v>61</v>
      </c>
      <c r="BJ65" s="26">
        <v>-0.38</v>
      </c>
      <c r="BK65" s="26" t="s">
        <v>61</v>
      </c>
      <c r="BL65" s="26" t="s">
        <v>61</v>
      </c>
      <c r="BM65" s="26">
        <v>-0.73</v>
      </c>
      <c r="BN65" s="26">
        <v>-0.03</v>
      </c>
      <c r="BO65" s="26" t="s">
        <v>212</v>
      </c>
      <c r="BP65" s="26">
        <v>8.6</v>
      </c>
      <c r="BQ65" s="26">
        <v>1.4</v>
      </c>
      <c r="BR65" s="26" t="s">
        <v>61</v>
      </c>
      <c r="BS65" s="26">
        <v>0</v>
      </c>
      <c r="BT65" s="26">
        <v>1</v>
      </c>
      <c r="BU65" s="27" t="s">
        <v>61</v>
      </c>
      <c r="BV65" s="27" t="s">
        <v>61</v>
      </c>
      <c r="BW65" s="26">
        <v>-0.62</v>
      </c>
      <c r="BX65" s="26" t="s">
        <v>61</v>
      </c>
      <c r="BY65" s="27" t="s">
        <v>61</v>
      </c>
      <c r="BZ65" s="26">
        <v>-0.98</v>
      </c>
      <c r="CA65" s="27">
        <v>-0.27</v>
      </c>
      <c r="CB65" s="26" t="s">
        <v>119</v>
      </c>
      <c r="CC65" s="26" t="s">
        <v>60</v>
      </c>
      <c r="CD65" s="26" t="s">
        <v>60</v>
      </c>
      <c r="CE65" s="26" t="s">
        <v>59</v>
      </c>
      <c r="CF65" s="26"/>
      <c r="CG65" s="26"/>
      <c r="CH65" s="26" t="s">
        <v>59</v>
      </c>
      <c r="CI65" s="26" t="s">
        <v>59</v>
      </c>
      <c r="CJ65" s="26" t="s">
        <v>59</v>
      </c>
      <c r="CK65" s="26" t="s">
        <v>59</v>
      </c>
      <c r="CL65" s="26" t="s">
        <v>59</v>
      </c>
      <c r="CM65" s="26" t="s">
        <v>59</v>
      </c>
      <c r="CN65" s="26" t="s">
        <v>59</v>
      </c>
      <c r="CO65" s="26" t="s">
        <v>59</v>
      </c>
      <c r="CP65" s="26" t="s">
        <v>60</v>
      </c>
      <c r="CQ65" s="26" t="s">
        <v>60</v>
      </c>
      <c r="CR65" s="26" t="s">
        <v>59</v>
      </c>
      <c r="CS65" s="26"/>
      <c r="CT65" s="26"/>
      <c r="CU65" s="26" t="s">
        <v>59</v>
      </c>
      <c r="CV65" s="26" t="s">
        <v>59</v>
      </c>
      <c r="CW65" s="26" t="s">
        <v>59</v>
      </c>
      <c r="CX65" s="26" t="s">
        <v>59</v>
      </c>
      <c r="CY65" s="26" t="s">
        <v>59</v>
      </c>
      <c r="CZ65" s="26" t="s">
        <v>59</v>
      </c>
      <c r="DA65" s="26" t="s">
        <v>59</v>
      </c>
      <c r="DB65" s="26" t="s">
        <v>59</v>
      </c>
      <c r="DC65" s="26">
        <v>9</v>
      </c>
    </row>
    <row r="66" spans="1:114">
      <c r="A66" s="34" t="s">
        <v>184</v>
      </c>
      <c r="B66" s="34">
        <v>5050</v>
      </c>
      <c r="C66" s="34">
        <v>2</v>
      </c>
      <c r="D66" s="43">
        <v>1</v>
      </c>
      <c r="E66" s="26" t="s">
        <v>139</v>
      </c>
      <c r="F66" s="26" t="s">
        <v>59</v>
      </c>
      <c r="G66" s="48">
        <f t="shared" ref="G66:G129" si="1">SUM(AY66:BB66)</f>
        <v>77</v>
      </c>
      <c r="H66" s="26" t="s">
        <v>59</v>
      </c>
      <c r="I66" s="26" t="s">
        <v>60</v>
      </c>
      <c r="J66" s="26" t="s">
        <v>59</v>
      </c>
      <c r="K66" s="26" t="s">
        <v>59</v>
      </c>
      <c r="L66" s="26" t="s">
        <v>59</v>
      </c>
      <c r="M66" s="26" t="s">
        <v>59</v>
      </c>
      <c r="N66" s="26" t="s">
        <v>59</v>
      </c>
      <c r="O66" s="26" t="s">
        <v>59</v>
      </c>
      <c r="P66" s="26" t="s">
        <v>59</v>
      </c>
      <c r="Q66" s="26" t="s">
        <v>60</v>
      </c>
      <c r="R66" s="26" t="s">
        <v>60</v>
      </c>
      <c r="S66" s="26" t="s">
        <v>60</v>
      </c>
      <c r="T66" s="26" t="s">
        <v>60</v>
      </c>
      <c r="U66" s="26">
        <v>36</v>
      </c>
      <c r="V66" s="26">
        <v>41</v>
      </c>
      <c r="W66" s="26" t="s">
        <v>60</v>
      </c>
      <c r="X66" s="26" t="s">
        <v>60</v>
      </c>
      <c r="Y66" s="26">
        <v>8.0500000000000007</v>
      </c>
      <c r="Z66" s="26">
        <v>1.3</v>
      </c>
      <c r="AA66" s="26" t="s">
        <v>61</v>
      </c>
      <c r="AB66" s="26" t="s">
        <v>61</v>
      </c>
      <c r="AC66" s="27" t="s">
        <v>61</v>
      </c>
      <c r="AD66" s="26">
        <v>7.99</v>
      </c>
      <c r="AE66" s="26">
        <v>1.1000000000000001</v>
      </c>
      <c r="AF66" s="26" t="s">
        <v>61</v>
      </c>
      <c r="AG66" s="26" t="s">
        <v>61</v>
      </c>
      <c r="AH66" s="27" t="s">
        <v>61</v>
      </c>
      <c r="AI66" s="26" t="s">
        <v>59</v>
      </c>
      <c r="AJ66" s="26" t="s">
        <v>60</v>
      </c>
      <c r="AK66" s="26" t="s">
        <v>59</v>
      </c>
      <c r="AL66" s="26" t="s">
        <v>59</v>
      </c>
      <c r="AM66" s="26" t="s">
        <v>59</v>
      </c>
      <c r="AN66" s="26" t="s">
        <v>60</v>
      </c>
      <c r="AO66" s="26" t="s">
        <v>60</v>
      </c>
      <c r="AP66" s="26" t="s">
        <v>59</v>
      </c>
      <c r="AQ66" s="26" t="s">
        <v>59</v>
      </c>
      <c r="AR66" s="26" t="s">
        <v>59</v>
      </c>
      <c r="AS66" s="26" t="s">
        <v>61</v>
      </c>
      <c r="AT66" s="26" t="s">
        <v>64</v>
      </c>
      <c r="AU66" s="26" t="s">
        <v>59</v>
      </c>
      <c r="AV66" s="26" t="s">
        <v>59</v>
      </c>
      <c r="AW66" s="26" t="s">
        <v>59</v>
      </c>
      <c r="AX66" s="26" t="s">
        <v>59</v>
      </c>
      <c r="AY66" s="186">
        <v>36</v>
      </c>
      <c r="AZ66" s="186">
        <v>41</v>
      </c>
      <c r="BA66" s="186" t="s">
        <v>60</v>
      </c>
      <c r="BB66" s="186" t="s">
        <v>60</v>
      </c>
      <c r="BC66" s="26">
        <v>8.16</v>
      </c>
      <c r="BD66" s="26">
        <v>1.5</v>
      </c>
      <c r="BE66" s="26" t="s">
        <v>61</v>
      </c>
      <c r="BF66" s="48">
        <v>0</v>
      </c>
      <c r="BG66" s="48">
        <v>1</v>
      </c>
      <c r="BH66" s="27" t="s">
        <v>61</v>
      </c>
      <c r="BI66" s="27" t="s">
        <v>61</v>
      </c>
      <c r="BJ66" s="26">
        <v>0.11</v>
      </c>
      <c r="BK66" s="26">
        <v>1.4</v>
      </c>
      <c r="BL66" s="26" t="s">
        <v>61</v>
      </c>
      <c r="BM66" s="26" t="s">
        <v>61</v>
      </c>
      <c r="BN66" s="26" t="s">
        <v>61</v>
      </c>
      <c r="BO66" s="26" t="s">
        <v>61</v>
      </c>
      <c r="BP66" s="26">
        <v>7.62</v>
      </c>
      <c r="BQ66" s="26">
        <v>1.4</v>
      </c>
      <c r="BR66" s="26" t="s">
        <v>61</v>
      </c>
      <c r="BS66" s="26">
        <v>0</v>
      </c>
      <c r="BT66" s="26">
        <v>1</v>
      </c>
      <c r="BU66" s="27" t="s">
        <v>61</v>
      </c>
      <c r="BV66" s="27" t="s">
        <v>61</v>
      </c>
      <c r="BW66" s="26">
        <v>-0.37</v>
      </c>
      <c r="BX66" s="26">
        <v>1.3</v>
      </c>
      <c r="BY66" s="27" t="s">
        <v>61</v>
      </c>
      <c r="BZ66" s="26" t="s">
        <v>61</v>
      </c>
      <c r="CA66" s="27" t="s">
        <v>61</v>
      </c>
      <c r="CB66" s="26" t="s">
        <v>61</v>
      </c>
      <c r="CC66" s="26" t="s">
        <v>60</v>
      </c>
      <c r="CD66" s="26" t="s">
        <v>60</v>
      </c>
      <c r="CE66" s="26" t="s">
        <v>59</v>
      </c>
      <c r="CF66" s="26"/>
      <c r="CG66" s="26"/>
      <c r="CH66" s="26" t="s">
        <v>59</v>
      </c>
      <c r="CI66" s="26" t="s">
        <v>59</v>
      </c>
      <c r="CJ66" s="26" t="s">
        <v>59</v>
      </c>
      <c r="CK66" s="26" t="s">
        <v>59</v>
      </c>
      <c r="CL66" s="26" t="s">
        <v>59</v>
      </c>
      <c r="CM66" s="26" t="s">
        <v>59</v>
      </c>
      <c r="CN66" s="26" t="s">
        <v>59</v>
      </c>
      <c r="CO66" s="26" t="s">
        <v>59</v>
      </c>
      <c r="CP66" s="26" t="s">
        <v>60</v>
      </c>
      <c r="CQ66" s="26" t="s">
        <v>60</v>
      </c>
      <c r="CR66" s="26" t="s">
        <v>59</v>
      </c>
      <c r="CS66" s="26"/>
      <c r="CT66" s="26"/>
      <c r="CU66" s="26" t="s">
        <v>59</v>
      </c>
      <c r="CV66" s="26" t="s">
        <v>59</v>
      </c>
      <c r="CW66" s="26" t="s">
        <v>59</v>
      </c>
      <c r="CX66" s="26" t="s">
        <v>59</v>
      </c>
      <c r="CY66" s="26" t="s">
        <v>59</v>
      </c>
      <c r="CZ66" s="26" t="s">
        <v>59</v>
      </c>
      <c r="DA66" s="26" t="s">
        <v>59</v>
      </c>
      <c r="DB66" s="26" t="s">
        <v>59</v>
      </c>
      <c r="DC66" s="26">
        <v>18</v>
      </c>
    </row>
    <row r="67" spans="1:114">
      <c r="A67" s="34" t="s">
        <v>210</v>
      </c>
      <c r="B67" s="34">
        <v>5809</v>
      </c>
      <c r="C67" s="34">
        <v>2</v>
      </c>
      <c r="D67" s="43">
        <v>1</v>
      </c>
      <c r="E67" s="26" t="s">
        <v>139</v>
      </c>
      <c r="F67" s="26" t="s">
        <v>59</v>
      </c>
      <c r="G67" s="48">
        <f t="shared" si="1"/>
        <v>332</v>
      </c>
      <c r="H67" s="26" t="s">
        <v>59</v>
      </c>
      <c r="I67" s="26" t="s">
        <v>60</v>
      </c>
      <c r="J67" s="26" t="s">
        <v>59</v>
      </c>
      <c r="K67" s="26" t="s">
        <v>59</v>
      </c>
      <c r="L67" s="26" t="s">
        <v>59</v>
      </c>
      <c r="M67" s="26" t="s">
        <v>59</v>
      </c>
      <c r="N67" s="26" t="s">
        <v>59</v>
      </c>
      <c r="O67" s="26" t="s">
        <v>59</v>
      </c>
      <c r="P67" s="26" t="s">
        <v>59</v>
      </c>
      <c r="Q67" s="26" t="s">
        <v>60</v>
      </c>
      <c r="R67" s="26" t="s">
        <v>60</v>
      </c>
      <c r="S67" s="26" t="s">
        <v>60</v>
      </c>
      <c r="T67" s="26" t="s">
        <v>60</v>
      </c>
      <c r="U67" s="26">
        <v>182</v>
      </c>
      <c r="V67" s="26">
        <v>150</v>
      </c>
      <c r="W67" s="26" t="s">
        <v>60</v>
      </c>
      <c r="X67" s="26" t="s">
        <v>60</v>
      </c>
      <c r="Y67" s="26">
        <v>7.36</v>
      </c>
      <c r="Z67" s="26">
        <v>1.5</v>
      </c>
      <c r="AA67" s="26" t="s">
        <v>61</v>
      </c>
      <c r="AB67" s="26" t="s">
        <v>61</v>
      </c>
      <c r="AC67" s="27" t="s">
        <v>61</v>
      </c>
      <c r="AD67" s="26">
        <v>7.46</v>
      </c>
      <c r="AE67" s="26">
        <v>1.4</v>
      </c>
      <c r="AF67" s="26" t="s">
        <v>61</v>
      </c>
      <c r="AG67" s="26" t="s">
        <v>61</v>
      </c>
      <c r="AH67" s="27" t="s">
        <v>61</v>
      </c>
      <c r="AI67" s="26" t="s">
        <v>59</v>
      </c>
      <c r="AJ67" s="26" t="s">
        <v>60</v>
      </c>
      <c r="AK67" s="26" t="s">
        <v>59</v>
      </c>
      <c r="AL67" s="26" t="s">
        <v>59</v>
      </c>
      <c r="AM67" s="26" t="s">
        <v>59</v>
      </c>
      <c r="AN67" s="26" t="s">
        <v>60</v>
      </c>
      <c r="AO67" s="26" t="s">
        <v>60</v>
      </c>
      <c r="AP67" s="26" t="s">
        <v>59</v>
      </c>
      <c r="AQ67" s="26" t="s">
        <v>59</v>
      </c>
      <c r="AR67" s="26" t="s">
        <v>59</v>
      </c>
      <c r="AS67" s="26" t="s">
        <v>61</v>
      </c>
      <c r="AT67" s="26" t="s">
        <v>64</v>
      </c>
      <c r="AU67" s="26" t="s">
        <v>59</v>
      </c>
      <c r="AV67" s="26" t="s">
        <v>59</v>
      </c>
      <c r="AW67" s="26" t="s">
        <v>59</v>
      </c>
      <c r="AX67" s="26" t="s">
        <v>59</v>
      </c>
      <c r="AY67" s="186">
        <v>182</v>
      </c>
      <c r="AZ67" s="186">
        <v>150</v>
      </c>
      <c r="BA67" s="186" t="s">
        <v>60</v>
      </c>
      <c r="BB67" s="186" t="s">
        <v>60</v>
      </c>
      <c r="BC67" s="26">
        <v>7.4</v>
      </c>
      <c r="BD67" s="26">
        <v>1.8</v>
      </c>
      <c r="BE67" s="26" t="s">
        <v>61</v>
      </c>
      <c r="BF67" s="48">
        <v>0</v>
      </c>
      <c r="BG67" s="48">
        <v>1</v>
      </c>
      <c r="BH67" s="27" t="s">
        <v>61</v>
      </c>
      <c r="BI67" s="27" t="s">
        <v>61</v>
      </c>
      <c r="BJ67" s="26" t="s">
        <v>61</v>
      </c>
      <c r="BK67" s="26" t="s">
        <v>61</v>
      </c>
      <c r="BL67" s="26" t="s">
        <v>61</v>
      </c>
      <c r="BM67" s="26" t="s">
        <v>61</v>
      </c>
      <c r="BN67" s="26" t="s">
        <v>61</v>
      </c>
      <c r="BO67" s="26" t="s">
        <v>61</v>
      </c>
      <c r="BP67" s="26">
        <v>7.45</v>
      </c>
      <c r="BQ67" s="26">
        <v>1.4</v>
      </c>
      <c r="BR67" s="26" t="s">
        <v>61</v>
      </c>
      <c r="BS67" s="26">
        <v>0</v>
      </c>
      <c r="BT67" s="26">
        <v>1</v>
      </c>
      <c r="BU67" s="27" t="s">
        <v>61</v>
      </c>
      <c r="BV67" s="27" t="s">
        <v>61</v>
      </c>
      <c r="BW67" s="26" t="s">
        <v>61</v>
      </c>
      <c r="BX67" s="26" t="s">
        <v>61</v>
      </c>
      <c r="BY67" s="27" t="s">
        <v>61</v>
      </c>
      <c r="BZ67" s="26" t="s">
        <v>61</v>
      </c>
      <c r="CA67" s="27" t="s">
        <v>61</v>
      </c>
      <c r="CB67" s="26" t="s">
        <v>61</v>
      </c>
      <c r="CC67" s="26" t="s">
        <v>60</v>
      </c>
      <c r="CD67" s="26" t="s">
        <v>60</v>
      </c>
      <c r="CE67" s="26" t="s">
        <v>59</v>
      </c>
      <c r="CF67" s="26"/>
      <c r="CG67" s="26"/>
      <c r="CH67" s="26" t="s">
        <v>59</v>
      </c>
      <c r="CI67" s="26" t="s">
        <v>59</v>
      </c>
      <c r="CJ67" s="26" t="s">
        <v>59</v>
      </c>
      <c r="CK67" s="26" t="s">
        <v>59</v>
      </c>
      <c r="CL67" s="26" t="s">
        <v>59</v>
      </c>
      <c r="CM67" s="26" t="s">
        <v>59</v>
      </c>
      <c r="CN67" s="26" t="s">
        <v>59</v>
      </c>
      <c r="CO67" s="26" t="s">
        <v>59</v>
      </c>
      <c r="CP67" s="26" t="s">
        <v>60</v>
      </c>
      <c r="CQ67" s="26" t="s">
        <v>60</v>
      </c>
      <c r="CR67" s="26" t="s">
        <v>59</v>
      </c>
      <c r="CS67" s="26"/>
      <c r="CT67" s="26"/>
      <c r="CU67" s="26" t="s">
        <v>59</v>
      </c>
      <c r="CV67" s="26" t="s">
        <v>59</v>
      </c>
      <c r="CW67" s="26" t="s">
        <v>59</v>
      </c>
      <c r="CX67" s="26" t="s">
        <v>59</v>
      </c>
      <c r="CY67" s="26" t="s">
        <v>59</v>
      </c>
      <c r="CZ67" s="26" t="s">
        <v>59</v>
      </c>
      <c r="DA67" s="26" t="s">
        <v>59</v>
      </c>
      <c r="DB67" s="26" t="s">
        <v>59</v>
      </c>
      <c r="DC67" s="26">
        <v>12</v>
      </c>
    </row>
    <row r="68" spans="1:114" ht="14">
      <c r="A68" s="49" t="s">
        <v>350</v>
      </c>
      <c r="B68" s="43">
        <v>10179</v>
      </c>
      <c r="C68" s="34">
        <v>2</v>
      </c>
      <c r="D68" s="43">
        <v>1</v>
      </c>
      <c r="E68" s="48" t="s">
        <v>139</v>
      </c>
      <c r="F68" s="26" t="s">
        <v>59</v>
      </c>
      <c r="G68" s="48">
        <f t="shared" si="1"/>
        <v>170</v>
      </c>
      <c r="H68" s="26" t="s">
        <v>59</v>
      </c>
      <c r="I68" s="26" t="s">
        <v>59</v>
      </c>
      <c r="J68" s="48" t="s">
        <v>59</v>
      </c>
      <c r="K68" s="26" t="s">
        <v>59</v>
      </c>
      <c r="L68" s="26" t="s">
        <v>59</v>
      </c>
      <c r="M68" s="26" t="s">
        <v>59</v>
      </c>
      <c r="N68" s="26" t="s">
        <v>59</v>
      </c>
      <c r="O68" s="26" t="s">
        <v>59</v>
      </c>
      <c r="P68" s="26" t="s">
        <v>59</v>
      </c>
      <c r="Q68" s="48" t="s">
        <v>59</v>
      </c>
      <c r="R68" s="48" t="s">
        <v>59</v>
      </c>
      <c r="S68" s="48" t="s">
        <v>59</v>
      </c>
      <c r="T68" s="48" t="s">
        <v>59</v>
      </c>
      <c r="U68" s="48">
        <v>85</v>
      </c>
      <c r="V68" s="48">
        <v>85</v>
      </c>
      <c r="W68" s="48" t="s">
        <v>59</v>
      </c>
      <c r="X68" s="48" t="s">
        <v>59</v>
      </c>
      <c r="Y68" s="69">
        <v>10.199999999999999</v>
      </c>
      <c r="Z68" s="69">
        <v>2.4</v>
      </c>
      <c r="AA68" s="69" t="s">
        <v>61</v>
      </c>
      <c r="AB68" s="69" t="s">
        <v>61</v>
      </c>
      <c r="AC68" s="69" t="s">
        <v>61</v>
      </c>
      <c r="AD68" s="69">
        <v>10.3</v>
      </c>
      <c r="AE68" s="69">
        <v>1.8</v>
      </c>
      <c r="AF68" s="69" t="s">
        <v>61</v>
      </c>
      <c r="AG68" s="69" t="s">
        <v>61</v>
      </c>
      <c r="AH68" s="69" t="s">
        <v>61</v>
      </c>
      <c r="AI68" s="69" t="s">
        <v>59</v>
      </c>
      <c r="AJ68" s="69" t="s">
        <v>59</v>
      </c>
      <c r="AK68" s="69" t="s">
        <v>59</v>
      </c>
      <c r="AL68" s="69" t="s">
        <v>59</v>
      </c>
      <c r="AM68" s="69" t="s">
        <v>59</v>
      </c>
      <c r="AN68" s="69" t="s">
        <v>59</v>
      </c>
      <c r="AO68" s="69" t="s">
        <v>59</v>
      </c>
      <c r="AP68" s="69" t="s">
        <v>59</v>
      </c>
      <c r="AQ68" s="69" t="s">
        <v>59</v>
      </c>
      <c r="AR68" s="69" t="s">
        <v>59</v>
      </c>
      <c r="AS68" s="69">
        <v>0.63200000000000001</v>
      </c>
      <c r="AT68" s="69" t="s">
        <v>64</v>
      </c>
      <c r="AU68" s="69" t="s">
        <v>59</v>
      </c>
      <c r="AV68" s="69" t="s">
        <v>59</v>
      </c>
      <c r="AW68" s="69" t="s">
        <v>59</v>
      </c>
      <c r="AX68" s="69" t="s">
        <v>59</v>
      </c>
      <c r="AY68" s="215">
        <v>85</v>
      </c>
      <c r="AZ68" s="215">
        <v>85</v>
      </c>
      <c r="BA68" s="215" t="s">
        <v>59</v>
      </c>
      <c r="BB68" s="215" t="s">
        <v>59</v>
      </c>
      <c r="BC68" s="69">
        <v>9.8000000000000007</v>
      </c>
      <c r="BD68" s="69">
        <v>1.8</v>
      </c>
      <c r="BE68" s="69" t="s">
        <v>61</v>
      </c>
      <c r="BF68" s="48">
        <v>0</v>
      </c>
      <c r="BG68" s="48">
        <v>1</v>
      </c>
      <c r="BH68" s="69" t="s">
        <v>61</v>
      </c>
      <c r="BI68" s="69" t="s">
        <v>61</v>
      </c>
      <c r="BJ68" s="69">
        <v>-0.4</v>
      </c>
      <c r="BK68" s="69" t="s">
        <v>61</v>
      </c>
      <c r="BL68" s="69" t="s">
        <v>61</v>
      </c>
      <c r="BM68" s="69" t="s">
        <v>61</v>
      </c>
      <c r="BN68" s="69" t="s">
        <v>61</v>
      </c>
      <c r="BO68" s="69">
        <v>0.248</v>
      </c>
      <c r="BP68" s="69">
        <v>9.5</v>
      </c>
      <c r="BQ68" s="69">
        <v>1.4</v>
      </c>
      <c r="BR68" s="69" t="s">
        <v>61</v>
      </c>
      <c r="BS68" s="26">
        <v>0</v>
      </c>
      <c r="BT68" s="26">
        <v>1</v>
      </c>
      <c r="BU68" s="69" t="s">
        <v>61</v>
      </c>
      <c r="BV68" s="69" t="s">
        <v>61</v>
      </c>
      <c r="BW68" s="69">
        <v>-0.8</v>
      </c>
      <c r="BX68" s="69" t="s">
        <v>61</v>
      </c>
      <c r="BY68" s="69" t="s">
        <v>61</v>
      </c>
      <c r="BZ68" s="69" t="s">
        <v>61</v>
      </c>
      <c r="CA68" s="69" t="s">
        <v>61</v>
      </c>
      <c r="CB68" s="69">
        <v>1E-3</v>
      </c>
      <c r="CC68" s="69" t="s">
        <v>59</v>
      </c>
      <c r="CD68" s="69" t="s">
        <v>59</v>
      </c>
      <c r="CE68" s="69" t="s">
        <v>59</v>
      </c>
      <c r="CF68" s="69"/>
      <c r="CG68" s="69"/>
      <c r="CH68" s="69" t="s">
        <v>59</v>
      </c>
      <c r="CI68" s="69" t="s">
        <v>59</v>
      </c>
      <c r="CJ68" s="69" t="s">
        <v>59</v>
      </c>
      <c r="CK68" s="69" t="s">
        <v>59</v>
      </c>
      <c r="CL68" s="69" t="s">
        <v>59</v>
      </c>
      <c r="CM68" s="69" t="s">
        <v>59</v>
      </c>
      <c r="CN68" s="69" t="s">
        <v>59</v>
      </c>
      <c r="CO68" s="69" t="s">
        <v>59</v>
      </c>
      <c r="CP68" s="69" t="s">
        <v>59</v>
      </c>
      <c r="CQ68" s="69" t="s">
        <v>59</v>
      </c>
      <c r="CR68" s="69" t="s">
        <v>59</v>
      </c>
      <c r="CS68" s="69"/>
      <c r="CT68" s="69"/>
      <c r="CU68" s="69" t="s">
        <v>59</v>
      </c>
      <c r="CV68" s="69" t="s">
        <v>59</v>
      </c>
      <c r="CW68" s="69" t="s">
        <v>59</v>
      </c>
      <c r="CX68" s="69" t="s">
        <v>59</v>
      </c>
      <c r="CY68" s="69" t="s">
        <v>59</v>
      </c>
      <c r="CZ68" s="69" t="s">
        <v>59</v>
      </c>
      <c r="DA68" s="69" t="s">
        <v>59</v>
      </c>
      <c r="DB68" s="69" t="s">
        <v>59</v>
      </c>
      <c r="DC68" s="69">
        <v>6</v>
      </c>
      <c r="DD68" s="55"/>
      <c r="DE68" s="43"/>
      <c r="DF68" s="43"/>
      <c r="DG68" s="43"/>
      <c r="DH68" s="43"/>
      <c r="DI68" s="43"/>
      <c r="DJ68" s="43"/>
    </row>
    <row r="69" spans="1:114">
      <c r="A69" s="34" t="s">
        <v>196</v>
      </c>
      <c r="B69" s="34">
        <v>5190</v>
      </c>
      <c r="C69" s="34">
        <v>2</v>
      </c>
      <c r="D69" s="43">
        <v>1</v>
      </c>
      <c r="E69" s="26" t="s">
        <v>139</v>
      </c>
      <c r="F69" s="26" t="s">
        <v>59</v>
      </c>
      <c r="G69" s="48">
        <f t="shared" si="1"/>
        <v>130</v>
      </c>
      <c r="H69" s="26" t="s">
        <v>59</v>
      </c>
      <c r="I69" s="26" t="s">
        <v>60</v>
      </c>
      <c r="J69" s="26" t="s">
        <v>59</v>
      </c>
      <c r="K69" s="26" t="s">
        <v>59</v>
      </c>
      <c r="L69" s="26" t="s">
        <v>59</v>
      </c>
      <c r="M69" s="26" t="s">
        <v>59</v>
      </c>
      <c r="N69" s="26" t="s">
        <v>59</v>
      </c>
      <c r="O69" s="26" t="s">
        <v>59</v>
      </c>
      <c r="P69" s="26" t="s">
        <v>59</v>
      </c>
      <c r="Q69" s="26" t="s">
        <v>60</v>
      </c>
      <c r="R69" s="26" t="s">
        <v>60</v>
      </c>
      <c r="S69" s="26" t="s">
        <v>60</v>
      </c>
      <c r="T69" s="26" t="s">
        <v>60</v>
      </c>
      <c r="U69" s="26">
        <v>67</v>
      </c>
      <c r="V69" s="26">
        <v>63</v>
      </c>
      <c r="W69" s="26" t="s">
        <v>60</v>
      </c>
      <c r="X69" s="26" t="s">
        <v>60</v>
      </c>
      <c r="Y69" s="26">
        <v>8.6999999999999993</v>
      </c>
      <c r="Z69" s="26">
        <v>1.6</v>
      </c>
      <c r="AA69" s="26" t="s">
        <v>61</v>
      </c>
      <c r="AB69" s="26" t="s">
        <v>61</v>
      </c>
      <c r="AC69" s="27" t="s">
        <v>61</v>
      </c>
      <c r="AD69" s="26">
        <v>8.6999999999999993</v>
      </c>
      <c r="AE69" s="26">
        <v>1.5</v>
      </c>
      <c r="AF69" s="26" t="s">
        <v>61</v>
      </c>
      <c r="AG69" s="26" t="s">
        <v>61</v>
      </c>
      <c r="AH69" s="27" t="s">
        <v>61</v>
      </c>
      <c r="AI69" s="26" t="s">
        <v>60</v>
      </c>
      <c r="AJ69" s="26" t="s">
        <v>60</v>
      </c>
      <c r="AK69" s="26" t="s">
        <v>59</v>
      </c>
      <c r="AL69" s="26" t="s">
        <v>59</v>
      </c>
      <c r="AM69" s="26" t="s">
        <v>59</v>
      </c>
      <c r="AN69" s="26" t="s">
        <v>60</v>
      </c>
      <c r="AO69" s="26" t="s">
        <v>60</v>
      </c>
      <c r="AP69" s="26" t="s">
        <v>59</v>
      </c>
      <c r="AQ69" s="26" t="s">
        <v>59</v>
      </c>
      <c r="AR69" s="26" t="s">
        <v>59</v>
      </c>
      <c r="AS69" s="26">
        <v>0.93</v>
      </c>
      <c r="AT69" s="26" t="s">
        <v>64</v>
      </c>
      <c r="AU69" s="26" t="s">
        <v>59</v>
      </c>
      <c r="AV69" s="26" t="s">
        <v>59</v>
      </c>
      <c r="AW69" s="26" t="s">
        <v>59</v>
      </c>
      <c r="AX69" s="26" t="s">
        <v>59</v>
      </c>
      <c r="AY69" s="186">
        <v>67</v>
      </c>
      <c r="AZ69" s="186">
        <v>63</v>
      </c>
      <c r="BA69" s="186" t="s">
        <v>60</v>
      </c>
      <c r="BB69" s="186" t="s">
        <v>60</v>
      </c>
      <c r="BC69" s="26">
        <v>8.1</v>
      </c>
      <c r="BD69" s="26">
        <v>1.9</v>
      </c>
      <c r="BE69" s="26" t="s">
        <v>61</v>
      </c>
      <c r="BF69" s="48">
        <v>0</v>
      </c>
      <c r="BG69" s="48">
        <v>1</v>
      </c>
      <c r="BH69" s="27" t="s">
        <v>61</v>
      </c>
      <c r="BI69" s="27" t="s">
        <v>61</v>
      </c>
      <c r="BJ69" s="26">
        <v>-0.6</v>
      </c>
      <c r="BK69" s="26" t="s">
        <v>61</v>
      </c>
      <c r="BL69" s="26" t="s">
        <v>61</v>
      </c>
      <c r="BM69" s="26">
        <v>-1</v>
      </c>
      <c r="BN69" s="26">
        <v>-0.19</v>
      </c>
      <c r="BO69" s="26">
        <v>6.0000000000000001E-3</v>
      </c>
      <c r="BP69" s="26">
        <v>7.9</v>
      </c>
      <c r="BQ69" s="26">
        <v>1.4</v>
      </c>
      <c r="BR69" s="26" t="s">
        <v>61</v>
      </c>
      <c r="BS69" s="26">
        <v>0</v>
      </c>
      <c r="BT69" s="26">
        <v>1</v>
      </c>
      <c r="BU69" s="27" t="s">
        <v>61</v>
      </c>
      <c r="BV69" s="27" t="s">
        <v>61</v>
      </c>
      <c r="BW69" s="26">
        <v>-0.8</v>
      </c>
      <c r="BX69" s="26" t="s">
        <v>61</v>
      </c>
      <c r="BY69" s="27" t="s">
        <v>61</v>
      </c>
      <c r="BZ69" s="26">
        <v>-1.3</v>
      </c>
      <c r="CA69" s="27">
        <v>-0.4</v>
      </c>
      <c r="CB69" s="26">
        <v>1E-3</v>
      </c>
      <c r="CC69" s="26" t="s">
        <v>60</v>
      </c>
      <c r="CD69" s="26" t="s">
        <v>60</v>
      </c>
      <c r="CE69" s="26" t="s">
        <v>59</v>
      </c>
      <c r="CF69" s="26"/>
      <c r="CG69" s="26"/>
      <c r="CH69" s="26" t="s">
        <v>59</v>
      </c>
      <c r="CI69" s="26" t="s">
        <v>59</v>
      </c>
      <c r="CJ69" s="26" t="s">
        <v>59</v>
      </c>
      <c r="CK69" s="26" t="s">
        <v>59</v>
      </c>
      <c r="CL69" s="26" t="s">
        <v>59</v>
      </c>
      <c r="CM69" s="26" t="s">
        <v>59</v>
      </c>
      <c r="CN69" s="26" t="s">
        <v>59</v>
      </c>
      <c r="CO69" s="26" t="s">
        <v>59</v>
      </c>
      <c r="CP69" s="26" t="s">
        <v>60</v>
      </c>
      <c r="CQ69" s="26" t="s">
        <v>60</v>
      </c>
      <c r="CR69" s="26" t="s">
        <v>59</v>
      </c>
      <c r="CS69" s="26"/>
      <c r="CT69" s="26"/>
      <c r="CU69" s="26" t="s">
        <v>59</v>
      </c>
      <c r="CV69" s="26" t="s">
        <v>59</v>
      </c>
      <c r="CW69" s="26" t="s">
        <v>59</v>
      </c>
      <c r="CX69" s="26" t="s">
        <v>59</v>
      </c>
      <c r="CY69" s="26" t="s">
        <v>59</v>
      </c>
      <c r="CZ69" s="26" t="s">
        <v>59</v>
      </c>
      <c r="DA69" s="26" t="s">
        <v>59</v>
      </c>
      <c r="DB69" s="26" t="s">
        <v>59</v>
      </c>
      <c r="DC69" s="26">
        <v>8</v>
      </c>
    </row>
    <row r="70" spans="1:114">
      <c r="A70" s="34" t="s">
        <v>216</v>
      </c>
      <c r="B70" s="34">
        <v>5949</v>
      </c>
      <c r="C70" s="34">
        <v>2</v>
      </c>
      <c r="D70" s="43">
        <v>1</v>
      </c>
      <c r="E70" s="26" t="s">
        <v>139</v>
      </c>
      <c r="F70" s="26" t="s">
        <v>59</v>
      </c>
      <c r="G70" s="48">
        <f t="shared" si="1"/>
        <v>65</v>
      </c>
      <c r="H70" s="26" t="s">
        <v>59</v>
      </c>
      <c r="I70" s="26" t="s">
        <v>60</v>
      </c>
      <c r="J70" s="26" t="s">
        <v>59</v>
      </c>
      <c r="K70" s="26" t="s">
        <v>59</v>
      </c>
      <c r="L70" s="26" t="s">
        <v>59</v>
      </c>
      <c r="M70" s="26" t="s">
        <v>59</v>
      </c>
      <c r="N70" s="26" t="s">
        <v>59</v>
      </c>
      <c r="O70" s="26" t="s">
        <v>59</v>
      </c>
      <c r="P70" s="26" t="s">
        <v>59</v>
      </c>
      <c r="Q70" s="26" t="s">
        <v>60</v>
      </c>
      <c r="R70" s="26" t="s">
        <v>60</v>
      </c>
      <c r="S70" s="26" t="s">
        <v>60</v>
      </c>
      <c r="T70" s="26" t="s">
        <v>60</v>
      </c>
      <c r="U70" s="26">
        <v>39</v>
      </c>
      <c r="V70" s="26">
        <v>41</v>
      </c>
      <c r="W70" s="26" t="s">
        <v>60</v>
      </c>
      <c r="X70" s="26" t="s">
        <v>60</v>
      </c>
      <c r="Y70" s="26">
        <v>10.199999999999999</v>
      </c>
      <c r="Z70" s="26">
        <v>1.7</v>
      </c>
      <c r="AA70" s="26" t="s">
        <v>61</v>
      </c>
      <c r="AB70" s="26" t="s">
        <v>61</v>
      </c>
      <c r="AC70" s="27" t="s">
        <v>61</v>
      </c>
      <c r="AD70" s="26">
        <v>10.1</v>
      </c>
      <c r="AE70" s="26">
        <v>1.8</v>
      </c>
      <c r="AF70" s="26" t="s">
        <v>61</v>
      </c>
      <c r="AG70" s="26" t="s">
        <v>61</v>
      </c>
      <c r="AH70" s="27" t="s">
        <v>61</v>
      </c>
      <c r="AI70" s="26" t="s">
        <v>60</v>
      </c>
      <c r="AJ70" s="26" t="s">
        <v>60</v>
      </c>
      <c r="AK70" s="26" t="s">
        <v>59</v>
      </c>
      <c r="AL70" s="26" t="s">
        <v>59</v>
      </c>
      <c r="AM70" s="26" t="s">
        <v>59</v>
      </c>
      <c r="AN70" s="26" t="s">
        <v>60</v>
      </c>
      <c r="AO70" s="26" t="s">
        <v>60</v>
      </c>
      <c r="AP70" s="26" t="s">
        <v>59</v>
      </c>
      <c r="AQ70" s="26" t="s">
        <v>59</v>
      </c>
      <c r="AR70" s="26" t="s">
        <v>59</v>
      </c>
      <c r="AS70" s="26">
        <v>0.65</v>
      </c>
      <c r="AT70" s="26" t="s">
        <v>64</v>
      </c>
      <c r="AU70" s="26" t="s">
        <v>59</v>
      </c>
      <c r="AV70" s="26" t="s">
        <v>59</v>
      </c>
      <c r="AW70" s="26" t="s">
        <v>59</v>
      </c>
      <c r="AX70" s="26" t="s">
        <v>59</v>
      </c>
      <c r="AY70" s="186">
        <v>29</v>
      </c>
      <c r="AZ70" s="186">
        <v>36</v>
      </c>
      <c r="BA70" s="186" t="s">
        <v>60</v>
      </c>
      <c r="BB70" s="186" t="s">
        <v>60</v>
      </c>
      <c r="BC70" s="26">
        <v>9.3000000000000007</v>
      </c>
      <c r="BD70" s="26">
        <v>2.1</v>
      </c>
      <c r="BE70" s="26" t="s">
        <v>61</v>
      </c>
      <c r="BF70" s="48">
        <v>0</v>
      </c>
      <c r="BG70" s="48">
        <v>1</v>
      </c>
      <c r="BH70" s="27" t="s">
        <v>61</v>
      </c>
      <c r="BI70" s="27" t="s">
        <v>61</v>
      </c>
      <c r="BJ70" s="26">
        <v>-0.9</v>
      </c>
      <c r="BK70" s="26">
        <v>2</v>
      </c>
      <c r="BL70" s="26" t="s">
        <v>61</v>
      </c>
      <c r="BM70" s="26" t="s">
        <v>61</v>
      </c>
      <c r="BN70" s="26" t="s">
        <v>61</v>
      </c>
      <c r="BO70" s="26" t="s">
        <v>61</v>
      </c>
      <c r="BP70" s="26">
        <v>8</v>
      </c>
      <c r="BQ70" s="26">
        <v>1.4</v>
      </c>
      <c r="BR70" s="26" t="s">
        <v>61</v>
      </c>
      <c r="BS70" s="26">
        <v>0</v>
      </c>
      <c r="BT70" s="26">
        <v>1</v>
      </c>
      <c r="BU70" s="27" t="s">
        <v>61</v>
      </c>
      <c r="BV70" s="27" t="s">
        <v>61</v>
      </c>
      <c r="BW70" s="26">
        <v>-2.1</v>
      </c>
      <c r="BX70" s="26">
        <v>2.5</v>
      </c>
      <c r="BY70" s="27" t="s">
        <v>61</v>
      </c>
      <c r="BZ70" s="26" t="s">
        <v>61</v>
      </c>
      <c r="CA70" s="27" t="s">
        <v>61</v>
      </c>
      <c r="CB70" s="26" t="s">
        <v>61</v>
      </c>
      <c r="CC70" s="26" t="s">
        <v>60</v>
      </c>
      <c r="CD70" s="26" t="s">
        <v>59</v>
      </c>
      <c r="CE70" s="26" t="s">
        <v>59</v>
      </c>
      <c r="CF70" s="26"/>
      <c r="CG70" s="26"/>
      <c r="CH70" s="26" t="s">
        <v>59</v>
      </c>
      <c r="CI70" s="26" t="s">
        <v>59</v>
      </c>
      <c r="CJ70" s="26" t="s">
        <v>59</v>
      </c>
      <c r="CK70" s="26" t="s">
        <v>59</v>
      </c>
      <c r="CL70" s="26" t="s">
        <v>59</v>
      </c>
      <c r="CM70" s="26" t="s">
        <v>59</v>
      </c>
      <c r="CN70" s="26" t="s">
        <v>59</v>
      </c>
      <c r="CO70" s="26" t="s">
        <v>59</v>
      </c>
      <c r="CP70" s="26" t="s">
        <v>60</v>
      </c>
      <c r="CQ70" s="26" t="s">
        <v>60</v>
      </c>
      <c r="CR70" s="26" t="s">
        <v>59</v>
      </c>
      <c r="CS70" s="26"/>
      <c r="CT70" s="26"/>
      <c r="CU70" s="26" t="s">
        <v>59</v>
      </c>
      <c r="CV70" s="26" t="s">
        <v>59</v>
      </c>
      <c r="CW70" s="26" t="s">
        <v>59</v>
      </c>
      <c r="CX70" s="26" t="s">
        <v>59</v>
      </c>
      <c r="CY70" s="26" t="s">
        <v>59</v>
      </c>
      <c r="CZ70" s="26" t="s">
        <v>59</v>
      </c>
      <c r="DA70" s="26" t="s">
        <v>59</v>
      </c>
      <c r="DB70" s="26" t="s">
        <v>59</v>
      </c>
      <c r="DC70" s="26">
        <v>24</v>
      </c>
    </row>
    <row r="71" spans="1:114">
      <c r="A71" s="34" t="s">
        <v>257</v>
      </c>
      <c r="B71" s="34">
        <v>8378</v>
      </c>
      <c r="C71" s="34">
        <v>2</v>
      </c>
      <c r="D71" s="43">
        <v>1</v>
      </c>
      <c r="E71" s="26" t="s">
        <v>139</v>
      </c>
      <c r="F71" s="26" t="s">
        <v>59</v>
      </c>
      <c r="G71" s="48">
        <f t="shared" si="1"/>
        <v>116</v>
      </c>
      <c r="H71" s="26" t="s">
        <v>59</v>
      </c>
      <c r="I71" s="26" t="s">
        <v>59</v>
      </c>
      <c r="J71" s="26" t="s">
        <v>59</v>
      </c>
      <c r="K71" s="26" t="s">
        <v>59</v>
      </c>
      <c r="L71" s="26" t="s">
        <v>59</v>
      </c>
      <c r="M71" s="26" t="s">
        <v>59</v>
      </c>
      <c r="N71" s="26" t="s">
        <v>59</v>
      </c>
      <c r="O71" s="26" t="s">
        <v>59</v>
      </c>
      <c r="P71" s="26" t="s">
        <v>59</v>
      </c>
      <c r="Q71" s="26" t="s">
        <v>59</v>
      </c>
      <c r="R71" s="26" t="s">
        <v>59</v>
      </c>
      <c r="S71" s="26" t="s">
        <v>60</v>
      </c>
      <c r="T71" s="26" t="s">
        <v>60</v>
      </c>
      <c r="U71" s="26">
        <v>57</v>
      </c>
      <c r="V71" s="26">
        <v>59</v>
      </c>
      <c r="W71" s="26" t="s">
        <v>60</v>
      </c>
      <c r="X71" s="26" t="s">
        <v>60</v>
      </c>
      <c r="Y71" s="26">
        <v>7.2</v>
      </c>
      <c r="Z71" s="222">
        <v>1.48</v>
      </c>
      <c r="AA71" s="26" t="s">
        <v>61</v>
      </c>
      <c r="AB71" s="26">
        <v>7.2</v>
      </c>
      <c r="AC71" s="27" t="s">
        <v>258</v>
      </c>
      <c r="AD71" s="26">
        <v>7.2</v>
      </c>
      <c r="AE71" s="229">
        <v>2</v>
      </c>
      <c r="AF71" s="26" t="s">
        <v>61</v>
      </c>
      <c r="AG71" s="26">
        <v>7.2</v>
      </c>
      <c r="AH71" s="27" t="s">
        <v>259</v>
      </c>
      <c r="AI71" s="26" t="s">
        <v>60</v>
      </c>
      <c r="AJ71" s="26" t="s">
        <v>60</v>
      </c>
      <c r="AK71" s="26" t="s">
        <v>59</v>
      </c>
      <c r="AL71" s="26" t="s">
        <v>59</v>
      </c>
      <c r="AM71" s="26" t="s">
        <v>59</v>
      </c>
      <c r="AN71" s="26" t="s">
        <v>60</v>
      </c>
      <c r="AO71" s="26" t="s">
        <v>60</v>
      </c>
      <c r="AP71" s="26" t="s">
        <v>59</v>
      </c>
      <c r="AQ71" s="26" t="s">
        <v>59</v>
      </c>
      <c r="AR71" s="26" t="s">
        <v>59</v>
      </c>
      <c r="AS71" s="26" t="s">
        <v>61</v>
      </c>
      <c r="AT71" s="26" t="s">
        <v>64</v>
      </c>
      <c r="AU71" s="26" t="s">
        <v>59</v>
      </c>
      <c r="AV71" s="26" t="s">
        <v>59</v>
      </c>
      <c r="AW71" s="26" t="s">
        <v>59</v>
      </c>
      <c r="AX71" s="26" t="s">
        <v>59</v>
      </c>
      <c r="AY71" s="186">
        <v>57</v>
      </c>
      <c r="AZ71" s="186">
        <v>59</v>
      </c>
      <c r="BA71" s="186" t="s">
        <v>60</v>
      </c>
      <c r="BB71" s="186" t="s">
        <v>60</v>
      </c>
      <c r="BC71" s="26">
        <v>7.3</v>
      </c>
      <c r="BD71" s="222">
        <v>1.04</v>
      </c>
      <c r="BE71" s="26" t="s">
        <v>61</v>
      </c>
      <c r="BF71" s="26">
        <v>5</v>
      </c>
      <c r="BG71" s="48">
        <v>1</v>
      </c>
      <c r="BH71" s="26">
        <v>7.3</v>
      </c>
      <c r="BI71" s="27" t="s">
        <v>260</v>
      </c>
      <c r="BJ71" s="26" t="s">
        <v>61</v>
      </c>
      <c r="BK71" s="26" t="s">
        <v>61</v>
      </c>
      <c r="BL71" s="26" t="s">
        <v>61</v>
      </c>
      <c r="BM71" s="26" t="s">
        <v>61</v>
      </c>
      <c r="BN71" s="26" t="s">
        <v>61</v>
      </c>
      <c r="BO71" s="26" t="s">
        <v>61</v>
      </c>
      <c r="BP71" s="26">
        <v>7.1</v>
      </c>
      <c r="BQ71" s="222">
        <v>1.41</v>
      </c>
      <c r="BR71" s="26" t="s">
        <v>61</v>
      </c>
      <c r="BS71" s="26">
        <v>5</v>
      </c>
      <c r="BT71" s="26">
        <v>1</v>
      </c>
      <c r="BU71" s="26">
        <v>7.1</v>
      </c>
      <c r="BV71" s="27" t="s">
        <v>261</v>
      </c>
      <c r="BW71" s="26" t="s">
        <v>61</v>
      </c>
      <c r="BX71" s="26" t="s">
        <v>61</v>
      </c>
      <c r="BY71" s="27" t="s">
        <v>61</v>
      </c>
      <c r="BZ71" s="26" t="s">
        <v>61</v>
      </c>
      <c r="CA71" s="27" t="s">
        <v>61</v>
      </c>
      <c r="CB71" s="26" t="s">
        <v>162</v>
      </c>
      <c r="CC71" s="26" t="s">
        <v>60</v>
      </c>
      <c r="CD71" s="26" t="s">
        <v>60</v>
      </c>
      <c r="CE71" s="26" t="s">
        <v>59</v>
      </c>
      <c r="CF71" s="26"/>
      <c r="CG71" s="26"/>
      <c r="CH71" s="26" t="s">
        <v>59</v>
      </c>
      <c r="CI71" s="26" t="s">
        <v>59</v>
      </c>
      <c r="CJ71" s="26" t="s">
        <v>59</v>
      </c>
      <c r="CK71" s="26" t="s">
        <v>59</v>
      </c>
      <c r="CL71" s="26" t="s">
        <v>59</v>
      </c>
      <c r="CM71" s="26" t="s">
        <v>59</v>
      </c>
      <c r="CN71" s="26" t="s">
        <v>59</v>
      </c>
      <c r="CO71" s="26" t="s">
        <v>59</v>
      </c>
      <c r="CP71" s="26" t="s">
        <v>60</v>
      </c>
      <c r="CQ71" s="26" t="s">
        <v>60</v>
      </c>
      <c r="CR71" s="26" t="s">
        <v>59</v>
      </c>
      <c r="CS71" s="26"/>
      <c r="CT71" s="26"/>
      <c r="CU71" s="26" t="s">
        <v>59</v>
      </c>
      <c r="CV71" s="26" t="s">
        <v>59</v>
      </c>
      <c r="CW71" s="26" t="s">
        <v>59</v>
      </c>
      <c r="CX71" s="26" t="s">
        <v>59</v>
      </c>
      <c r="CY71" s="26" t="s">
        <v>59</v>
      </c>
      <c r="CZ71" s="26" t="s">
        <v>59</v>
      </c>
      <c r="DA71" s="26" t="s">
        <v>59</v>
      </c>
      <c r="DB71" s="26" t="s">
        <v>59</v>
      </c>
      <c r="DC71" s="26">
        <v>30</v>
      </c>
    </row>
    <row r="72" spans="1:114" ht="14">
      <c r="A72" s="49" t="s">
        <v>413</v>
      </c>
      <c r="B72" s="43">
        <v>12348</v>
      </c>
      <c r="C72" s="34">
        <v>2</v>
      </c>
      <c r="D72" s="43">
        <v>1</v>
      </c>
      <c r="E72" s="48" t="s">
        <v>139</v>
      </c>
      <c r="F72" s="26" t="s">
        <v>59</v>
      </c>
      <c r="G72" s="48">
        <f t="shared" si="1"/>
        <v>1366</v>
      </c>
      <c r="H72" s="26" t="s">
        <v>59</v>
      </c>
      <c r="I72" s="26" t="s">
        <v>59</v>
      </c>
      <c r="J72" s="48" t="s">
        <v>59</v>
      </c>
      <c r="K72" s="26" t="s">
        <v>59</v>
      </c>
      <c r="L72" s="26" t="s">
        <v>59</v>
      </c>
      <c r="M72" s="26" t="s">
        <v>59</v>
      </c>
      <c r="N72" s="26" t="s">
        <v>59</v>
      </c>
      <c r="O72" s="26" t="s">
        <v>59</v>
      </c>
      <c r="P72" s="26" t="s">
        <v>59</v>
      </c>
      <c r="Q72" s="48" t="s">
        <v>59</v>
      </c>
      <c r="R72" s="48" t="s">
        <v>59</v>
      </c>
      <c r="S72" s="48" t="s">
        <v>59</v>
      </c>
      <c r="T72" s="48" t="s">
        <v>59</v>
      </c>
      <c r="U72" s="48">
        <v>436</v>
      </c>
      <c r="V72" s="48">
        <v>930</v>
      </c>
      <c r="W72" s="48" t="s">
        <v>59</v>
      </c>
      <c r="X72" s="48" t="s">
        <v>59</v>
      </c>
      <c r="Y72" s="69">
        <v>7.29</v>
      </c>
      <c r="Z72" s="69">
        <v>1.47</v>
      </c>
      <c r="AA72" s="69" t="s">
        <v>61</v>
      </c>
      <c r="AB72" s="69" t="s">
        <v>61</v>
      </c>
      <c r="AC72" s="69" t="s">
        <v>61</v>
      </c>
      <c r="AD72" s="69">
        <v>7.38</v>
      </c>
      <c r="AE72" s="69">
        <v>1.53</v>
      </c>
      <c r="AF72" s="69" t="s">
        <v>61</v>
      </c>
      <c r="AG72" s="69" t="s">
        <v>61</v>
      </c>
      <c r="AH72" s="69" t="s">
        <v>61</v>
      </c>
      <c r="AI72" s="69" t="s">
        <v>59</v>
      </c>
      <c r="AJ72" s="69" t="s">
        <v>59</v>
      </c>
      <c r="AK72" s="69" t="s">
        <v>59</v>
      </c>
      <c r="AL72" s="69" t="s">
        <v>59</v>
      </c>
      <c r="AM72" s="69" t="s">
        <v>59</v>
      </c>
      <c r="AN72" s="69" t="s">
        <v>59</v>
      </c>
      <c r="AO72" s="69" t="s">
        <v>59</v>
      </c>
      <c r="AP72" s="69" t="s">
        <v>59</v>
      </c>
      <c r="AQ72" s="69" t="s">
        <v>59</v>
      </c>
      <c r="AR72" s="69" t="s">
        <v>59</v>
      </c>
      <c r="AS72" s="69" t="s">
        <v>61</v>
      </c>
      <c r="AT72" s="69" t="s">
        <v>64</v>
      </c>
      <c r="AU72" s="69" t="s">
        <v>59</v>
      </c>
      <c r="AV72" s="69" t="s">
        <v>59</v>
      </c>
      <c r="AW72" s="69" t="s">
        <v>59</v>
      </c>
      <c r="AX72" s="69" t="s">
        <v>59</v>
      </c>
      <c r="AY72" s="73">
        <v>436</v>
      </c>
      <c r="AZ72" s="73">
        <v>930</v>
      </c>
      <c r="BA72" s="215" t="s">
        <v>59</v>
      </c>
      <c r="BB72" s="215" t="s">
        <v>59</v>
      </c>
      <c r="BC72" s="69">
        <v>7.19</v>
      </c>
      <c r="BD72" s="69">
        <v>1.26</v>
      </c>
      <c r="BE72" s="69" t="s">
        <v>61</v>
      </c>
      <c r="BF72" s="48">
        <v>0</v>
      </c>
      <c r="BG72" s="48">
        <v>1</v>
      </c>
      <c r="BH72" s="69" t="s">
        <v>61</v>
      </c>
      <c r="BI72" s="69" t="s">
        <v>61</v>
      </c>
      <c r="BJ72" s="69" t="s">
        <v>61</v>
      </c>
      <c r="BK72" s="69" t="s">
        <v>61</v>
      </c>
      <c r="BL72" s="69" t="s">
        <v>61</v>
      </c>
      <c r="BM72" s="69" t="s">
        <v>61</v>
      </c>
      <c r="BN72" s="69" t="s">
        <v>61</v>
      </c>
      <c r="BO72" s="69" t="s">
        <v>61</v>
      </c>
      <c r="BP72" s="69">
        <v>7.27</v>
      </c>
      <c r="BQ72" s="69">
        <v>1.44</v>
      </c>
      <c r="BR72" s="69" t="s">
        <v>61</v>
      </c>
      <c r="BS72" s="26">
        <v>0</v>
      </c>
      <c r="BT72" s="26">
        <v>1</v>
      </c>
      <c r="BU72" s="69" t="s">
        <v>61</v>
      </c>
      <c r="BV72" s="69" t="s">
        <v>61</v>
      </c>
      <c r="BW72" s="69" t="s">
        <v>61</v>
      </c>
      <c r="BX72" s="69" t="s">
        <v>61</v>
      </c>
      <c r="BY72" s="69" t="s">
        <v>61</v>
      </c>
      <c r="BZ72" s="69" t="s">
        <v>61</v>
      </c>
      <c r="CA72" s="69" t="s">
        <v>61</v>
      </c>
      <c r="CB72" s="69" t="s">
        <v>61</v>
      </c>
      <c r="CC72" s="69" t="s">
        <v>59</v>
      </c>
      <c r="CD72" s="69" t="s">
        <v>59</v>
      </c>
      <c r="CE72" s="69" t="s">
        <v>59</v>
      </c>
      <c r="CF72" s="69"/>
      <c r="CG72" s="69"/>
      <c r="CH72" s="69" t="s">
        <v>59</v>
      </c>
      <c r="CI72" s="69" t="s">
        <v>59</v>
      </c>
      <c r="CJ72" s="69" t="s">
        <v>59</v>
      </c>
      <c r="CK72" s="69" t="s">
        <v>59</v>
      </c>
      <c r="CL72" s="69" t="s">
        <v>59</v>
      </c>
      <c r="CM72" s="69" t="s">
        <v>59</v>
      </c>
      <c r="CN72" s="69" t="s">
        <v>59</v>
      </c>
      <c r="CO72" s="69" t="s">
        <v>59</v>
      </c>
      <c r="CP72" s="69" t="s">
        <v>59</v>
      </c>
      <c r="CQ72" s="69" t="s">
        <v>59</v>
      </c>
      <c r="CR72" s="69" t="s">
        <v>59</v>
      </c>
      <c r="CS72" s="69"/>
      <c r="CT72" s="69"/>
      <c r="CU72" s="69" t="s">
        <v>59</v>
      </c>
      <c r="CV72" s="69" t="s">
        <v>59</v>
      </c>
      <c r="CW72" s="69" t="s">
        <v>59</v>
      </c>
      <c r="CX72" s="69" t="s">
        <v>59</v>
      </c>
      <c r="CY72" s="69" t="s">
        <v>59</v>
      </c>
      <c r="CZ72" s="69" t="s">
        <v>59</v>
      </c>
      <c r="DA72" s="69" t="s">
        <v>59</v>
      </c>
      <c r="DB72" s="69" t="s">
        <v>59</v>
      </c>
      <c r="DC72" s="69">
        <v>12</v>
      </c>
      <c r="DD72" s="55"/>
      <c r="DE72" s="43"/>
      <c r="DF72" s="43"/>
      <c r="DG72" s="43"/>
      <c r="DH72" s="43"/>
      <c r="DI72" s="43"/>
      <c r="DJ72" s="43"/>
    </row>
    <row r="73" spans="1:114">
      <c r="A73" s="51" t="s">
        <v>390</v>
      </c>
      <c r="B73" s="43">
        <v>12000</v>
      </c>
      <c r="C73" s="34">
        <v>2</v>
      </c>
      <c r="D73" s="43">
        <v>1</v>
      </c>
      <c r="E73" s="48" t="s">
        <v>139</v>
      </c>
      <c r="F73" s="26" t="s">
        <v>59</v>
      </c>
      <c r="G73" s="48">
        <f t="shared" si="1"/>
        <v>75</v>
      </c>
      <c r="H73" s="26" t="s">
        <v>59</v>
      </c>
      <c r="I73" s="26" t="s">
        <v>59</v>
      </c>
      <c r="J73" s="48" t="s">
        <v>59</v>
      </c>
      <c r="K73" s="26" t="s">
        <v>59</v>
      </c>
      <c r="L73" s="26" t="s">
        <v>59</v>
      </c>
      <c r="M73" s="26" t="s">
        <v>59</v>
      </c>
      <c r="N73" s="26" t="s">
        <v>59</v>
      </c>
      <c r="O73" s="26" t="s">
        <v>59</v>
      </c>
      <c r="P73" s="26" t="s">
        <v>59</v>
      </c>
      <c r="Q73" s="48" t="s">
        <v>59</v>
      </c>
      <c r="R73" s="48" t="s">
        <v>59</v>
      </c>
      <c r="S73" s="48" t="s">
        <v>59</v>
      </c>
      <c r="T73" s="48" t="s">
        <v>59</v>
      </c>
      <c r="U73" s="48">
        <v>39</v>
      </c>
      <c r="V73" s="48">
        <v>36</v>
      </c>
      <c r="W73" s="48" t="s">
        <v>59</v>
      </c>
      <c r="X73" s="48" t="s">
        <v>59</v>
      </c>
      <c r="Y73" s="48">
        <v>7.5</v>
      </c>
      <c r="Z73" s="224">
        <v>1.1100000000000001</v>
      </c>
      <c r="AA73" s="48" t="s">
        <v>61</v>
      </c>
      <c r="AB73" s="48">
        <v>7.5</v>
      </c>
      <c r="AC73" s="48" t="s">
        <v>391</v>
      </c>
      <c r="AD73" s="48">
        <v>7.5</v>
      </c>
      <c r="AE73" s="224">
        <v>1.48</v>
      </c>
      <c r="AF73" s="48" t="s">
        <v>61</v>
      </c>
      <c r="AG73" s="48">
        <v>7.5</v>
      </c>
      <c r="AH73" s="210" t="s">
        <v>392</v>
      </c>
      <c r="AI73" s="48" t="s">
        <v>59</v>
      </c>
      <c r="AJ73" s="48" t="s">
        <v>59</v>
      </c>
      <c r="AK73" s="48" t="s">
        <v>59</v>
      </c>
      <c r="AL73" s="48" t="s">
        <v>59</v>
      </c>
      <c r="AM73" s="48" t="s">
        <v>59</v>
      </c>
      <c r="AN73" s="48" t="s">
        <v>59</v>
      </c>
      <c r="AO73" s="48" t="s">
        <v>59</v>
      </c>
      <c r="AP73" s="48" t="s">
        <v>59</v>
      </c>
      <c r="AQ73" s="48" t="s">
        <v>59</v>
      </c>
      <c r="AR73" s="48" t="s">
        <v>59</v>
      </c>
      <c r="AS73" s="48" t="s">
        <v>61</v>
      </c>
      <c r="AT73" s="48" t="s">
        <v>64</v>
      </c>
      <c r="AU73" s="48" t="s">
        <v>59</v>
      </c>
      <c r="AV73" s="48" t="s">
        <v>59</v>
      </c>
      <c r="AW73" s="48" t="s">
        <v>59</v>
      </c>
      <c r="AX73" s="48" t="s">
        <v>59</v>
      </c>
      <c r="AY73" s="73">
        <v>39</v>
      </c>
      <c r="AZ73" s="73">
        <v>36</v>
      </c>
      <c r="BA73" s="73" t="s">
        <v>59</v>
      </c>
      <c r="BB73" s="73" t="s">
        <v>59</v>
      </c>
      <c r="BC73" s="48">
        <v>8</v>
      </c>
      <c r="BD73" s="224">
        <v>1.48</v>
      </c>
      <c r="BE73" s="48" t="s">
        <v>61</v>
      </c>
      <c r="BF73" s="48">
        <v>5</v>
      </c>
      <c r="BG73" s="48">
        <v>1</v>
      </c>
      <c r="BH73" s="48">
        <v>8</v>
      </c>
      <c r="BI73" s="210" t="s">
        <v>393</v>
      </c>
      <c r="BJ73" s="48" t="s">
        <v>61</v>
      </c>
      <c r="BK73" s="48" t="s">
        <v>61</v>
      </c>
      <c r="BL73" s="48" t="s">
        <v>61</v>
      </c>
      <c r="BM73" s="48" t="s">
        <v>61</v>
      </c>
      <c r="BN73" s="48" t="s">
        <v>61</v>
      </c>
      <c r="BO73" s="48" t="s">
        <v>61</v>
      </c>
      <c r="BP73" s="48">
        <v>7</v>
      </c>
      <c r="BQ73" s="224">
        <v>1.48</v>
      </c>
      <c r="BR73" s="48" t="s">
        <v>61</v>
      </c>
      <c r="BS73" s="48">
        <v>5</v>
      </c>
      <c r="BT73" s="26">
        <v>1</v>
      </c>
      <c r="BU73" s="48">
        <v>7</v>
      </c>
      <c r="BV73" s="210" t="s">
        <v>393</v>
      </c>
      <c r="BW73" s="48" t="s">
        <v>61</v>
      </c>
      <c r="BX73" s="48" t="s">
        <v>61</v>
      </c>
      <c r="BY73" s="48" t="s">
        <v>61</v>
      </c>
      <c r="BZ73" s="48" t="s">
        <v>61</v>
      </c>
      <c r="CA73" s="48" t="s">
        <v>61</v>
      </c>
      <c r="CB73" s="48" t="s">
        <v>61</v>
      </c>
      <c r="CC73" s="48" t="s">
        <v>59</v>
      </c>
      <c r="CD73" s="48" t="s">
        <v>59</v>
      </c>
      <c r="CE73" s="48" t="s">
        <v>59</v>
      </c>
      <c r="CF73" s="48"/>
      <c r="CG73" s="48"/>
      <c r="CH73" s="48" t="s">
        <v>59</v>
      </c>
      <c r="CI73" s="48" t="s">
        <v>59</v>
      </c>
      <c r="CJ73" s="48" t="s">
        <v>59</v>
      </c>
      <c r="CK73" s="48" t="s">
        <v>59</v>
      </c>
      <c r="CL73" s="48" t="s">
        <v>59</v>
      </c>
      <c r="CM73" s="48" t="s">
        <v>59</v>
      </c>
      <c r="CN73" s="48" t="s">
        <v>59</v>
      </c>
      <c r="CO73" s="48" t="s">
        <v>59</v>
      </c>
      <c r="CP73" s="48" t="s">
        <v>59</v>
      </c>
      <c r="CQ73" s="48" t="s">
        <v>59</v>
      </c>
      <c r="CR73" s="48" t="s">
        <v>59</v>
      </c>
      <c r="CS73" s="48"/>
      <c r="CT73" s="48"/>
      <c r="CU73" s="48" t="s">
        <v>59</v>
      </c>
      <c r="CV73" s="48" t="s">
        <v>59</v>
      </c>
      <c r="CW73" s="48" t="s">
        <v>59</v>
      </c>
      <c r="CX73" s="48" t="s">
        <v>59</v>
      </c>
      <c r="CY73" s="48" t="s">
        <v>59</v>
      </c>
      <c r="CZ73" s="48" t="s">
        <v>59</v>
      </c>
      <c r="DA73" s="48" t="s">
        <v>59</v>
      </c>
      <c r="DB73" s="48" t="s">
        <v>59</v>
      </c>
      <c r="DC73" s="48">
        <v>12</v>
      </c>
      <c r="DD73" s="55"/>
      <c r="DE73" s="43"/>
      <c r="DF73" s="43"/>
      <c r="DG73" s="43"/>
      <c r="DH73" s="43"/>
      <c r="DI73" s="43"/>
      <c r="DJ73" s="43"/>
    </row>
    <row r="74" spans="1:114">
      <c r="A74" s="34" t="s">
        <v>220</v>
      </c>
      <c r="B74" s="22">
        <v>5981</v>
      </c>
      <c r="C74" s="34">
        <v>2</v>
      </c>
      <c r="D74" s="43">
        <v>1</v>
      </c>
      <c r="E74" s="26" t="s">
        <v>139</v>
      </c>
      <c r="F74" s="26" t="s">
        <v>59</v>
      </c>
      <c r="G74" s="48">
        <f t="shared" si="1"/>
        <v>274</v>
      </c>
      <c r="H74" s="26" t="s">
        <v>59</v>
      </c>
      <c r="I74" s="26" t="s">
        <v>60</v>
      </c>
      <c r="J74" s="26" t="s">
        <v>59</v>
      </c>
      <c r="K74" s="26" t="s">
        <v>59</v>
      </c>
      <c r="L74" s="26" t="s">
        <v>59</v>
      </c>
      <c r="M74" s="26" t="s">
        <v>59</v>
      </c>
      <c r="N74" s="26" t="s">
        <v>59</v>
      </c>
      <c r="O74" s="26" t="s">
        <v>59</v>
      </c>
      <c r="P74" s="26" t="s">
        <v>59</v>
      </c>
      <c r="Q74" s="26" t="s">
        <v>60</v>
      </c>
      <c r="R74" s="26" t="s">
        <v>60</v>
      </c>
      <c r="S74" s="26" t="s">
        <v>60</v>
      </c>
      <c r="T74" s="26" t="s">
        <v>60</v>
      </c>
      <c r="U74" s="26">
        <v>160</v>
      </c>
      <c r="V74" s="26">
        <v>176</v>
      </c>
      <c r="W74" s="26" t="s">
        <v>60</v>
      </c>
      <c r="X74" s="26" t="s">
        <v>60</v>
      </c>
      <c r="Y74" s="26">
        <v>7.65</v>
      </c>
      <c r="Z74" s="26">
        <v>1.7</v>
      </c>
      <c r="AA74" s="26" t="s">
        <v>61</v>
      </c>
      <c r="AB74" s="26" t="s">
        <v>61</v>
      </c>
      <c r="AC74" s="26" t="s">
        <v>61</v>
      </c>
      <c r="AD74" s="26">
        <v>8.1300000000000008</v>
      </c>
      <c r="AE74" s="26">
        <v>1.89</v>
      </c>
      <c r="AF74" s="26" t="s">
        <v>61</v>
      </c>
      <c r="AG74" s="26" t="s">
        <v>61</v>
      </c>
      <c r="AH74" s="26" t="s">
        <v>61</v>
      </c>
      <c r="AI74" s="26" t="s">
        <v>60</v>
      </c>
      <c r="AJ74" s="26" t="s">
        <v>60</v>
      </c>
      <c r="AK74" s="26" t="s">
        <v>59</v>
      </c>
      <c r="AL74" s="26" t="s">
        <v>59</v>
      </c>
      <c r="AM74" s="26" t="s">
        <v>59</v>
      </c>
      <c r="AN74" s="26" t="s">
        <v>60</v>
      </c>
      <c r="AO74" s="26" t="s">
        <v>60</v>
      </c>
      <c r="AP74" s="26" t="s">
        <v>59</v>
      </c>
      <c r="AQ74" s="26" t="s">
        <v>59</v>
      </c>
      <c r="AR74" s="26" t="s">
        <v>59</v>
      </c>
      <c r="AS74" s="26" t="s">
        <v>61</v>
      </c>
      <c r="AT74" s="26" t="s">
        <v>64</v>
      </c>
      <c r="AU74" s="26" t="s">
        <v>59</v>
      </c>
      <c r="AV74" s="26" t="s">
        <v>59</v>
      </c>
      <c r="AW74" s="26" t="s">
        <v>59</v>
      </c>
      <c r="AX74" s="26" t="s">
        <v>59</v>
      </c>
      <c r="AY74" s="186">
        <v>126</v>
      </c>
      <c r="AZ74" s="186">
        <v>148</v>
      </c>
      <c r="BA74" s="186" t="s">
        <v>60</v>
      </c>
      <c r="BB74" s="186" t="s">
        <v>60</v>
      </c>
      <c r="BC74" s="26">
        <v>6.6</v>
      </c>
      <c r="BD74" s="26">
        <v>1.1000000000000001</v>
      </c>
      <c r="BE74" s="26" t="s">
        <v>61</v>
      </c>
      <c r="BF74" s="48">
        <v>0</v>
      </c>
      <c r="BG74" s="48">
        <v>1</v>
      </c>
      <c r="BH74" s="26" t="s">
        <v>61</v>
      </c>
      <c r="BI74" s="26" t="s">
        <v>61</v>
      </c>
      <c r="BJ74" s="26" t="s">
        <v>61</v>
      </c>
      <c r="BK74" s="26" t="s">
        <v>61</v>
      </c>
      <c r="BL74" s="26" t="s">
        <v>61</v>
      </c>
      <c r="BM74" s="26" t="s">
        <v>61</v>
      </c>
      <c r="BN74" s="26" t="s">
        <v>61</v>
      </c>
      <c r="BO74" s="26" t="s">
        <v>61</v>
      </c>
      <c r="BP74" s="26">
        <v>6.9</v>
      </c>
      <c r="BQ74" s="26">
        <v>1.5</v>
      </c>
      <c r="BR74" s="26" t="s">
        <v>61</v>
      </c>
      <c r="BS74" s="26">
        <v>0</v>
      </c>
      <c r="BT74" s="26">
        <v>1</v>
      </c>
      <c r="BU74" s="26" t="s">
        <v>61</v>
      </c>
      <c r="BV74" s="26" t="s">
        <v>61</v>
      </c>
      <c r="BW74" s="26" t="s">
        <v>61</v>
      </c>
      <c r="BX74" s="26" t="s">
        <v>61</v>
      </c>
      <c r="BY74" s="26" t="s">
        <v>61</v>
      </c>
      <c r="BZ74" s="26" t="s">
        <v>61</v>
      </c>
      <c r="CA74" s="26" t="s">
        <v>61</v>
      </c>
      <c r="CB74" s="26" t="s">
        <v>61</v>
      </c>
      <c r="CC74" s="26" t="s">
        <v>60</v>
      </c>
      <c r="CD74" s="26" t="s">
        <v>60</v>
      </c>
      <c r="CE74" s="26" t="s">
        <v>59</v>
      </c>
      <c r="CF74" s="26"/>
      <c r="CG74" s="26"/>
      <c r="CH74" s="26" t="s">
        <v>59</v>
      </c>
      <c r="CI74" s="26" t="s">
        <v>59</v>
      </c>
      <c r="CJ74" s="26" t="s">
        <v>59</v>
      </c>
      <c r="CK74" s="26" t="s">
        <v>59</v>
      </c>
      <c r="CL74" s="26" t="s">
        <v>59</v>
      </c>
      <c r="CM74" s="26" t="s">
        <v>59</v>
      </c>
      <c r="CN74" s="26" t="s">
        <v>59</v>
      </c>
      <c r="CO74" s="26" t="s">
        <v>59</v>
      </c>
      <c r="CP74" s="26" t="s">
        <v>60</v>
      </c>
      <c r="CQ74" s="26" t="s">
        <v>60</v>
      </c>
      <c r="CR74" s="26" t="s">
        <v>59</v>
      </c>
      <c r="CS74" s="26"/>
      <c r="CT74" s="26"/>
      <c r="CU74" s="26" t="s">
        <v>59</v>
      </c>
      <c r="CV74" s="26" t="s">
        <v>59</v>
      </c>
      <c r="CW74" s="26" t="s">
        <v>59</v>
      </c>
      <c r="CX74" s="26" t="s">
        <v>59</v>
      </c>
      <c r="CY74" s="26" t="s">
        <v>59</v>
      </c>
      <c r="CZ74" s="26" t="s">
        <v>59</v>
      </c>
      <c r="DA74" s="26" t="s">
        <v>59</v>
      </c>
      <c r="DB74" s="26" t="s">
        <v>59</v>
      </c>
      <c r="DC74" s="26">
        <v>12</v>
      </c>
    </row>
    <row r="75" spans="1:114" ht="14">
      <c r="A75" s="34" t="s">
        <v>188</v>
      </c>
      <c r="B75" s="209">
        <v>5083</v>
      </c>
      <c r="C75" s="43">
        <v>3</v>
      </c>
      <c r="D75" s="43">
        <v>1</v>
      </c>
      <c r="E75" s="26" t="s">
        <v>139</v>
      </c>
      <c r="F75" s="26" t="s">
        <v>59</v>
      </c>
      <c r="G75" s="48">
        <f t="shared" si="1"/>
        <v>201</v>
      </c>
      <c r="H75" s="26" t="s">
        <v>59</v>
      </c>
      <c r="I75" s="26" t="s">
        <v>60</v>
      </c>
      <c r="J75" s="26" t="s">
        <v>59</v>
      </c>
      <c r="K75" s="26" t="s">
        <v>59</v>
      </c>
      <c r="L75" s="26" t="s">
        <v>59</v>
      </c>
      <c r="M75" s="26" t="s">
        <v>59</v>
      </c>
      <c r="N75" s="26" t="s">
        <v>59</v>
      </c>
      <c r="O75" s="26" t="s">
        <v>59</v>
      </c>
      <c r="P75" s="26" t="s">
        <v>59</v>
      </c>
      <c r="Q75" s="26" t="s">
        <v>60</v>
      </c>
      <c r="R75" s="26" t="s">
        <v>60</v>
      </c>
      <c r="S75" s="26" t="s">
        <v>60</v>
      </c>
      <c r="T75" s="26" t="s">
        <v>60</v>
      </c>
      <c r="U75" s="26">
        <v>97</v>
      </c>
      <c r="V75" s="26">
        <v>90</v>
      </c>
      <c r="W75" s="26">
        <v>44</v>
      </c>
      <c r="X75" s="26" t="s">
        <v>60</v>
      </c>
      <c r="Y75" s="26">
        <v>8.6999999999999993</v>
      </c>
      <c r="Z75" s="26">
        <v>1.3</v>
      </c>
      <c r="AA75" s="26" t="s">
        <v>61</v>
      </c>
      <c r="AB75" s="26" t="s">
        <v>61</v>
      </c>
      <c r="AC75" s="27" t="s">
        <v>189</v>
      </c>
      <c r="AD75" s="26">
        <v>8.4</v>
      </c>
      <c r="AE75" s="26">
        <v>1.1000000000000001</v>
      </c>
      <c r="AF75" s="26" t="s">
        <v>61</v>
      </c>
      <c r="AG75" s="26" t="s">
        <v>61</v>
      </c>
      <c r="AH75" s="26" t="s">
        <v>61</v>
      </c>
      <c r="AI75" s="26">
        <v>8.9</v>
      </c>
      <c r="AJ75" s="26">
        <v>1.5</v>
      </c>
      <c r="AK75" s="27" t="s">
        <v>61</v>
      </c>
      <c r="AL75" s="26" t="s">
        <v>61</v>
      </c>
      <c r="AM75" s="69" t="s">
        <v>61</v>
      </c>
      <c r="AN75" s="26" t="s">
        <v>60</v>
      </c>
      <c r="AO75" s="26" t="s">
        <v>59</v>
      </c>
      <c r="AP75" s="26" t="s">
        <v>59</v>
      </c>
      <c r="AQ75" s="26" t="s">
        <v>59</v>
      </c>
      <c r="AR75" s="26" t="s">
        <v>59</v>
      </c>
      <c r="AS75" s="26" t="s">
        <v>61</v>
      </c>
      <c r="AT75" s="26" t="s">
        <v>64</v>
      </c>
      <c r="AU75" s="26" t="s">
        <v>59</v>
      </c>
      <c r="AV75" s="26" t="s">
        <v>59</v>
      </c>
      <c r="AW75" s="26" t="s">
        <v>59</v>
      </c>
      <c r="AX75" s="26" t="s">
        <v>59</v>
      </c>
      <c r="AY75" s="186">
        <v>86</v>
      </c>
      <c r="AZ75" s="186">
        <v>78</v>
      </c>
      <c r="BA75" s="186">
        <v>37</v>
      </c>
      <c r="BB75" s="186" t="s">
        <v>60</v>
      </c>
      <c r="BC75" s="26">
        <v>7.9</v>
      </c>
      <c r="BD75" s="26">
        <v>1.1000000000000001</v>
      </c>
      <c r="BE75" s="26" t="s">
        <v>61</v>
      </c>
      <c r="BF75" s="48">
        <v>0</v>
      </c>
      <c r="BG75" s="48">
        <v>1</v>
      </c>
      <c r="BH75" s="27" t="s">
        <v>61</v>
      </c>
      <c r="BI75" s="27" t="s">
        <v>61</v>
      </c>
      <c r="BJ75" s="26">
        <v>-0.8</v>
      </c>
      <c r="BK75" s="26" t="s">
        <v>61</v>
      </c>
      <c r="BL75" s="26" t="s">
        <v>61</v>
      </c>
      <c r="BM75" s="26">
        <v>-1</v>
      </c>
      <c r="BN75" s="26">
        <v>-0.5</v>
      </c>
      <c r="BO75" s="26" t="s">
        <v>61</v>
      </c>
      <c r="BP75" s="26">
        <v>8</v>
      </c>
      <c r="BQ75" s="26">
        <v>1.5</v>
      </c>
      <c r="BR75" s="26" t="s">
        <v>61</v>
      </c>
      <c r="BS75" s="26">
        <v>0</v>
      </c>
      <c r="BT75" s="26">
        <v>1</v>
      </c>
      <c r="BU75" s="27" t="s">
        <v>61</v>
      </c>
      <c r="BV75" s="27" t="s">
        <v>61</v>
      </c>
      <c r="BW75" s="26">
        <v>-0.4</v>
      </c>
      <c r="BX75" s="26" t="s">
        <v>61</v>
      </c>
      <c r="BY75" s="27" t="s">
        <v>61</v>
      </c>
      <c r="BZ75" s="26">
        <v>-0.8</v>
      </c>
      <c r="CA75" s="27">
        <v>-0.1</v>
      </c>
      <c r="CB75" s="26" t="s">
        <v>61</v>
      </c>
      <c r="CC75" s="26">
        <v>7.9</v>
      </c>
      <c r="CD75" s="26">
        <v>0.9</v>
      </c>
      <c r="CE75" s="27" t="s">
        <v>61</v>
      </c>
      <c r="CF75" s="69">
        <v>0</v>
      </c>
      <c r="CG75" s="69">
        <v>1</v>
      </c>
      <c r="CH75" s="27" t="s">
        <v>61</v>
      </c>
      <c r="CI75" s="27" t="s">
        <v>61</v>
      </c>
      <c r="CJ75" s="26">
        <v>-0.9</v>
      </c>
      <c r="CK75" s="27" t="s">
        <v>61</v>
      </c>
      <c r="CL75" s="27" t="s">
        <v>61</v>
      </c>
      <c r="CM75" s="26">
        <v>-1.6</v>
      </c>
      <c r="CN75" s="26">
        <v>-0.3</v>
      </c>
      <c r="CO75" s="26" t="s">
        <v>61</v>
      </c>
      <c r="CP75" s="26" t="s">
        <v>60</v>
      </c>
      <c r="CQ75" s="26" t="s">
        <v>60</v>
      </c>
      <c r="CR75" s="26" t="s">
        <v>59</v>
      </c>
      <c r="CS75" s="26"/>
      <c r="CT75" s="26"/>
      <c r="CU75" s="26" t="s">
        <v>59</v>
      </c>
      <c r="CV75" s="26" t="s">
        <v>59</v>
      </c>
      <c r="CW75" s="26" t="s">
        <v>59</v>
      </c>
      <c r="CX75" s="26" t="s">
        <v>59</v>
      </c>
      <c r="CY75" s="26" t="s">
        <v>59</v>
      </c>
      <c r="CZ75" s="26" t="s">
        <v>59</v>
      </c>
      <c r="DA75" s="26" t="s">
        <v>59</v>
      </c>
      <c r="DB75" s="26" t="s">
        <v>59</v>
      </c>
      <c r="DC75" s="26">
        <v>6</v>
      </c>
    </row>
    <row r="76" spans="1:114">
      <c r="A76" s="34" t="s">
        <v>214</v>
      </c>
      <c r="B76" s="22">
        <v>5943</v>
      </c>
      <c r="C76" s="34">
        <v>2</v>
      </c>
      <c r="D76" s="43">
        <v>1</v>
      </c>
      <c r="E76" s="26" t="s">
        <v>139</v>
      </c>
      <c r="F76" s="26" t="s">
        <v>59</v>
      </c>
      <c r="G76" s="48">
        <f t="shared" si="1"/>
        <v>42</v>
      </c>
      <c r="H76" s="26" t="s">
        <v>59</v>
      </c>
      <c r="I76" s="26" t="s">
        <v>60</v>
      </c>
      <c r="J76" s="26" t="s">
        <v>59</v>
      </c>
      <c r="K76" s="26" t="s">
        <v>59</v>
      </c>
      <c r="L76" s="26" t="s">
        <v>59</v>
      </c>
      <c r="M76" s="26" t="s">
        <v>59</v>
      </c>
      <c r="N76" s="26" t="s">
        <v>59</v>
      </c>
      <c r="O76" s="26" t="s">
        <v>59</v>
      </c>
      <c r="P76" s="26" t="s">
        <v>59</v>
      </c>
      <c r="Q76" s="26" t="s">
        <v>60</v>
      </c>
      <c r="R76" s="26" t="s">
        <v>60</v>
      </c>
      <c r="S76" s="26" t="s">
        <v>60</v>
      </c>
      <c r="T76" s="26" t="s">
        <v>60</v>
      </c>
      <c r="U76" s="26">
        <v>20</v>
      </c>
      <c r="V76" s="26">
        <v>22</v>
      </c>
      <c r="W76" s="26" t="s">
        <v>60</v>
      </c>
      <c r="X76" s="26" t="s">
        <v>60</v>
      </c>
      <c r="Y76" s="26">
        <v>8.1999999999999993</v>
      </c>
      <c r="Z76" s="26">
        <v>1.4</v>
      </c>
      <c r="AA76" s="26" t="s">
        <v>61</v>
      </c>
      <c r="AB76" s="26" t="s">
        <v>61</v>
      </c>
      <c r="AC76" s="26" t="s">
        <v>61</v>
      </c>
      <c r="AD76" s="26">
        <v>9.1999999999999993</v>
      </c>
      <c r="AE76" s="26">
        <v>1.9</v>
      </c>
      <c r="AF76" s="26" t="s">
        <v>61</v>
      </c>
      <c r="AG76" s="26" t="s">
        <v>61</v>
      </c>
      <c r="AH76" s="26" t="s">
        <v>61</v>
      </c>
      <c r="AI76" s="26" t="s">
        <v>60</v>
      </c>
      <c r="AJ76" s="26" t="s">
        <v>60</v>
      </c>
      <c r="AK76" s="26" t="s">
        <v>59</v>
      </c>
      <c r="AL76" s="26" t="s">
        <v>59</v>
      </c>
      <c r="AM76" s="26" t="s">
        <v>59</v>
      </c>
      <c r="AN76" s="26" t="s">
        <v>60</v>
      </c>
      <c r="AO76" s="26" t="s">
        <v>60</v>
      </c>
      <c r="AP76" s="26" t="s">
        <v>59</v>
      </c>
      <c r="AQ76" s="26" t="s">
        <v>59</v>
      </c>
      <c r="AR76" s="26" t="s">
        <v>59</v>
      </c>
      <c r="AS76" s="26" t="s">
        <v>61</v>
      </c>
      <c r="AT76" s="26" t="s">
        <v>64</v>
      </c>
      <c r="AU76" s="26" t="s">
        <v>59</v>
      </c>
      <c r="AV76" s="26" t="s">
        <v>59</v>
      </c>
      <c r="AW76" s="26" t="s">
        <v>59</v>
      </c>
      <c r="AX76" s="26" t="s">
        <v>59</v>
      </c>
      <c r="AY76" s="186">
        <v>20</v>
      </c>
      <c r="AZ76" s="186">
        <v>22</v>
      </c>
      <c r="BA76" s="186" t="s">
        <v>60</v>
      </c>
      <c r="BB76" s="186" t="s">
        <v>60</v>
      </c>
      <c r="BC76" s="26">
        <v>7.8</v>
      </c>
      <c r="BD76" s="26">
        <v>1.5</v>
      </c>
      <c r="BE76" s="26" t="s">
        <v>61</v>
      </c>
      <c r="BF76" s="48">
        <v>0</v>
      </c>
      <c r="BG76" s="48">
        <v>1</v>
      </c>
      <c r="BH76" s="26" t="s">
        <v>61</v>
      </c>
      <c r="BI76" s="26" t="s">
        <v>61</v>
      </c>
      <c r="BJ76" s="26">
        <v>-0.4</v>
      </c>
      <c r="BK76" s="26">
        <v>0.7</v>
      </c>
      <c r="BL76" s="26" t="s">
        <v>61</v>
      </c>
      <c r="BM76" s="26" t="s">
        <v>61</v>
      </c>
      <c r="BN76" s="26" t="s">
        <v>61</v>
      </c>
      <c r="BO76" s="26" t="s">
        <v>61</v>
      </c>
      <c r="BP76" s="26">
        <v>8.3000000000000007</v>
      </c>
      <c r="BQ76" s="26">
        <v>1.5</v>
      </c>
      <c r="BR76" s="26" t="s">
        <v>61</v>
      </c>
      <c r="BS76" s="26">
        <v>0</v>
      </c>
      <c r="BT76" s="26">
        <v>1</v>
      </c>
      <c r="BU76" s="26" t="s">
        <v>61</v>
      </c>
      <c r="BV76" s="26" t="s">
        <v>61</v>
      </c>
      <c r="BW76" s="26">
        <v>-0.9</v>
      </c>
      <c r="BX76" s="26">
        <v>1.4</v>
      </c>
      <c r="BY76" s="26" t="s">
        <v>61</v>
      </c>
      <c r="BZ76" s="26" t="s">
        <v>61</v>
      </c>
      <c r="CA76" s="26" t="s">
        <v>61</v>
      </c>
      <c r="CB76" s="26" t="s">
        <v>61</v>
      </c>
      <c r="CC76" s="26" t="s">
        <v>60</v>
      </c>
      <c r="CD76" s="26" t="s">
        <v>60</v>
      </c>
      <c r="CE76" s="26" t="s">
        <v>59</v>
      </c>
      <c r="CF76" s="26"/>
      <c r="CG76" s="26"/>
      <c r="CH76" s="26" t="s">
        <v>59</v>
      </c>
      <c r="CI76" s="26" t="s">
        <v>59</v>
      </c>
      <c r="CJ76" s="26" t="s">
        <v>59</v>
      </c>
      <c r="CK76" s="26" t="s">
        <v>59</v>
      </c>
      <c r="CL76" s="26" t="s">
        <v>59</v>
      </c>
      <c r="CM76" s="26" t="s">
        <v>59</v>
      </c>
      <c r="CN76" s="26" t="s">
        <v>59</v>
      </c>
      <c r="CO76" s="26" t="s">
        <v>59</v>
      </c>
      <c r="CP76" s="26" t="s">
        <v>60</v>
      </c>
      <c r="CQ76" s="26" t="s">
        <v>60</v>
      </c>
      <c r="CR76" s="26" t="s">
        <v>59</v>
      </c>
      <c r="CS76" s="26"/>
      <c r="CT76" s="26"/>
      <c r="CU76" s="26" t="s">
        <v>59</v>
      </c>
      <c r="CV76" s="26" t="s">
        <v>59</v>
      </c>
      <c r="CW76" s="26" t="s">
        <v>59</v>
      </c>
      <c r="CX76" s="26" t="s">
        <v>59</v>
      </c>
      <c r="CY76" s="26" t="s">
        <v>59</v>
      </c>
      <c r="CZ76" s="26" t="s">
        <v>59</v>
      </c>
      <c r="DA76" s="26" t="s">
        <v>59</v>
      </c>
      <c r="DB76" s="26" t="s">
        <v>59</v>
      </c>
      <c r="DC76" s="26">
        <v>3</v>
      </c>
    </row>
    <row r="77" spans="1:114">
      <c r="A77" s="34" t="s">
        <v>155</v>
      </c>
      <c r="B77" s="34">
        <v>701</v>
      </c>
      <c r="C77" s="34">
        <v>2</v>
      </c>
      <c r="D77" s="43">
        <v>1</v>
      </c>
      <c r="E77" s="26" t="s">
        <v>139</v>
      </c>
      <c r="F77" s="26" t="s">
        <v>59</v>
      </c>
      <c r="G77" s="48">
        <f t="shared" si="1"/>
        <v>73</v>
      </c>
      <c r="H77" s="26" t="s">
        <v>59</v>
      </c>
      <c r="I77" s="26" t="s">
        <v>60</v>
      </c>
      <c r="J77" s="26" t="s">
        <v>59</v>
      </c>
      <c r="K77" s="26" t="s">
        <v>59</v>
      </c>
      <c r="L77" s="26" t="s">
        <v>59</v>
      </c>
      <c r="M77" s="26" t="s">
        <v>59</v>
      </c>
      <c r="N77" s="26" t="s">
        <v>59</v>
      </c>
      <c r="O77" s="26" t="s">
        <v>59</v>
      </c>
      <c r="P77" s="26" t="s">
        <v>59</v>
      </c>
      <c r="Q77" s="26" t="s">
        <v>60</v>
      </c>
      <c r="R77" s="26" t="s">
        <v>60</v>
      </c>
      <c r="S77" s="26" t="s">
        <v>60</v>
      </c>
      <c r="T77" s="26" t="s">
        <v>60</v>
      </c>
      <c r="U77" s="26">
        <v>25</v>
      </c>
      <c r="V77" s="26">
        <v>48</v>
      </c>
      <c r="W77" s="26" t="s">
        <v>60</v>
      </c>
      <c r="X77" s="26" t="s">
        <v>60</v>
      </c>
      <c r="Y77" s="26">
        <v>8.5</v>
      </c>
      <c r="Z77" s="26">
        <v>1.6</v>
      </c>
      <c r="AA77" s="26" t="s">
        <v>61</v>
      </c>
      <c r="AB77" s="26" t="s">
        <v>61</v>
      </c>
      <c r="AC77" s="27" t="s">
        <v>61</v>
      </c>
      <c r="AD77" s="26">
        <v>8.4</v>
      </c>
      <c r="AE77" s="26">
        <v>1.4</v>
      </c>
      <c r="AF77" s="26" t="s">
        <v>61</v>
      </c>
      <c r="AG77" s="26" t="s">
        <v>61</v>
      </c>
      <c r="AH77" s="27" t="s">
        <v>61</v>
      </c>
      <c r="AI77" s="26" t="s">
        <v>60</v>
      </c>
      <c r="AJ77" s="26" t="s">
        <v>60</v>
      </c>
      <c r="AK77" s="26" t="s">
        <v>59</v>
      </c>
      <c r="AL77" s="26" t="s">
        <v>59</v>
      </c>
      <c r="AM77" s="26" t="s">
        <v>59</v>
      </c>
      <c r="AN77" s="26" t="s">
        <v>60</v>
      </c>
      <c r="AO77" s="26" t="s">
        <v>60</v>
      </c>
      <c r="AP77" s="26" t="s">
        <v>59</v>
      </c>
      <c r="AQ77" s="26" t="s">
        <v>59</v>
      </c>
      <c r="AR77" s="26" t="s">
        <v>59</v>
      </c>
      <c r="AS77" s="26" t="s">
        <v>61</v>
      </c>
      <c r="AT77" s="26" t="s">
        <v>64</v>
      </c>
      <c r="AU77" s="26" t="s">
        <v>59</v>
      </c>
      <c r="AV77" s="26" t="s">
        <v>59</v>
      </c>
      <c r="AW77" s="26" t="s">
        <v>59</v>
      </c>
      <c r="AX77" s="26" t="s">
        <v>59</v>
      </c>
      <c r="AY77" s="186">
        <v>25</v>
      </c>
      <c r="AZ77" s="186">
        <v>48</v>
      </c>
      <c r="BA77" s="186" t="s">
        <v>60</v>
      </c>
      <c r="BB77" s="186" t="s">
        <v>60</v>
      </c>
      <c r="BC77" s="26">
        <v>8.1</v>
      </c>
      <c r="BD77" s="26">
        <v>1.6</v>
      </c>
      <c r="BE77" s="26" t="s">
        <v>61</v>
      </c>
      <c r="BF77" s="48">
        <v>0</v>
      </c>
      <c r="BG77" s="48">
        <v>1</v>
      </c>
      <c r="BH77" s="27" t="s">
        <v>61</v>
      </c>
      <c r="BI77" s="27" t="s">
        <v>61</v>
      </c>
      <c r="BJ77" s="26" t="s">
        <v>61</v>
      </c>
      <c r="BK77" s="26" t="s">
        <v>61</v>
      </c>
      <c r="BL77" s="26" t="s">
        <v>61</v>
      </c>
      <c r="BM77" s="26" t="s">
        <v>61</v>
      </c>
      <c r="BN77" s="26" t="s">
        <v>61</v>
      </c>
      <c r="BO77" s="26" t="s">
        <v>156</v>
      </c>
      <c r="BP77" s="26">
        <v>8.1999999999999993</v>
      </c>
      <c r="BQ77" s="26">
        <v>1.5</v>
      </c>
      <c r="BR77" s="26" t="s">
        <v>61</v>
      </c>
      <c r="BS77" s="26">
        <v>0</v>
      </c>
      <c r="BT77" s="26">
        <v>1</v>
      </c>
      <c r="BU77" s="27" t="s">
        <v>61</v>
      </c>
      <c r="BV77" s="27" t="s">
        <v>61</v>
      </c>
      <c r="BW77" s="26" t="s">
        <v>61</v>
      </c>
      <c r="BX77" s="26" t="s">
        <v>61</v>
      </c>
      <c r="BY77" s="27" t="s">
        <v>61</v>
      </c>
      <c r="BZ77" s="26" t="s">
        <v>61</v>
      </c>
      <c r="CA77" s="27" t="s">
        <v>61</v>
      </c>
      <c r="CB77" s="26" t="s">
        <v>156</v>
      </c>
      <c r="CC77" s="26" t="s">
        <v>60</v>
      </c>
      <c r="CD77" s="26" t="s">
        <v>60</v>
      </c>
      <c r="CE77" s="26" t="s">
        <v>59</v>
      </c>
      <c r="CF77" s="26"/>
      <c r="CG77" s="26"/>
      <c r="CH77" s="26" t="s">
        <v>59</v>
      </c>
      <c r="CI77" s="26" t="s">
        <v>59</v>
      </c>
      <c r="CJ77" s="26" t="s">
        <v>59</v>
      </c>
      <c r="CK77" s="26" t="s">
        <v>59</v>
      </c>
      <c r="CL77" s="26" t="s">
        <v>59</v>
      </c>
      <c r="CM77" s="26" t="s">
        <v>59</v>
      </c>
      <c r="CN77" s="26" t="s">
        <v>59</v>
      </c>
      <c r="CO77" s="26" t="s">
        <v>59</v>
      </c>
      <c r="CP77" s="26" t="s">
        <v>59</v>
      </c>
      <c r="CQ77" s="26" t="s">
        <v>60</v>
      </c>
      <c r="CR77" s="26" t="s">
        <v>59</v>
      </c>
      <c r="CS77" s="26"/>
      <c r="CT77" s="26"/>
      <c r="CU77" s="26" t="s">
        <v>59</v>
      </c>
      <c r="CV77" s="26" t="s">
        <v>59</v>
      </c>
      <c r="CW77" s="26" t="s">
        <v>59</v>
      </c>
      <c r="CX77" s="26" t="s">
        <v>59</v>
      </c>
      <c r="CY77" s="26" t="s">
        <v>59</v>
      </c>
      <c r="CZ77" s="26" t="s">
        <v>59</v>
      </c>
      <c r="DA77" s="26" t="s">
        <v>59</v>
      </c>
      <c r="DB77" s="26" t="s">
        <v>59</v>
      </c>
      <c r="DC77" s="26">
        <v>6</v>
      </c>
    </row>
    <row r="78" spans="1:114" ht="14">
      <c r="A78" s="49" t="s">
        <v>380</v>
      </c>
      <c r="B78" s="43">
        <v>11183</v>
      </c>
      <c r="C78" s="34">
        <v>2</v>
      </c>
      <c r="D78" s="43">
        <v>1</v>
      </c>
      <c r="E78" s="48" t="s">
        <v>139</v>
      </c>
      <c r="F78" s="26" t="s">
        <v>59</v>
      </c>
      <c r="G78" s="48">
        <f t="shared" si="1"/>
        <v>145</v>
      </c>
      <c r="H78" s="26" t="s">
        <v>59</v>
      </c>
      <c r="I78" s="26" t="s">
        <v>59</v>
      </c>
      <c r="J78" s="48" t="s">
        <v>59</v>
      </c>
      <c r="K78" s="26" t="s">
        <v>59</v>
      </c>
      <c r="L78" s="26" t="s">
        <v>59</v>
      </c>
      <c r="M78" s="26" t="s">
        <v>59</v>
      </c>
      <c r="N78" s="26" t="s">
        <v>59</v>
      </c>
      <c r="O78" s="26" t="s">
        <v>59</v>
      </c>
      <c r="P78" s="26" t="s">
        <v>59</v>
      </c>
      <c r="Q78" s="48" t="s">
        <v>59</v>
      </c>
      <c r="R78" s="48" t="s">
        <v>59</v>
      </c>
      <c r="S78" s="48" t="s">
        <v>59</v>
      </c>
      <c r="T78" s="48" t="s">
        <v>59</v>
      </c>
      <c r="U78" s="48">
        <v>86</v>
      </c>
      <c r="V78" s="48">
        <v>59</v>
      </c>
      <c r="W78" s="48" t="s">
        <v>59</v>
      </c>
      <c r="X78" s="48" t="s">
        <v>59</v>
      </c>
      <c r="Y78" s="69">
        <v>8.9</v>
      </c>
      <c r="Z78" s="69">
        <v>1.1000000000000001</v>
      </c>
      <c r="AA78" s="69" t="s">
        <v>61</v>
      </c>
      <c r="AB78" s="69" t="s">
        <v>61</v>
      </c>
      <c r="AC78" s="69" t="s">
        <v>61</v>
      </c>
      <c r="AD78" s="69">
        <v>9.3000000000000007</v>
      </c>
      <c r="AE78" s="69">
        <v>1.7</v>
      </c>
      <c r="AF78" s="69" t="s">
        <v>61</v>
      </c>
      <c r="AG78" s="69" t="s">
        <v>61</v>
      </c>
      <c r="AH78" s="69" t="s">
        <v>61</v>
      </c>
      <c r="AI78" s="69" t="s">
        <v>59</v>
      </c>
      <c r="AJ78" s="69" t="s">
        <v>59</v>
      </c>
      <c r="AK78" s="69" t="s">
        <v>59</v>
      </c>
      <c r="AL78" s="69" t="s">
        <v>59</v>
      </c>
      <c r="AM78" s="69" t="s">
        <v>59</v>
      </c>
      <c r="AN78" s="69" t="s">
        <v>59</v>
      </c>
      <c r="AO78" s="69" t="s">
        <v>59</v>
      </c>
      <c r="AP78" s="69" t="s">
        <v>59</v>
      </c>
      <c r="AQ78" s="69" t="s">
        <v>59</v>
      </c>
      <c r="AR78" s="69" t="s">
        <v>59</v>
      </c>
      <c r="AS78" s="69" t="s">
        <v>61</v>
      </c>
      <c r="AT78" s="69" t="s">
        <v>64</v>
      </c>
      <c r="AU78" s="69" t="s">
        <v>59</v>
      </c>
      <c r="AV78" s="69" t="s">
        <v>59</v>
      </c>
      <c r="AW78" s="69" t="s">
        <v>59</v>
      </c>
      <c r="AX78" s="69" t="s">
        <v>59</v>
      </c>
      <c r="AY78" s="215">
        <v>86</v>
      </c>
      <c r="AZ78" s="215">
        <v>59</v>
      </c>
      <c r="BA78" s="215" t="s">
        <v>59</v>
      </c>
      <c r="BB78" s="215" t="s">
        <v>59</v>
      </c>
      <c r="BC78" s="69">
        <v>9</v>
      </c>
      <c r="BD78" s="69">
        <v>1.2</v>
      </c>
      <c r="BE78" s="69" t="s">
        <v>61</v>
      </c>
      <c r="BF78" s="48">
        <v>0</v>
      </c>
      <c r="BG78" s="48">
        <v>1</v>
      </c>
      <c r="BH78" s="69" t="s">
        <v>61</v>
      </c>
      <c r="BI78" s="69" t="s">
        <v>61</v>
      </c>
      <c r="BJ78" s="69">
        <v>0.1</v>
      </c>
      <c r="BK78" s="69">
        <v>1</v>
      </c>
      <c r="BL78" s="69" t="s">
        <v>61</v>
      </c>
      <c r="BM78" s="69" t="s">
        <v>61</v>
      </c>
      <c r="BN78" s="69" t="s">
        <v>61</v>
      </c>
      <c r="BO78" s="69">
        <v>0.317</v>
      </c>
      <c r="BP78" s="69">
        <v>7.5</v>
      </c>
      <c r="BQ78" s="69">
        <v>1.6</v>
      </c>
      <c r="BR78" s="69" t="s">
        <v>61</v>
      </c>
      <c r="BS78" s="26">
        <v>0</v>
      </c>
      <c r="BT78" s="26">
        <v>1</v>
      </c>
      <c r="BU78" s="69" t="s">
        <v>61</v>
      </c>
      <c r="BV78" s="69" t="s">
        <v>61</v>
      </c>
      <c r="BW78" s="69">
        <v>-1.7</v>
      </c>
      <c r="BX78" s="69">
        <v>1.4</v>
      </c>
      <c r="BY78" s="69" t="s">
        <v>61</v>
      </c>
      <c r="BZ78" s="69" t="s">
        <v>61</v>
      </c>
      <c r="CA78" s="69" t="s">
        <v>61</v>
      </c>
      <c r="CB78" s="69" t="s">
        <v>119</v>
      </c>
      <c r="CC78" s="69" t="s">
        <v>59</v>
      </c>
      <c r="CD78" s="69" t="s">
        <v>59</v>
      </c>
      <c r="CE78" s="69" t="s">
        <v>59</v>
      </c>
      <c r="CF78" s="69"/>
      <c r="CG78" s="69"/>
      <c r="CH78" s="69" t="s">
        <v>59</v>
      </c>
      <c r="CI78" s="69" t="s">
        <v>59</v>
      </c>
      <c r="CJ78" s="69" t="s">
        <v>59</v>
      </c>
      <c r="CK78" s="69" t="s">
        <v>59</v>
      </c>
      <c r="CL78" s="69" t="s">
        <v>59</v>
      </c>
      <c r="CM78" s="69" t="s">
        <v>59</v>
      </c>
      <c r="CN78" s="69" t="s">
        <v>59</v>
      </c>
      <c r="CO78" s="69" t="s">
        <v>59</v>
      </c>
      <c r="CP78" s="69" t="s">
        <v>59</v>
      </c>
      <c r="CQ78" s="69" t="s">
        <v>59</v>
      </c>
      <c r="CR78" s="69" t="s">
        <v>59</v>
      </c>
      <c r="CS78" s="69"/>
      <c r="CT78" s="69"/>
      <c r="CU78" s="69" t="s">
        <v>59</v>
      </c>
      <c r="CV78" s="69" t="s">
        <v>59</v>
      </c>
      <c r="CW78" s="69" t="s">
        <v>59</v>
      </c>
      <c r="CX78" s="69" t="s">
        <v>59</v>
      </c>
      <c r="CY78" s="69" t="s">
        <v>59</v>
      </c>
      <c r="CZ78" s="69" t="s">
        <v>59</v>
      </c>
      <c r="DA78" s="69" t="s">
        <v>59</v>
      </c>
      <c r="DB78" s="69" t="s">
        <v>59</v>
      </c>
      <c r="DC78" s="69">
        <v>3</v>
      </c>
      <c r="DD78" s="55"/>
      <c r="DE78" s="43"/>
      <c r="DF78" s="43"/>
      <c r="DG78" s="43"/>
      <c r="DH78" s="43"/>
      <c r="DI78" s="43"/>
      <c r="DJ78" s="43"/>
    </row>
    <row r="79" spans="1:114" ht="14">
      <c r="A79" s="34" t="s">
        <v>161</v>
      </c>
      <c r="B79" s="38">
        <v>1585</v>
      </c>
      <c r="C79" s="43">
        <v>3</v>
      </c>
      <c r="D79" s="43">
        <v>1</v>
      </c>
      <c r="E79" s="26" t="s">
        <v>139</v>
      </c>
      <c r="F79" s="26" t="s">
        <v>59</v>
      </c>
      <c r="G79" s="48">
        <f t="shared" si="1"/>
        <v>143</v>
      </c>
      <c r="H79" s="26" t="s">
        <v>59</v>
      </c>
      <c r="I79" s="26" t="s">
        <v>60</v>
      </c>
      <c r="J79" s="26" t="s">
        <v>59</v>
      </c>
      <c r="K79" s="26" t="s">
        <v>59</v>
      </c>
      <c r="L79" s="26" t="s">
        <v>59</v>
      </c>
      <c r="M79" s="26" t="s">
        <v>59</v>
      </c>
      <c r="N79" s="26" t="s">
        <v>59</v>
      </c>
      <c r="O79" s="26" t="s">
        <v>59</v>
      </c>
      <c r="P79" s="26" t="s">
        <v>59</v>
      </c>
      <c r="Q79" s="26" t="s">
        <v>60</v>
      </c>
      <c r="R79" s="26" t="s">
        <v>60</v>
      </c>
      <c r="S79" s="26" t="s">
        <v>60</v>
      </c>
      <c r="T79" s="26" t="s">
        <v>60</v>
      </c>
      <c r="U79" s="26">
        <v>72</v>
      </c>
      <c r="V79" s="26">
        <v>65</v>
      </c>
      <c r="W79" s="26">
        <v>69</v>
      </c>
      <c r="X79" s="26" t="s">
        <v>60</v>
      </c>
      <c r="Y79" s="26">
        <v>8.4</v>
      </c>
      <c r="Z79" s="26">
        <v>2.6</v>
      </c>
      <c r="AA79" s="26" t="s">
        <v>61</v>
      </c>
      <c r="AB79" s="26" t="s">
        <v>61</v>
      </c>
      <c r="AC79" s="27" t="s">
        <v>61</v>
      </c>
      <c r="AD79" s="26">
        <v>8.9</v>
      </c>
      <c r="AE79" s="26">
        <v>2.5</v>
      </c>
      <c r="AF79" s="26" t="s">
        <v>61</v>
      </c>
      <c r="AG79" s="26" t="s">
        <v>61</v>
      </c>
      <c r="AH79" s="27" t="s">
        <v>61</v>
      </c>
      <c r="AI79" s="26">
        <v>8.5</v>
      </c>
      <c r="AJ79" s="26">
        <v>2.2000000000000002</v>
      </c>
      <c r="AK79" s="27" t="s">
        <v>61</v>
      </c>
      <c r="AL79" s="26" t="s">
        <v>61</v>
      </c>
      <c r="AM79" s="27" t="s">
        <v>61</v>
      </c>
      <c r="AN79" s="26" t="s">
        <v>60</v>
      </c>
      <c r="AO79" s="26" t="s">
        <v>60</v>
      </c>
      <c r="AP79" s="26" t="s">
        <v>59</v>
      </c>
      <c r="AQ79" s="26" t="s">
        <v>59</v>
      </c>
      <c r="AR79" s="26" t="s">
        <v>59</v>
      </c>
      <c r="AS79" s="26" t="s">
        <v>61</v>
      </c>
      <c r="AT79" s="26" t="s">
        <v>64</v>
      </c>
      <c r="AU79" s="26" t="s">
        <v>59</v>
      </c>
      <c r="AV79" s="26" t="s">
        <v>59</v>
      </c>
      <c r="AW79" s="26" t="s">
        <v>59</v>
      </c>
      <c r="AX79" s="26" t="s">
        <v>59</v>
      </c>
      <c r="AY79" s="33">
        <v>33</v>
      </c>
      <c r="AZ79" s="33">
        <v>64</v>
      </c>
      <c r="BA79" s="33">
        <v>46</v>
      </c>
      <c r="BB79" s="26" t="s">
        <v>60</v>
      </c>
      <c r="BC79" s="26">
        <v>6.9</v>
      </c>
      <c r="BD79" s="26">
        <v>1.3</v>
      </c>
      <c r="BE79" s="26" t="s">
        <v>61</v>
      </c>
      <c r="BF79" s="48">
        <v>0</v>
      </c>
      <c r="BG79" s="48">
        <v>1</v>
      </c>
      <c r="BH79" s="27" t="s">
        <v>61</v>
      </c>
      <c r="BI79" s="27" t="s">
        <v>61</v>
      </c>
      <c r="BJ79" s="26" t="s">
        <v>61</v>
      </c>
      <c r="BK79" s="26" t="s">
        <v>61</v>
      </c>
      <c r="BL79" s="26" t="s">
        <v>61</v>
      </c>
      <c r="BM79" s="26" t="s">
        <v>61</v>
      </c>
      <c r="BN79" s="26" t="s">
        <v>61</v>
      </c>
      <c r="BO79" s="26" t="s">
        <v>162</v>
      </c>
      <c r="BP79" s="26">
        <v>7.3</v>
      </c>
      <c r="BQ79" s="26">
        <v>1.6</v>
      </c>
      <c r="BR79" s="26" t="s">
        <v>61</v>
      </c>
      <c r="BS79" s="26">
        <v>0</v>
      </c>
      <c r="BT79" s="26">
        <v>1</v>
      </c>
      <c r="BU79" s="26" t="s">
        <v>61</v>
      </c>
      <c r="BV79" s="26" t="s">
        <v>61</v>
      </c>
      <c r="BW79" s="26" t="s">
        <v>61</v>
      </c>
      <c r="BX79" s="26" t="s">
        <v>61</v>
      </c>
      <c r="BY79" s="26" t="s">
        <v>61</v>
      </c>
      <c r="BZ79" s="26" t="s">
        <v>61</v>
      </c>
      <c r="CA79" s="26" t="s">
        <v>61</v>
      </c>
      <c r="CB79" s="26" t="s">
        <v>162</v>
      </c>
      <c r="CC79" s="33">
        <v>6.6</v>
      </c>
      <c r="CD79" s="33">
        <v>1.6</v>
      </c>
      <c r="CE79" s="207" t="s">
        <v>61</v>
      </c>
      <c r="CF79" s="69">
        <v>0</v>
      </c>
      <c r="CG79" s="69">
        <v>1</v>
      </c>
      <c r="CH79" s="207" t="s">
        <v>61</v>
      </c>
      <c r="CI79" s="207" t="s">
        <v>61</v>
      </c>
      <c r="CJ79" s="33" t="s">
        <v>61</v>
      </c>
      <c r="CK79" s="207" t="s">
        <v>61</v>
      </c>
      <c r="CL79" s="207" t="s">
        <v>61</v>
      </c>
      <c r="CM79" s="33" t="s">
        <v>61</v>
      </c>
      <c r="CN79" s="33" t="s">
        <v>61</v>
      </c>
      <c r="CO79" s="33" t="s">
        <v>162</v>
      </c>
      <c r="CP79" s="26" t="s">
        <v>60</v>
      </c>
      <c r="CQ79" s="26" t="s">
        <v>60</v>
      </c>
      <c r="CR79" s="26" t="s">
        <v>59</v>
      </c>
      <c r="CS79" s="26"/>
      <c r="CT79" s="26"/>
      <c r="CU79" s="26" t="s">
        <v>59</v>
      </c>
      <c r="CV79" s="26" t="s">
        <v>59</v>
      </c>
      <c r="CW79" s="26" t="s">
        <v>59</v>
      </c>
      <c r="CX79" s="26" t="s">
        <v>59</v>
      </c>
      <c r="CY79" s="26" t="s">
        <v>59</v>
      </c>
      <c r="CZ79" s="26" t="s">
        <v>59</v>
      </c>
      <c r="DA79" s="26" t="s">
        <v>59</v>
      </c>
      <c r="DB79" s="26" t="s">
        <v>59</v>
      </c>
      <c r="DC79" s="186">
        <v>12</v>
      </c>
    </row>
    <row r="80" spans="1:114" ht="14">
      <c r="A80" s="49" t="s">
        <v>382</v>
      </c>
      <c r="B80" s="43">
        <v>11209</v>
      </c>
      <c r="C80" s="34">
        <v>2</v>
      </c>
      <c r="D80" s="43">
        <v>1</v>
      </c>
      <c r="E80" s="48" t="s">
        <v>139</v>
      </c>
      <c r="F80" s="26" t="s">
        <v>59</v>
      </c>
      <c r="G80" s="48">
        <f t="shared" si="1"/>
        <v>78</v>
      </c>
      <c r="H80" s="26" t="s">
        <v>59</v>
      </c>
      <c r="I80" s="26" t="s">
        <v>59</v>
      </c>
      <c r="J80" s="48" t="s">
        <v>59</v>
      </c>
      <c r="K80" s="26" t="s">
        <v>59</v>
      </c>
      <c r="L80" s="26" t="s">
        <v>59</v>
      </c>
      <c r="M80" s="26" t="s">
        <v>59</v>
      </c>
      <c r="N80" s="26" t="s">
        <v>59</v>
      </c>
      <c r="O80" s="26" t="s">
        <v>59</v>
      </c>
      <c r="P80" s="26" t="s">
        <v>59</v>
      </c>
      <c r="Q80" s="48" t="s">
        <v>59</v>
      </c>
      <c r="R80" s="48" t="s">
        <v>59</v>
      </c>
      <c r="S80" s="48" t="s">
        <v>59</v>
      </c>
      <c r="T80" s="48" t="s">
        <v>59</v>
      </c>
      <c r="U80" s="48">
        <v>41</v>
      </c>
      <c r="V80" s="48">
        <v>40</v>
      </c>
      <c r="W80" s="48" t="s">
        <v>59</v>
      </c>
      <c r="X80" s="48" t="s">
        <v>59</v>
      </c>
      <c r="Y80" s="69">
        <v>9.9</v>
      </c>
      <c r="Z80" s="69">
        <v>1.4</v>
      </c>
      <c r="AA80" s="69" t="s">
        <v>61</v>
      </c>
      <c r="AB80" s="69" t="s">
        <v>61</v>
      </c>
      <c r="AC80" s="69" t="s">
        <v>61</v>
      </c>
      <c r="AD80" s="69">
        <v>10.1</v>
      </c>
      <c r="AE80" s="69">
        <v>1.4</v>
      </c>
      <c r="AF80" s="69" t="s">
        <v>61</v>
      </c>
      <c r="AG80" s="69" t="s">
        <v>61</v>
      </c>
      <c r="AH80" s="69" t="s">
        <v>61</v>
      </c>
      <c r="AI80" s="69" t="s">
        <v>59</v>
      </c>
      <c r="AJ80" s="69" t="s">
        <v>59</v>
      </c>
      <c r="AK80" s="69" t="s">
        <v>59</v>
      </c>
      <c r="AL80" s="69" t="s">
        <v>59</v>
      </c>
      <c r="AM80" s="69" t="s">
        <v>59</v>
      </c>
      <c r="AN80" s="69" t="s">
        <v>59</v>
      </c>
      <c r="AO80" s="69" t="s">
        <v>59</v>
      </c>
      <c r="AP80" s="69" t="s">
        <v>59</v>
      </c>
      <c r="AQ80" s="69" t="s">
        <v>59</v>
      </c>
      <c r="AR80" s="69" t="s">
        <v>59</v>
      </c>
      <c r="AS80" s="69" t="s">
        <v>61</v>
      </c>
      <c r="AT80" s="69" t="s">
        <v>64</v>
      </c>
      <c r="AU80" s="69" t="s">
        <v>59</v>
      </c>
      <c r="AV80" s="69" t="s">
        <v>59</v>
      </c>
      <c r="AW80" s="69" t="s">
        <v>59</v>
      </c>
      <c r="AX80" s="69" t="s">
        <v>59</v>
      </c>
      <c r="AY80" s="215">
        <v>39</v>
      </c>
      <c r="AZ80" s="215">
        <v>39</v>
      </c>
      <c r="BA80" s="215" t="s">
        <v>59</v>
      </c>
      <c r="BB80" s="215" t="s">
        <v>59</v>
      </c>
      <c r="BC80" s="69">
        <v>9.4</v>
      </c>
      <c r="BD80" s="69">
        <v>1.5</v>
      </c>
      <c r="BE80" s="69" t="s">
        <v>61</v>
      </c>
      <c r="BF80" s="48">
        <v>0</v>
      </c>
      <c r="BG80" s="48">
        <v>1</v>
      </c>
      <c r="BH80" s="69" t="s">
        <v>61</v>
      </c>
      <c r="BI80" s="69" t="s">
        <v>61</v>
      </c>
      <c r="BJ80" s="69" t="s">
        <v>61</v>
      </c>
      <c r="BK80" s="69" t="s">
        <v>61</v>
      </c>
      <c r="BL80" s="69" t="s">
        <v>61</v>
      </c>
      <c r="BM80" s="69" t="s">
        <v>61</v>
      </c>
      <c r="BN80" s="69" t="s">
        <v>61</v>
      </c>
      <c r="BO80" s="69" t="s">
        <v>61</v>
      </c>
      <c r="BP80" s="69">
        <v>9.1999999999999993</v>
      </c>
      <c r="BQ80" s="69">
        <v>1.6</v>
      </c>
      <c r="BR80" s="69" t="s">
        <v>61</v>
      </c>
      <c r="BS80" s="26">
        <v>0</v>
      </c>
      <c r="BT80" s="26">
        <v>1</v>
      </c>
      <c r="BU80" s="69" t="s">
        <v>61</v>
      </c>
      <c r="BV80" s="69" t="s">
        <v>61</v>
      </c>
      <c r="BW80" s="69" t="s">
        <v>61</v>
      </c>
      <c r="BX80" s="69" t="s">
        <v>61</v>
      </c>
      <c r="BY80" s="69" t="s">
        <v>61</v>
      </c>
      <c r="BZ80" s="69" t="s">
        <v>61</v>
      </c>
      <c r="CA80" s="69" t="s">
        <v>61</v>
      </c>
      <c r="CB80" s="69" t="s">
        <v>383</v>
      </c>
      <c r="CC80" s="69" t="s">
        <v>59</v>
      </c>
      <c r="CD80" s="69" t="s">
        <v>59</v>
      </c>
      <c r="CE80" s="69" t="s">
        <v>59</v>
      </c>
      <c r="CF80" s="69"/>
      <c r="CG80" s="69"/>
      <c r="CH80" s="69" t="s">
        <v>59</v>
      </c>
      <c r="CI80" s="69" t="s">
        <v>59</v>
      </c>
      <c r="CJ80" s="69" t="s">
        <v>59</v>
      </c>
      <c r="CK80" s="69" t="s">
        <v>59</v>
      </c>
      <c r="CL80" s="69" t="s">
        <v>59</v>
      </c>
      <c r="CM80" s="69" t="s">
        <v>59</v>
      </c>
      <c r="CN80" s="69" t="s">
        <v>59</v>
      </c>
      <c r="CO80" s="69" t="s">
        <v>59</v>
      </c>
      <c r="CP80" s="69" t="s">
        <v>59</v>
      </c>
      <c r="CQ80" s="69" t="s">
        <v>59</v>
      </c>
      <c r="CR80" s="69" t="s">
        <v>59</v>
      </c>
      <c r="CS80" s="69"/>
      <c r="CT80" s="69"/>
      <c r="CU80" s="69" t="s">
        <v>59</v>
      </c>
      <c r="CV80" s="69" t="s">
        <v>59</v>
      </c>
      <c r="CW80" s="69" t="s">
        <v>59</v>
      </c>
      <c r="CX80" s="69" t="s">
        <v>59</v>
      </c>
      <c r="CY80" s="69" t="s">
        <v>59</v>
      </c>
      <c r="CZ80" s="69" t="s">
        <v>59</v>
      </c>
      <c r="DA80" s="69" t="s">
        <v>59</v>
      </c>
      <c r="DB80" s="69" t="s">
        <v>59</v>
      </c>
      <c r="DC80" s="69">
        <v>24</v>
      </c>
      <c r="DD80" s="55"/>
      <c r="DE80" s="43"/>
      <c r="DF80" s="43"/>
      <c r="DG80" s="43"/>
      <c r="DH80" s="43"/>
      <c r="DI80" s="43"/>
      <c r="DJ80" s="43"/>
    </row>
    <row r="81" spans="1:114" ht="14">
      <c r="A81" s="49" t="s">
        <v>341</v>
      </c>
      <c r="B81" s="43">
        <v>10067</v>
      </c>
      <c r="C81" s="34">
        <v>2</v>
      </c>
      <c r="D81" s="43">
        <v>1</v>
      </c>
      <c r="E81" s="48" t="s">
        <v>139</v>
      </c>
      <c r="F81" s="26" t="s">
        <v>59</v>
      </c>
      <c r="G81" s="48">
        <f t="shared" si="1"/>
        <v>307</v>
      </c>
      <c r="H81" s="26" t="s">
        <v>59</v>
      </c>
      <c r="I81" s="26" t="s">
        <v>59</v>
      </c>
      <c r="J81" s="48" t="s">
        <v>59</v>
      </c>
      <c r="K81" s="26" t="s">
        <v>59</v>
      </c>
      <c r="L81" s="26" t="s">
        <v>59</v>
      </c>
      <c r="M81" s="26" t="s">
        <v>59</v>
      </c>
      <c r="N81" s="26" t="s">
        <v>59</v>
      </c>
      <c r="O81" s="26" t="s">
        <v>59</v>
      </c>
      <c r="P81" s="26" t="s">
        <v>59</v>
      </c>
      <c r="Q81" s="48" t="s">
        <v>59</v>
      </c>
      <c r="R81" s="48" t="s">
        <v>59</v>
      </c>
      <c r="S81" s="48" t="s">
        <v>59</v>
      </c>
      <c r="T81" s="48" t="s">
        <v>59</v>
      </c>
      <c r="U81" s="48">
        <v>163</v>
      </c>
      <c r="V81" s="48">
        <v>150</v>
      </c>
      <c r="W81" s="48" t="s">
        <v>59</v>
      </c>
      <c r="X81" s="48" t="s">
        <v>59</v>
      </c>
      <c r="Y81" s="69">
        <v>10.3</v>
      </c>
      <c r="Z81" s="69">
        <v>2.2000000000000002</v>
      </c>
      <c r="AA81" s="69" t="s">
        <v>61</v>
      </c>
      <c r="AB81" s="69" t="s">
        <v>61</v>
      </c>
      <c r="AC81" s="69" t="s">
        <v>61</v>
      </c>
      <c r="AD81" s="69">
        <v>10</v>
      </c>
      <c r="AE81" s="69">
        <v>2.2000000000000002</v>
      </c>
      <c r="AF81" s="69" t="s">
        <v>61</v>
      </c>
      <c r="AG81" s="69" t="s">
        <v>61</v>
      </c>
      <c r="AH81" s="69" t="s">
        <v>61</v>
      </c>
      <c r="AI81" s="69" t="s">
        <v>59</v>
      </c>
      <c r="AJ81" s="69" t="s">
        <v>59</v>
      </c>
      <c r="AK81" s="69" t="s">
        <v>59</v>
      </c>
      <c r="AL81" s="69" t="s">
        <v>59</v>
      </c>
      <c r="AM81" s="69" t="s">
        <v>59</v>
      </c>
      <c r="AN81" s="69" t="s">
        <v>59</v>
      </c>
      <c r="AO81" s="69" t="s">
        <v>59</v>
      </c>
      <c r="AP81" s="69" t="s">
        <v>59</v>
      </c>
      <c r="AQ81" s="69" t="s">
        <v>59</v>
      </c>
      <c r="AR81" s="69" t="s">
        <v>59</v>
      </c>
      <c r="AS81" s="69">
        <v>0.14000000000000001</v>
      </c>
      <c r="AT81" s="69" t="s">
        <v>64</v>
      </c>
      <c r="AU81" s="69" t="s">
        <v>59</v>
      </c>
      <c r="AV81" s="69" t="s">
        <v>59</v>
      </c>
      <c r="AW81" s="69" t="s">
        <v>59</v>
      </c>
      <c r="AX81" s="69" t="s">
        <v>59</v>
      </c>
      <c r="AY81" s="215">
        <v>161</v>
      </c>
      <c r="AZ81" s="215">
        <v>146</v>
      </c>
      <c r="BA81" s="215" t="s">
        <v>59</v>
      </c>
      <c r="BB81" s="215" t="s">
        <v>59</v>
      </c>
      <c r="BC81" s="69">
        <v>8.3000000000000007</v>
      </c>
      <c r="BD81" s="69">
        <v>1.5</v>
      </c>
      <c r="BE81" s="69" t="s">
        <v>61</v>
      </c>
      <c r="BF81" s="48">
        <v>0</v>
      </c>
      <c r="BG81" s="48">
        <v>1</v>
      </c>
      <c r="BH81" s="69" t="s">
        <v>61</v>
      </c>
      <c r="BI81" s="69" t="s">
        <v>61</v>
      </c>
      <c r="BJ81" s="69">
        <v>-2.02</v>
      </c>
      <c r="BK81" s="69">
        <v>2.57</v>
      </c>
      <c r="BL81" s="69" t="s">
        <v>61</v>
      </c>
      <c r="BM81" s="69" t="s">
        <v>61</v>
      </c>
      <c r="BN81" s="69" t="s">
        <v>61</v>
      </c>
      <c r="BO81" s="69" t="s">
        <v>286</v>
      </c>
      <c r="BP81" s="69">
        <v>8.1999999999999993</v>
      </c>
      <c r="BQ81" s="69">
        <v>1.6</v>
      </c>
      <c r="BR81" s="69" t="s">
        <v>61</v>
      </c>
      <c r="BS81" s="26">
        <v>0</v>
      </c>
      <c r="BT81" s="26">
        <v>1</v>
      </c>
      <c r="BU81" s="69" t="s">
        <v>61</v>
      </c>
      <c r="BV81" s="69" t="s">
        <v>61</v>
      </c>
      <c r="BW81" s="69">
        <v>-1.74</v>
      </c>
      <c r="BX81" s="69">
        <v>2.64</v>
      </c>
      <c r="BY81" s="69" t="s">
        <v>61</v>
      </c>
      <c r="BZ81" s="69" t="s">
        <v>61</v>
      </c>
      <c r="CA81" s="69" t="s">
        <v>61</v>
      </c>
      <c r="CB81" s="69" t="s">
        <v>286</v>
      </c>
      <c r="CC81" s="69" t="s">
        <v>59</v>
      </c>
      <c r="CD81" s="69" t="s">
        <v>59</v>
      </c>
      <c r="CE81" s="69" t="s">
        <v>59</v>
      </c>
      <c r="CF81" s="69"/>
      <c r="CG81" s="69"/>
      <c r="CH81" s="69" t="s">
        <v>59</v>
      </c>
      <c r="CI81" s="69" t="s">
        <v>59</v>
      </c>
      <c r="CJ81" s="69" t="s">
        <v>59</v>
      </c>
      <c r="CK81" s="69" t="s">
        <v>59</v>
      </c>
      <c r="CL81" s="69" t="s">
        <v>59</v>
      </c>
      <c r="CM81" s="69" t="s">
        <v>59</v>
      </c>
      <c r="CN81" s="69" t="s">
        <v>59</v>
      </c>
      <c r="CO81" s="69" t="s">
        <v>59</v>
      </c>
      <c r="CP81" s="69" t="s">
        <v>59</v>
      </c>
      <c r="CQ81" s="69" t="s">
        <v>59</v>
      </c>
      <c r="CR81" s="69" t="s">
        <v>59</v>
      </c>
      <c r="CS81" s="69"/>
      <c r="CT81" s="69"/>
      <c r="CU81" s="69" t="s">
        <v>59</v>
      </c>
      <c r="CV81" s="69" t="s">
        <v>59</v>
      </c>
      <c r="CW81" s="69" t="s">
        <v>59</v>
      </c>
      <c r="CX81" s="69" t="s">
        <v>59</v>
      </c>
      <c r="CY81" s="69" t="s">
        <v>59</v>
      </c>
      <c r="CZ81" s="69" t="s">
        <v>59</v>
      </c>
      <c r="DA81" s="69" t="s">
        <v>59</v>
      </c>
      <c r="DB81" s="69" t="s">
        <v>59</v>
      </c>
      <c r="DC81" s="69">
        <v>12</v>
      </c>
      <c r="DD81" s="55"/>
      <c r="DE81" s="43"/>
      <c r="DF81" s="43"/>
      <c r="DG81" s="43"/>
      <c r="DH81" s="43"/>
      <c r="DI81" s="43"/>
      <c r="DJ81" s="43"/>
    </row>
    <row r="82" spans="1:114" ht="14">
      <c r="A82" s="49" t="s">
        <v>394</v>
      </c>
      <c r="B82" s="43">
        <v>12016</v>
      </c>
      <c r="C82" s="43">
        <v>3</v>
      </c>
      <c r="D82" s="43">
        <v>1</v>
      </c>
      <c r="E82" s="48" t="s">
        <v>139</v>
      </c>
      <c r="F82" s="26" t="s">
        <v>59</v>
      </c>
      <c r="G82" s="48">
        <f t="shared" si="1"/>
        <v>151</v>
      </c>
      <c r="H82" s="26" t="s">
        <v>59</v>
      </c>
      <c r="I82" s="26" t="s">
        <v>59</v>
      </c>
      <c r="J82" s="48" t="s">
        <v>59</v>
      </c>
      <c r="K82" s="26" t="s">
        <v>59</v>
      </c>
      <c r="L82" s="26" t="s">
        <v>59</v>
      </c>
      <c r="M82" s="26" t="s">
        <v>59</v>
      </c>
      <c r="N82" s="26" t="s">
        <v>59</v>
      </c>
      <c r="O82" s="26" t="s">
        <v>59</v>
      </c>
      <c r="P82" s="26" t="s">
        <v>59</v>
      </c>
      <c r="Q82" s="48" t="s">
        <v>59</v>
      </c>
      <c r="R82" s="48" t="s">
        <v>59</v>
      </c>
      <c r="S82" s="48" t="s">
        <v>59</v>
      </c>
      <c r="T82" s="48" t="s">
        <v>59</v>
      </c>
      <c r="U82" s="48">
        <v>49</v>
      </c>
      <c r="V82" s="48">
        <v>51</v>
      </c>
      <c r="W82" s="48">
        <v>51</v>
      </c>
      <c r="X82" s="48" t="s">
        <v>59</v>
      </c>
      <c r="Y82" s="69">
        <v>10.1</v>
      </c>
      <c r="Z82" s="69">
        <v>1.4</v>
      </c>
      <c r="AA82" s="69" t="s">
        <v>61</v>
      </c>
      <c r="AB82" s="69" t="s">
        <v>61</v>
      </c>
      <c r="AC82" s="69" t="s">
        <v>61</v>
      </c>
      <c r="AD82" s="69">
        <v>9.9</v>
      </c>
      <c r="AE82" s="69">
        <v>1.2</v>
      </c>
      <c r="AF82" s="69" t="s">
        <v>61</v>
      </c>
      <c r="AG82" s="69" t="s">
        <v>61</v>
      </c>
      <c r="AH82" s="69" t="s">
        <v>61</v>
      </c>
      <c r="AI82" s="69">
        <v>9.6</v>
      </c>
      <c r="AJ82" s="69">
        <v>1</v>
      </c>
      <c r="AK82" s="69" t="s">
        <v>61</v>
      </c>
      <c r="AL82" s="69" t="s">
        <v>61</v>
      </c>
      <c r="AM82" s="69" t="s">
        <v>61</v>
      </c>
      <c r="AN82" s="69" t="s">
        <v>59</v>
      </c>
      <c r="AO82" s="69" t="s">
        <v>59</v>
      </c>
      <c r="AP82" s="69" t="s">
        <v>59</v>
      </c>
      <c r="AQ82" s="69" t="s">
        <v>59</v>
      </c>
      <c r="AR82" s="69" t="s">
        <v>59</v>
      </c>
      <c r="AS82" s="69" t="s">
        <v>61</v>
      </c>
      <c r="AT82" s="69" t="s">
        <v>64</v>
      </c>
      <c r="AU82" s="69" t="s">
        <v>59</v>
      </c>
      <c r="AV82" s="69" t="s">
        <v>59</v>
      </c>
      <c r="AW82" s="69" t="s">
        <v>59</v>
      </c>
      <c r="AX82" s="69" t="s">
        <v>59</v>
      </c>
      <c r="AY82" s="215">
        <v>49</v>
      </c>
      <c r="AZ82" s="215">
        <v>51</v>
      </c>
      <c r="BA82" s="215">
        <v>51</v>
      </c>
      <c r="BB82" s="215" t="s">
        <v>59</v>
      </c>
      <c r="BC82" s="69">
        <v>8.4</v>
      </c>
      <c r="BD82" s="69">
        <v>1.7</v>
      </c>
      <c r="BE82" s="69" t="s">
        <v>61</v>
      </c>
      <c r="BF82" s="48">
        <v>0</v>
      </c>
      <c r="BG82" s="48">
        <v>1</v>
      </c>
      <c r="BH82" s="69" t="s">
        <v>61</v>
      </c>
      <c r="BI82" s="69" t="s">
        <v>61</v>
      </c>
      <c r="BJ82" s="69">
        <v>-1.7</v>
      </c>
      <c r="BK82" s="69">
        <v>1.8</v>
      </c>
      <c r="BL82" s="69" t="s">
        <v>61</v>
      </c>
      <c r="BM82" s="69" t="s">
        <v>61</v>
      </c>
      <c r="BN82" s="69" t="s">
        <v>61</v>
      </c>
      <c r="BO82" s="69" t="s">
        <v>286</v>
      </c>
      <c r="BP82" s="69">
        <v>8.5</v>
      </c>
      <c r="BQ82" s="69">
        <v>1.6</v>
      </c>
      <c r="BR82" s="69" t="s">
        <v>61</v>
      </c>
      <c r="BS82" s="26">
        <v>0</v>
      </c>
      <c r="BT82" s="26">
        <v>1</v>
      </c>
      <c r="BU82" s="69" t="s">
        <v>61</v>
      </c>
      <c r="BV82" s="69" t="s">
        <v>61</v>
      </c>
      <c r="BW82" s="69">
        <v>-1.5</v>
      </c>
      <c r="BX82" s="69">
        <v>1.6</v>
      </c>
      <c r="BY82" s="69" t="s">
        <v>61</v>
      </c>
      <c r="BZ82" s="69" t="s">
        <v>61</v>
      </c>
      <c r="CA82" s="69" t="s">
        <v>61</v>
      </c>
      <c r="CB82" s="69" t="s">
        <v>286</v>
      </c>
      <c r="CC82" s="69">
        <v>8.3000000000000007</v>
      </c>
      <c r="CD82" s="69">
        <v>1.1000000000000001</v>
      </c>
      <c r="CE82" s="69" t="s">
        <v>61</v>
      </c>
      <c r="CF82" s="69">
        <v>0</v>
      </c>
      <c r="CG82" s="69">
        <v>1</v>
      </c>
      <c r="CH82" s="69" t="s">
        <v>61</v>
      </c>
      <c r="CI82" s="69" t="s">
        <v>61</v>
      </c>
      <c r="CJ82" s="69">
        <v>-1.3</v>
      </c>
      <c r="CK82" s="69">
        <v>1.4</v>
      </c>
      <c r="CL82" s="69" t="s">
        <v>61</v>
      </c>
      <c r="CM82" s="69" t="s">
        <v>61</v>
      </c>
      <c r="CN82" s="69" t="s">
        <v>61</v>
      </c>
      <c r="CO82" s="69" t="s">
        <v>286</v>
      </c>
      <c r="CP82" s="69" t="s">
        <v>59</v>
      </c>
      <c r="CQ82" s="69" t="s">
        <v>59</v>
      </c>
      <c r="CR82" s="69" t="s">
        <v>59</v>
      </c>
      <c r="CS82" s="69"/>
      <c r="CT82" s="69"/>
      <c r="CU82" s="69" t="s">
        <v>59</v>
      </c>
      <c r="CV82" s="69" t="s">
        <v>59</v>
      </c>
      <c r="CW82" s="69" t="s">
        <v>59</v>
      </c>
      <c r="CX82" s="69" t="s">
        <v>59</v>
      </c>
      <c r="CY82" s="69" t="s">
        <v>59</v>
      </c>
      <c r="CZ82" s="69" t="s">
        <v>59</v>
      </c>
      <c r="DA82" s="69" t="s">
        <v>59</v>
      </c>
      <c r="DB82" s="69" t="s">
        <v>59</v>
      </c>
      <c r="DC82" s="69">
        <v>12</v>
      </c>
      <c r="DD82" s="55"/>
      <c r="DE82" s="43"/>
      <c r="DF82" s="43"/>
      <c r="DG82" s="43"/>
      <c r="DH82" s="43"/>
      <c r="DI82" s="43"/>
      <c r="DJ82" s="43"/>
    </row>
    <row r="83" spans="1:114" ht="14">
      <c r="A83" s="49" t="s">
        <v>420</v>
      </c>
      <c r="B83" s="43">
        <v>12459</v>
      </c>
      <c r="C83" s="34">
        <v>2</v>
      </c>
      <c r="D83" s="43">
        <v>1</v>
      </c>
      <c r="E83" s="48" t="s">
        <v>139</v>
      </c>
      <c r="F83" s="26" t="s">
        <v>59</v>
      </c>
      <c r="G83" s="48">
        <f t="shared" si="1"/>
        <v>379</v>
      </c>
      <c r="H83" s="26" t="s">
        <v>59</v>
      </c>
      <c r="I83" s="26" t="s">
        <v>59</v>
      </c>
      <c r="J83" s="48" t="s">
        <v>59</v>
      </c>
      <c r="K83" s="26" t="s">
        <v>59</v>
      </c>
      <c r="L83" s="26" t="s">
        <v>59</v>
      </c>
      <c r="M83" s="26" t="s">
        <v>59</v>
      </c>
      <c r="N83" s="26" t="s">
        <v>59</v>
      </c>
      <c r="O83" s="26" t="s">
        <v>59</v>
      </c>
      <c r="P83" s="26" t="s">
        <v>59</v>
      </c>
      <c r="Q83" s="48" t="s">
        <v>59</v>
      </c>
      <c r="R83" s="48" t="s">
        <v>59</v>
      </c>
      <c r="S83" s="48" t="s">
        <v>59</v>
      </c>
      <c r="T83" s="48" t="s">
        <v>59</v>
      </c>
      <c r="U83" s="48">
        <v>213</v>
      </c>
      <c r="V83" s="48">
        <v>202</v>
      </c>
      <c r="W83" s="48" t="s">
        <v>59</v>
      </c>
      <c r="X83" s="48" t="s">
        <v>59</v>
      </c>
      <c r="Y83" s="69">
        <v>9.2799999999999994</v>
      </c>
      <c r="Z83" s="69">
        <v>1.74</v>
      </c>
      <c r="AA83" s="69" t="s">
        <v>61</v>
      </c>
      <c r="AB83" s="69" t="s">
        <v>61</v>
      </c>
      <c r="AC83" s="69" t="s">
        <v>61</v>
      </c>
      <c r="AD83" s="69">
        <v>9.24</v>
      </c>
      <c r="AE83" s="69">
        <v>1.59</v>
      </c>
      <c r="AF83" s="69" t="s">
        <v>61</v>
      </c>
      <c r="AG83" s="69" t="s">
        <v>61</v>
      </c>
      <c r="AH83" s="69" t="s">
        <v>61</v>
      </c>
      <c r="AI83" s="69" t="s">
        <v>59</v>
      </c>
      <c r="AJ83" s="69" t="s">
        <v>59</v>
      </c>
      <c r="AK83" s="69" t="s">
        <v>59</v>
      </c>
      <c r="AL83" s="69" t="s">
        <v>59</v>
      </c>
      <c r="AM83" s="69" t="s">
        <v>59</v>
      </c>
      <c r="AN83" s="69" t="s">
        <v>59</v>
      </c>
      <c r="AO83" s="69" t="s">
        <v>59</v>
      </c>
      <c r="AP83" s="69" t="s">
        <v>59</v>
      </c>
      <c r="AQ83" s="69" t="s">
        <v>59</v>
      </c>
      <c r="AR83" s="69" t="s">
        <v>59</v>
      </c>
      <c r="AS83" s="69">
        <v>0.79100000000000004</v>
      </c>
      <c r="AT83" s="69" t="s">
        <v>64</v>
      </c>
      <c r="AU83" s="69" t="s">
        <v>59</v>
      </c>
      <c r="AV83" s="69" t="s">
        <v>59</v>
      </c>
      <c r="AW83" s="69" t="s">
        <v>59</v>
      </c>
      <c r="AX83" s="69" t="s">
        <v>59</v>
      </c>
      <c r="AY83" s="215">
        <v>193</v>
      </c>
      <c r="AZ83" s="215">
        <v>186</v>
      </c>
      <c r="BA83" s="215" t="s">
        <v>59</v>
      </c>
      <c r="BB83" s="215" t="s">
        <v>59</v>
      </c>
      <c r="BC83" s="69">
        <v>8.33</v>
      </c>
      <c r="BD83" s="69">
        <v>1.81</v>
      </c>
      <c r="BE83" s="69" t="s">
        <v>61</v>
      </c>
      <c r="BF83" s="48">
        <v>0</v>
      </c>
      <c r="BG83" s="48">
        <v>1</v>
      </c>
      <c r="BH83" s="69" t="s">
        <v>61</v>
      </c>
      <c r="BI83" s="69" t="s">
        <v>61</v>
      </c>
      <c r="BJ83" s="69">
        <v>-0.95</v>
      </c>
      <c r="BK83" s="69" t="s">
        <v>61</v>
      </c>
      <c r="BL83" s="69" t="s">
        <v>61</v>
      </c>
      <c r="BM83" s="69" t="s">
        <v>61</v>
      </c>
      <c r="BN83" s="69" t="s">
        <v>61</v>
      </c>
      <c r="BO83" s="69" t="s">
        <v>61</v>
      </c>
      <c r="BP83" s="69">
        <v>8.1</v>
      </c>
      <c r="BQ83" s="69">
        <v>1.68</v>
      </c>
      <c r="BR83" s="69" t="s">
        <v>61</v>
      </c>
      <c r="BS83" s="26">
        <v>0</v>
      </c>
      <c r="BT83" s="26">
        <v>1</v>
      </c>
      <c r="BU83" s="69" t="s">
        <v>61</v>
      </c>
      <c r="BV83" s="69" t="s">
        <v>61</v>
      </c>
      <c r="BW83" s="69">
        <v>-1.1399999999999999</v>
      </c>
      <c r="BX83" s="69" t="s">
        <v>61</v>
      </c>
      <c r="BY83" s="69" t="s">
        <v>61</v>
      </c>
      <c r="BZ83" s="69" t="s">
        <v>61</v>
      </c>
      <c r="CA83" s="69" t="s">
        <v>61</v>
      </c>
      <c r="CB83" s="69" t="s">
        <v>61</v>
      </c>
      <c r="CC83" s="69" t="s">
        <v>59</v>
      </c>
      <c r="CD83" s="69" t="s">
        <v>59</v>
      </c>
      <c r="CE83" s="69" t="s">
        <v>59</v>
      </c>
      <c r="CF83" s="69"/>
      <c r="CG83" s="69"/>
      <c r="CH83" s="69" t="s">
        <v>59</v>
      </c>
      <c r="CI83" s="69" t="s">
        <v>59</v>
      </c>
      <c r="CJ83" s="69" t="s">
        <v>59</v>
      </c>
      <c r="CK83" s="69" t="s">
        <v>59</v>
      </c>
      <c r="CL83" s="69" t="s">
        <v>59</v>
      </c>
      <c r="CM83" s="69" t="s">
        <v>59</v>
      </c>
      <c r="CN83" s="69" t="s">
        <v>59</v>
      </c>
      <c r="CO83" s="69" t="s">
        <v>59</v>
      </c>
      <c r="CP83" s="69" t="s">
        <v>59</v>
      </c>
      <c r="CQ83" s="69" t="s">
        <v>59</v>
      </c>
      <c r="CR83" s="69" t="s">
        <v>59</v>
      </c>
      <c r="CS83" s="69"/>
      <c r="CT83" s="69"/>
      <c r="CU83" s="69" t="s">
        <v>59</v>
      </c>
      <c r="CV83" s="69" t="s">
        <v>59</v>
      </c>
      <c r="CW83" s="69" t="s">
        <v>59</v>
      </c>
      <c r="CX83" s="69" t="s">
        <v>59</v>
      </c>
      <c r="CY83" s="69" t="s">
        <v>59</v>
      </c>
      <c r="CZ83" s="69" t="s">
        <v>59</v>
      </c>
      <c r="DA83" s="69" t="s">
        <v>59</v>
      </c>
      <c r="DB83" s="69" t="s">
        <v>59</v>
      </c>
      <c r="DC83" s="69">
        <v>12</v>
      </c>
      <c r="DD83" s="55"/>
      <c r="DE83" s="43"/>
      <c r="DF83" s="43"/>
      <c r="DG83" s="43"/>
      <c r="DH83" s="43"/>
      <c r="DI83" s="43"/>
      <c r="DJ83" s="43"/>
    </row>
    <row r="84" spans="1:114" ht="14">
      <c r="A84" s="49" t="s">
        <v>410</v>
      </c>
      <c r="B84" s="43">
        <v>12303</v>
      </c>
      <c r="C84" s="34">
        <v>2</v>
      </c>
      <c r="D84" s="43">
        <v>1</v>
      </c>
      <c r="E84" s="48" t="s">
        <v>139</v>
      </c>
      <c r="F84" s="26" t="s">
        <v>59</v>
      </c>
      <c r="G84" s="48">
        <f t="shared" si="1"/>
        <v>302</v>
      </c>
      <c r="H84" s="26" t="s">
        <v>59</v>
      </c>
      <c r="I84" s="26" t="s">
        <v>59</v>
      </c>
      <c r="J84" s="48" t="s">
        <v>59</v>
      </c>
      <c r="K84" s="26" t="s">
        <v>59</v>
      </c>
      <c r="L84" s="26" t="s">
        <v>59</v>
      </c>
      <c r="M84" s="26" t="s">
        <v>59</v>
      </c>
      <c r="N84" s="26" t="s">
        <v>59</v>
      </c>
      <c r="O84" s="26" t="s">
        <v>59</v>
      </c>
      <c r="P84" s="26" t="s">
        <v>59</v>
      </c>
      <c r="Q84" s="48" t="s">
        <v>59</v>
      </c>
      <c r="R84" s="48" t="s">
        <v>59</v>
      </c>
      <c r="S84" s="48" t="s">
        <v>59</v>
      </c>
      <c r="T84" s="48" t="s">
        <v>59</v>
      </c>
      <c r="U84" s="48">
        <v>151</v>
      </c>
      <c r="V84" s="48">
        <v>151</v>
      </c>
      <c r="W84" s="48" t="s">
        <v>59</v>
      </c>
      <c r="X84" s="48" t="s">
        <v>59</v>
      </c>
      <c r="Y84" s="69">
        <v>7.5</v>
      </c>
      <c r="Z84" s="69">
        <v>1.7</v>
      </c>
      <c r="AA84" s="69" t="s">
        <v>61</v>
      </c>
      <c r="AB84" s="69" t="s">
        <v>61</v>
      </c>
      <c r="AC84" s="69" t="s">
        <v>61</v>
      </c>
      <c r="AD84" s="69">
        <v>7.4</v>
      </c>
      <c r="AE84" s="69">
        <v>1.5</v>
      </c>
      <c r="AF84" s="69" t="s">
        <v>61</v>
      </c>
      <c r="AG84" s="69" t="s">
        <v>61</v>
      </c>
      <c r="AH84" s="69" t="s">
        <v>61</v>
      </c>
      <c r="AI84" s="69" t="s">
        <v>59</v>
      </c>
      <c r="AJ84" s="69" t="s">
        <v>59</v>
      </c>
      <c r="AK84" s="69" t="s">
        <v>59</v>
      </c>
      <c r="AL84" s="69" t="s">
        <v>59</v>
      </c>
      <c r="AM84" s="69" t="s">
        <v>59</v>
      </c>
      <c r="AN84" s="69" t="s">
        <v>59</v>
      </c>
      <c r="AO84" s="69" t="s">
        <v>59</v>
      </c>
      <c r="AP84" s="69" t="s">
        <v>59</v>
      </c>
      <c r="AQ84" s="69" t="s">
        <v>59</v>
      </c>
      <c r="AR84" s="69" t="s">
        <v>59</v>
      </c>
      <c r="AS84" s="69" t="s">
        <v>61</v>
      </c>
      <c r="AT84" s="69" t="s">
        <v>64</v>
      </c>
      <c r="AU84" s="69" t="s">
        <v>59</v>
      </c>
      <c r="AV84" s="69" t="s">
        <v>59</v>
      </c>
      <c r="AW84" s="69" t="s">
        <v>59</v>
      </c>
      <c r="AX84" s="69" t="s">
        <v>59</v>
      </c>
      <c r="AY84" s="215">
        <v>151</v>
      </c>
      <c r="AZ84" s="215">
        <v>151</v>
      </c>
      <c r="BA84" s="215" t="s">
        <v>59</v>
      </c>
      <c r="BB84" s="215" t="s">
        <v>59</v>
      </c>
      <c r="BC84" s="69">
        <v>7.5</v>
      </c>
      <c r="BD84" s="69">
        <v>1.6</v>
      </c>
      <c r="BE84" s="69" t="s">
        <v>61</v>
      </c>
      <c r="BF84" s="48">
        <v>0</v>
      </c>
      <c r="BG84" s="48">
        <v>1</v>
      </c>
      <c r="BH84" s="69" t="s">
        <v>61</v>
      </c>
      <c r="BI84" s="69" t="s">
        <v>61</v>
      </c>
      <c r="BJ84" s="69" t="s">
        <v>61</v>
      </c>
      <c r="BK84" s="69" t="s">
        <v>61</v>
      </c>
      <c r="BL84" s="69" t="s">
        <v>61</v>
      </c>
      <c r="BM84" s="69" t="s">
        <v>61</v>
      </c>
      <c r="BN84" s="69" t="s">
        <v>61</v>
      </c>
      <c r="BO84" s="69" t="s">
        <v>61</v>
      </c>
      <c r="BP84" s="69">
        <v>7.5</v>
      </c>
      <c r="BQ84" s="69">
        <v>1.7</v>
      </c>
      <c r="BR84" s="69" t="s">
        <v>61</v>
      </c>
      <c r="BS84" s="26">
        <v>0</v>
      </c>
      <c r="BT84" s="26">
        <v>1</v>
      </c>
      <c r="BU84" s="69" t="s">
        <v>61</v>
      </c>
      <c r="BV84" s="69" t="s">
        <v>61</v>
      </c>
      <c r="BW84" s="69" t="s">
        <v>61</v>
      </c>
      <c r="BX84" s="69" t="s">
        <v>61</v>
      </c>
      <c r="BY84" s="69" t="s">
        <v>61</v>
      </c>
      <c r="BZ84" s="69" t="s">
        <v>61</v>
      </c>
      <c r="CA84" s="69" t="s">
        <v>61</v>
      </c>
      <c r="CB84" s="69" t="s">
        <v>61</v>
      </c>
      <c r="CC84" s="69" t="s">
        <v>59</v>
      </c>
      <c r="CD84" s="69" t="s">
        <v>59</v>
      </c>
      <c r="CE84" s="69" t="s">
        <v>59</v>
      </c>
      <c r="CF84" s="69"/>
      <c r="CG84" s="69"/>
      <c r="CH84" s="69" t="s">
        <v>59</v>
      </c>
      <c r="CI84" s="69" t="s">
        <v>59</v>
      </c>
      <c r="CJ84" s="69" t="s">
        <v>59</v>
      </c>
      <c r="CK84" s="69" t="s">
        <v>59</v>
      </c>
      <c r="CL84" s="69" t="s">
        <v>59</v>
      </c>
      <c r="CM84" s="69" t="s">
        <v>59</v>
      </c>
      <c r="CN84" s="69" t="s">
        <v>59</v>
      </c>
      <c r="CO84" s="69" t="s">
        <v>59</v>
      </c>
      <c r="CP84" s="69" t="s">
        <v>59</v>
      </c>
      <c r="CQ84" s="69" t="s">
        <v>59</v>
      </c>
      <c r="CR84" s="69" t="s">
        <v>59</v>
      </c>
      <c r="CS84" s="69"/>
      <c r="CT84" s="69"/>
      <c r="CU84" s="69" t="s">
        <v>59</v>
      </c>
      <c r="CV84" s="69" t="s">
        <v>59</v>
      </c>
      <c r="CW84" s="69" t="s">
        <v>59</v>
      </c>
      <c r="CX84" s="69" t="s">
        <v>59</v>
      </c>
      <c r="CY84" s="69" t="s">
        <v>59</v>
      </c>
      <c r="CZ84" s="69" t="s">
        <v>59</v>
      </c>
      <c r="DA84" s="69" t="s">
        <v>59</v>
      </c>
      <c r="DB84" s="69" t="s">
        <v>59</v>
      </c>
      <c r="DC84" s="69">
        <v>6</v>
      </c>
      <c r="DD84" s="55"/>
      <c r="DE84" s="43"/>
      <c r="DF84" s="43"/>
      <c r="DG84" s="43"/>
      <c r="DH84" s="43"/>
      <c r="DI84" s="43"/>
      <c r="DJ84" s="43"/>
    </row>
    <row r="85" spans="1:114">
      <c r="A85" s="34" t="s">
        <v>243</v>
      </c>
      <c r="B85" s="34">
        <v>7498</v>
      </c>
      <c r="C85" s="34">
        <v>2</v>
      </c>
      <c r="D85" s="43">
        <v>1</v>
      </c>
      <c r="E85" s="26" t="s">
        <v>139</v>
      </c>
      <c r="F85" s="26" t="s">
        <v>59</v>
      </c>
      <c r="G85" s="48">
        <f t="shared" si="1"/>
        <v>226</v>
      </c>
      <c r="H85" s="26" t="s">
        <v>59</v>
      </c>
      <c r="I85" s="26" t="s">
        <v>59</v>
      </c>
      <c r="J85" s="26" t="s">
        <v>59</v>
      </c>
      <c r="K85" s="26" t="s">
        <v>59</v>
      </c>
      <c r="L85" s="26" t="s">
        <v>59</v>
      </c>
      <c r="M85" s="26" t="s">
        <v>59</v>
      </c>
      <c r="N85" s="26" t="s">
        <v>59</v>
      </c>
      <c r="O85" s="26" t="s">
        <v>59</v>
      </c>
      <c r="P85" s="26" t="s">
        <v>59</v>
      </c>
      <c r="Q85" s="26" t="s">
        <v>59</v>
      </c>
      <c r="R85" s="26" t="s">
        <v>59</v>
      </c>
      <c r="S85" s="26" t="s">
        <v>60</v>
      </c>
      <c r="T85" s="26" t="s">
        <v>60</v>
      </c>
      <c r="U85" s="26">
        <v>103</v>
      </c>
      <c r="V85" s="26">
        <v>117</v>
      </c>
      <c r="W85" s="26" t="s">
        <v>60</v>
      </c>
      <c r="X85" s="26" t="s">
        <v>60</v>
      </c>
      <c r="Y85" s="26">
        <v>5.3</v>
      </c>
      <c r="Z85" s="26">
        <v>1.4</v>
      </c>
      <c r="AA85" s="26" t="s">
        <v>61</v>
      </c>
      <c r="AB85" s="26" t="s">
        <v>61</v>
      </c>
      <c r="AC85" s="27" t="s">
        <v>61</v>
      </c>
      <c r="AD85" s="26">
        <v>5.3</v>
      </c>
      <c r="AE85" s="26">
        <v>1.4</v>
      </c>
      <c r="AF85" s="26" t="s">
        <v>61</v>
      </c>
      <c r="AG85" s="26" t="s">
        <v>61</v>
      </c>
      <c r="AH85" s="27" t="s">
        <v>61</v>
      </c>
      <c r="AI85" s="26" t="s">
        <v>60</v>
      </c>
      <c r="AJ85" s="26" t="s">
        <v>60</v>
      </c>
      <c r="AK85" s="26" t="s">
        <v>59</v>
      </c>
      <c r="AL85" s="26" t="s">
        <v>59</v>
      </c>
      <c r="AM85" s="26" t="s">
        <v>59</v>
      </c>
      <c r="AN85" s="26" t="s">
        <v>60</v>
      </c>
      <c r="AO85" s="26" t="s">
        <v>60</v>
      </c>
      <c r="AP85" s="26" t="s">
        <v>59</v>
      </c>
      <c r="AQ85" s="26" t="s">
        <v>59</v>
      </c>
      <c r="AR85" s="26" t="s">
        <v>59</v>
      </c>
      <c r="AS85" s="26" t="s">
        <v>61</v>
      </c>
      <c r="AT85" s="26" t="s">
        <v>64</v>
      </c>
      <c r="AU85" s="26" t="s">
        <v>59</v>
      </c>
      <c r="AV85" s="26" t="s">
        <v>59</v>
      </c>
      <c r="AW85" s="26" t="s">
        <v>59</v>
      </c>
      <c r="AX85" s="26" t="s">
        <v>59</v>
      </c>
      <c r="AY85" s="186">
        <v>106</v>
      </c>
      <c r="AZ85" s="186">
        <v>120</v>
      </c>
      <c r="BA85" s="186" t="s">
        <v>60</v>
      </c>
      <c r="BB85" s="186" t="s">
        <v>60</v>
      </c>
      <c r="BC85" s="26">
        <v>5.3</v>
      </c>
      <c r="BD85" s="26">
        <v>1.7</v>
      </c>
      <c r="BE85" s="26" t="s">
        <v>61</v>
      </c>
      <c r="BF85" s="26">
        <v>0</v>
      </c>
      <c r="BG85" s="48">
        <v>1</v>
      </c>
      <c r="BH85" s="27" t="s">
        <v>61</v>
      </c>
      <c r="BI85" s="27" t="s">
        <v>61</v>
      </c>
      <c r="BJ85" s="26" t="s">
        <v>61</v>
      </c>
      <c r="BK85" s="26" t="s">
        <v>61</v>
      </c>
      <c r="BL85" s="26" t="s">
        <v>61</v>
      </c>
      <c r="BM85" s="26" t="s">
        <v>61</v>
      </c>
      <c r="BN85" s="26" t="s">
        <v>61</v>
      </c>
      <c r="BO85" s="26" t="s">
        <v>61</v>
      </c>
      <c r="BP85" s="26">
        <v>5.3</v>
      </c>
      <c r="BQ85" s="26">
        <v>1.7</v>
      </c>
      <c r="BR85" s="26" t="s">
        <v>61</v>
      </c>
      <c r="BS85" s="26">
        <v>0</v>
      </c>
      <c r="BT85" s="26">
        <v>1</v>
      </c>
      <c r="BU85" s="27" t="s">
        <v>61</v>
      </c>
      <c r="BV85" s="27" t="s">
        <v>61</v>
      </c>
      <c r="BW85" s="26" t="s">
        <v>61</v>
      </c>
      <c r="BX85" s="26" t="s">
        <v>61</v>
      </c>
      <c r="BY85" s="27" t="s">
        <v>61</v>
      </c>
      <c r="BZ85" s="26" t="s">
        <v>61</v>
      </c>
      <c r="CA85" s="27" t="s">
        <v>61</v>
      </c>
      <c r="CB85" s="26" t="s">
        <v>61</v>
      </c>
      <c r="CC85" s="26" t="s">
        <v>60</v>
      </c>
      <c r="CD85" s="26" t="s">
        <v>60</v>
      </c>
      <c r="CE85" s="26" t="s">
        <v>59</v>
      </c>
      <c r="CF85" s="26"/>
      <c r="CG85" s="26"/>
      <c r="CH85" s="26" t="s">
        <v>59</v>
      </c>
      <c r="CI85" s="26" t="s">
        <v>59</v>
      </c>
      <c r="CJ85" s="26" t="s">
        <v>59</v>
      </c>
      <c r="CK85" s="26" t="s">
        <v>59</v>
      </c>
      <c r="CL85" s="26" t="s">
        <v>59</v>
      </c>
      <c r="CM85" s="26" t="s">
        <v>59</v>
      </c>
      <c r="CN85" s="26" t="s">
        <v>59</v>
      </c>
      <c r="CO85" s="26" t="s">
        <v>59</v>
      </c>
      <c r="CP85" s="26" t="s">
        <v>60</v>
      </c>
      <c r="CQ85" s="26" t="s">
        <v>60</v>
      </c>
      <c r="CR85" s="26" t="s">
        <v>59</v>
      </c>
      <c r="CS85" s="26"/>
      <c r="CT85" s="26"/>
      <c r="CU85" s="26" t="s">
        <v>59</v>
      </c>
      <c r="CV85" s="26" t="s">
        <v>59</v>
      </c>
      <c r="CW85" s="26" t="s">
        <v>59</v>
      </c>
      <c r="CX85" s="26" t="s">
        <v>59</v>
      </c>
      <c r="CY85" s="26" t="s">
        <v>59</v>
      </c>
      <c r="CZ85" s="26" t="s">
        <v>59</v>
      </c>
      <c r="DA85" s="26" t="s">
        <v>59</v>
      </c>
      <c r="DB85" s="26" t="s">
        <v>59</v>
      </c>
      <c r="DC85" s="26">
        <v>24</v>
      </c>
      <c r="DD85" s="29" t="s">
        <v>244</v>
      </c>
    </row>
    <row r="86" spans="1:114" ht="14">
      <c r="A86" s="49" t="s">
        <v>414</v>
      </c>
      <c r="B86" s="43">
        <v>12352</v>
      </c>
      <c r="C86" s="34">
        <v>2</v>
      </c>
      <c r="D86" s="43">
        <v>1</v>
      </c>
      <c r="E86" s="48" t="s">
        <v>139</v>
      </c>
      <c r="F86" s="26" t="s">
        <v>59</v>
      </c>
      <c r="G86" s="48">
        <f t="shared" si="1"/>
        <v>421</v>
      </c>
      <c r="H86" s="26" t="s">
        <v>59</v>
      </c>
      <c r="I86" s="26" t="s">
        <v>59</v>
      </c>
      <c r="J86" s="48" t="s">
        <v>59</v>
      </c>
      <c r="K86" s="26" t="s">
        <v>59</v>
      </c>
      <c r="L86" s="26" t="s">
        <v>59</v>
      </c>
      <c r="M86" s="26" t="s">
        <v>59</v>
      </c>
      <c r="N86" s="26" t="s">
        <v>59</v>
      </c>
      <c r="O86" s="26" t="s">
        <v>59</v>
      </c>
      <c r="P86" s="26" t="s">
        <v>59</v>
      </c>
      <c r="Q86" s="48" t="s">
        <v>59</v>
      </c>
      <c r="R86" s="48" t="s">
        <v>59</v>
      </c>
      <c r="S86" s="48" t="s">
        <v>59</v>
      </c>
      <c r="T86" s="48" t="s">
        <v>59</v>
      </c>
      <c r="U86" s="48">
        <v>313</v>
      </c>
      <c r="V86" s="48">
        <v>232</v>
      </c>
      <c r="W86" s="48" t="s">
        <v>59</v>
      </c>
      <c r="X86" s="48" t="s">
        <v>59</v>
      </c>
      <c r="Y86" s="69">
        <v>9.0500000000000007</v>
      </c>
      <c r="Z86" s="69">
        <v>2.27</v>
      </c>
      <c r="AA86" s="69" t="s">
        <v>61</v>
      </c>
      <c r="AB86" s="69" t="s">
        <v>61</v>
      </c>
      <c r="AC86" s="69" t="s">
        <v>61</v>
      </c>
      <c r="AD86" s="69">
        <v>8.82</v>
      </c>
      <c r="AE86" s="69">
        <v>2.38</v>
      </c>
      <c r="AF86" s="69" t="s">
        <v>61</v>
      </c>
      <c r="AG86" s="69" t="s">
        <v>61</v>
      </c>
      <c r="AH86" s="69" t="s">
        <v>61</v>
      </c>
      <c r="AI86" s="69" t="s">
        <v>59</v>
      </c>
      <c r="AJ86" s="69" t="s">
        <v>59</v>
      </c>
      <c r="AK86" s="69" t="s">
        <v>59</v>
      </c>
      <c r="AL86" s="69" t="s">
        <v>59</v>
      </c>
      <c r="AM86" s="69" t="s">
        <v>59</v>
      </c>
      <c r="AN86" s="69" t="s">
        <v>59</v>
      </c>
      <c r="AO86" s="69" t="s">
        <v>59</v>
      </c>
      <c r="AP86" s="69" t="s">
        <v>59</v>
      </c>
      <c r="AQ86" s="69" t="s">
        <v>59</v>
      </c>
      <c r="AR86" s="69" t="s">
        <v>59</v>
      </c>
      <c r="AS86" s="69">
        <v>0.28070000000000001</v>
      </c>
      <c r="AT86" s="69" t="s">
        <v>64</v>
      </c>
      <c r="AU86" s="69" t="s">
        <v>59</v>
      </c>
      <c r="AV86" s="69" t="s">
        <v>59</v>
      </c>
      <c r="AW86" s="69" t="s">
        <v>59</v>
      </c>
      <c r="AX86" s="69" t="s">
        <v>59</v>
      </c>
      <c r="AY86" s="215">
        <v>233</v>
      </c>
      <c r="AZ86" s="215">
        <v>188</v>
      </c>
      <c r="BA86" s="215" t="s">
        <v>59</v>
      </c>
      <c r="BB86" s="215" t="s">
        <v>59</v>
      </c>
      <c r="BC86" s="69">
        <v>8</v>
      </c>
      <c r="BD86" s="69">
        <v>1.8</v>
      </c>
      <c r="BE86" s="69" t="s">
        <v>61</v>
      </c>
      <c r="BF86" s="48">
        <v>0</v>
      </c>
      <c r="BG86" s="48">
        <v>1</v>
      </c>
      <c r="BH86" s="69" t="s">
        <v>61</v>
      </c>
      <c r="BI86" s="69" t="s">
        <v>61</v>
      </c>
      <c r="BJ86" s="69" t="s">
        <v>61</v>
      </c>
      <c r="BK86" s="69" t="s">
        <v>61</v>
      </c>
      <c r="BL86" s="69" t="s">
        <v>61</v>
      </c>
      <c r="BM86" s="69" t="s">
        <v>61</v>
      </c>
      <c r="BN86" s="69" t="s">
        <v>61</v>
      </c>
      <c r="BO86" s="69" t="s">
        <v>162</v>
      </c>
      <c r="BP86" s="69">
        <v>7.8</v>
      </c>
      <c r="BQ86" s="69">
        <v>1.7</v>
      </c>
      <c r="BR86" s="69" t="s">
        <v>61</v>
      </c>
      <c r="BS86" s="26">
        <v>0</v>
      </c>
      <c r="BT86" s="26">
        <v>1</v>
      </c>
      <c r="BU86" s="69" t="s">
        <v>61</v>
      </c>
      <c r="BV86" s="69" t="s">
        <v>61</v>
      </c>
      <c r="BW86" s="69" t="s">
        <v>61</v>
      </c>
      <c r="BX86" s="69" t="s">
        <v>61</v>
      </c>
      <c r="BY86" s="69" t="s">
        <v>61</v>
      </c>
      <c r="BZ86" s="69" t="s">
        <v>61</v>
      </c>
      <c r="CA86" s="69" t="s">
        <v>61</v>
      </c>
      <c r="CB86" s="69" t="s">
        <v>162</v>
      </c>
      <c r="CC86" s="69" t="s">
        <v>59</v>
      </c>
      <c r="CD86" s="69" t="s">
        <v>59</v>
      </c>
      <c r="CE86" s="69" t="s">
        <v>59</v>
      </c>
      <c r="CF86" s="69"/>
      <c r="CG86" s="69"/>
      <c r="CH86" s="69" t="s">
        <v>59</v>
      </c>
      <c r="CI86" s="69" t="s">
        <v>59</v>
      </c>
      <c r="CJ86" s="69" t="s">
        <v>59</v>
      </c>
      <c r="CK86" s="69" t="s">
        <v>59</v>
      </c>
      <c r="CL86" s="69" t="s">
        <v>59</v>
      </c>
      <c r="CM86" s="69" t="s">
        <v>59</v>
      </c>
      <c r="CN86" s="69" t="s">
        <v>59</v>
      </c>
      <c r="CO86" s="69" t="s">
        <v>59</v>
      </c>
      <c r="CP86" s="69" t="s">
        <v>59</v>
      </c>
      <c r="CQ86" s="69" t="s">
        <v>59</v>
      </c>
      <c r="CR86" s="69" t="s">
        <v>59</v>
      </c>
      <c r="CS86" s="69"/>
      <c r="CT86" s="69"/>
      <c r="CU86" s="69" t="s">
        <v>59</v>
      </c>
      <c r="CV86" s="69" t="s">
        <v>59</v>
      </c>
      <c r="CW86" s="69" t="s">
        <v>59</v>
      </c>
      <c r="CX86" s="69" t="s">
        <v>59</v>
      </c>
      <c r="CY86" s="69" t="s">
        <v>59</v>
      </c>
      <c r="CZ86" s="69" t="s">
        <v>59</v>
      </c>
      <c r="DA86" s="69" t="s">
        <v>59</v>
      </c>
      <c r="DB86" s="69" t="s">
        <v>59</v>
      </c>
      <c r="DC86" s="69">
        <v>24</v>
      </c>
      <c r="DD86" s="55"/>
      <c r="DE86" s="43"/>
      <c r="DF86" s="43"/>
      <c r="DG86" s="43"/>
      <c r="DH86" s="43"/>
      <c r="DI86" s="43"/>
      <c r="DJ86" s="43"/>
    </row>
    <row r="87" spans="1:114">
      <c r="A87" s="34" t="s">
        <v>238</v>
      </c>
      <c r="B87" s="34">
        <v>6407</v>
      </c>
      <c r="C87" s="34">
        <v>2</v>
      </c>
      <c r="D87" s="43">
        <v>1</v>
      </c>
      <c r="E87" s="26" t="s">
        <v>139</v>
      </c>
      <c r="F87" s="26" t="s">
        <v>59</v>
      </c>
      <c r="G87" s="48">
        <f t="shared" si="1"/>
        <v>112</v>
      </c>
      <c r="H87" s="26" t="s">
        <v>59</v>
      </c>
      <c r="I87" s="26" t="s">
        <v>59</v>
      </c>
      <c r="J87" s="26" t="s">
        <v>59</v>
      </c>
      <c r="K87" s="26" t="s">
        <v>59</v>
      </c>
      <c r="L87" s="26" t="s">
        <v>59</v>
      </c>
      <c r="M87" s="26" t="s">
        <v>59</v>
      </c>
      <c r="N87" s="26" t="s">
        <v>59</v>
      </c>
      <c r="O87" s="26" t="s">
        <v>59</v>
      </c>
      <c r="P87" s="26" t="s">
        <v>59</v>
      </c>
      <c r="Q87" s="26" t="s">
        <v>59</v>
      </c>
      <c r="R87" s="26" t="s">
        <v>59</v>
      </c>
      <c r="S87" s="26" t="s">
        <v>60</v>
      </c>
      <c r="T87" s="26" t="s">
        <v>60</v>
      </c>
      <c r="U87" s="26">
        <v>56</v>
      </c>
      <c r="V87" s="26">
        <v>56</v>
      </c>
      <c r="W87" s="26" t="s">
        <v>60</v>
      </c>
      <c r="X87" s="26" t="s">
        <v>60</v>
      </c>
      <c r="Y87" s="26">
        <v>7.8</v>
      </c>
      <c r="Z87" s="26">
        <v>1.7</v>
      </c>
      <c r="AA87" s="26" t="s">
        <v>61</v>
      </c>
      <c r="AB87" s="26" t="s">
        <v>61</v>
      </c>
      <c r="AC87" s="27" t="s">
        <v>61</v>
      </c>
      <c r="AD87" s="26">
        <v>8.4</v>
      </c>
      <c r="AE87" s="26">
        <v>1.8</v>
      </c>
      <c r="AF87" s="26" t="s">
        <v>61</v>
      </c>
      <c r="AG87" s="26" t="s">
        <v>61</v>
      </c>
      <c r="AH87" s="27" t="s">
        <v>61</v>
      </c>
      <c r="AI87" s="26" t="s">
        <v>60</v>
      </c>
      <c r="AJ87" s="26" t="s">
        <v>60</v>
      </c>
      <c r="AK87" s="26" t="s">
        <v>59</v>
      </c>
      <c r="AL87" s="26" t="s">
        <v>59</v>
      </c>
      <c r="AM87" s="26" t="s">
        <v>59</v>
      </c>
      <c r="AN87" s="26" t="s">
        <v>60</v>
      </c>
      <c r="AO87" s="26" t="s">
        <v>60</v>
      </c>
      <c r="AP87" s="26" t="s">
        <v>59</v>
      </c>
      <c r="AQ87" s="26" t="s">
        <v>59</v>
      </c>
      <c r="AR87" s="26" t="s">
        <v>59</v>
      </c>
      <c r="AS87" s="26" t="s">
        <v>61</v>
      </c>
      <c r="AT87" s="26" t="s">
        <v>64</v>
      </c>
      <c r="AU87" s="26" t="s">
        <v>59</v>
      </c>
      <c r="AV87" s="26" t="s">
        <v>59</v>
      </c>
      <c r="AW87" s="26" t="s">
        <v>59</v>
      </c>
      <c r="AX87" s="26" t="s">
        <v>59</v>
      </c>
      <c r="AY87" s="186">
        <v>56</v>
      </c>
      <c r="AZ87" s="186">
        <v>56</v>
      </c>
      <c r="BA87" s="186" t="s">
        <v>60</v>
      </c>
      <c r="BB87" s="186" t="s">
        <v>60</v>
      </c>
      <c r="BC87" s="26">
        <v>8.5</v>
      </c>
      <c r="BD87" s="26">
        <v>1.9</v>
      </c>
      <c r="BE87" s="26" t="s">
        <v>61</v>
      </c>
      <c r="BF87" s="48">
        <v>0</v>
      </c>
      <c r="BG87" s="48">
        <v>1</v>
      </c>
      <c r="BH87" s="27" t="s">
        <v>61</v>
      </c>
      <c r="BI87" s="27" t="s">
        <v>61</v>
      </c>
      <c r="BJ87" s="26" t="s">
        <v>61</v>
      </c>
      <c r="BK87" s="26" t="s">
        <v>61</v>
      </c>
      <c r="BL87" s="26" t="s">
        <v>61</v>
      </c>
      <c r="BM87" s="26" t="s">
        <v>61</v>
      </c>
      <c r="BN87" s="26" t="s">
        <v>61</v>
      </c>
      <c r="BO87" s="26" t="s">
        <v>119</v>
      </c>
      <c r="BP87" s="26">
        <v>7.9</v>
      </c>
      <c r="BQ87" s="26">
        <v>1.7</v>
      </c>
      <c r="BR87" s="26" t="s">
        <v>61</v>
      </c>
      <c r="BS87" s="26">
        <v>0</v>
      </c>
      <c r="BT87" s="26">
        <v>1</v>
      </c>
      <c r="BU87" s="27" t="s">
        <v>61</v>
      </c>
      <c r="BV87" s="27" t="s">
        <v>61</v>
      </c>
      <c r="BW87" s="26">
        <v>-0.5</v>
      </c>
      <c r="BX87" s="26" t="s">
        <v>61</v>
      </c>
      <c r="BY87" s="27" t="s">
        <v>61</v>
      </c>
      <c r="BZ87" s="26" t="s">
        <v>61</v>
      </c>
      <c r="CA87" s="27" t="s">
        <v>61</v>
      </c>
      <c r="CB87" s="26" t="s">
        <v>119</v>
      </c>
      <c r="CC87" s="26" t="s">
        <v>60</v>
      </c>
      <c r="CD87" s="26" t="s">
        <v>60</v>
      </c>
      <c r="CE87" s="26" t="s">
        <v>59</v>
      </c>
      <c r="CF87" s="26"/>
      <c r="CG87" s="26"/>
      <c r="CH87" s="26" t="s">
        <v>59</v>
      </c>
      <c r="CI87" s="26" t="s">
        <v>59</v>
      </c>
      <c r="CJ87" s="26" t="s">
        <v>59</v>
      </c>
      <c r="CK87" s="26" t="s">
        <v>59</v>
      </c>
      <c r="CL87" s="26" t="s">
        <v>59</v>
      </c>
      <c r="CM87" s="26" t="s">
        <v>59</v>
      </c>
      <c r="CN87" s="26" t="s">
        <v>59</v>
      </c>
      <c r="CO87" s="26" t="s">
        <v>59</v>
      </c>
      <c r="CP87" s="26" t="s">
        <v>60</v>
      </c>
      <c r="CQ87" s="26" t="s">
        <v>60</v>
      </c>
      <c r="CR87" s="26" t="s">
        <v>59</v>
      </c>
      <c r="CS87" s="26"/>
      <c r="CT87" s="26"/>
      <c r="CU87" s="26" t="s">
        <v>59</v>
      </c>
      <c r="CV87" s="26" t="s">
        <v>59</v>
      </c>
      <c r="CW87" s="26" t="s">
        <v>59</v>
      </c>
      <c r="CX87" s="26" t="s">
        <v>59</v>
      </c>
      <c r="CY87" s="26" t="s">
        <v>59</v>
      </c>
      <c r="CZ87" s="26" t="s">
        <v>59</v>
      </c>
      <c r="DA87" s="26" t="s">
        <v>59</v>
      </c>
      <c r="DB87" s="26" t="s">
        <v>59</v>
      </c>
      <c r="DC87" s="26">
        <v>13</v>
      </c>
    </row>
    <row r="88" spans="1:114" ht="14">
      <c r="A88" s="49" t="s">
        <v>428</v>
      </c>
      <c r="B88" s="43">
        <v>12816</v>
      </c>
      <c r="C88" s="34">
        <v>2</v>
      </c>
      <c r="D88" s="43">
        <v>1</v>
      </c>
      <c r="E88" s="48" t="s">
        <v>139</v>
      </c>
      <c r="F88" s="26" t="s">
        <v>59</v>
      </c>
      <c r="G88" s="48">
        <f t="shared" si="1"/>
        <v>175</v>
      </c>
      <c r="H88" s="26" t="s">
        <v>59</v>
      </c>
      <c r="I88" s="26" t="s">
        <v>59</v>
      </c>
      <c r="J88" s="48" t="s">
        <v>59</v>
      </c>
      <c r="K88" s="26" t="s">
        <v>59</v>
      </c>
      <c r="L88" s="26" t="s">
        <v>59</v>
      </c>
      <c r="M88" s="26" t="s">
        <v>59</v>
      </c>
      <c r="N88" s="26" t="s">
        <v>59</v>
      </c>
      <c r="O88" s="26" t="s">
        <v>59</v>
      </c>
      <c r="P88" s="26" t="s">
        <v>59</v>
      </c>
      <c r="Q88" s="48" t="s">
        <v>59</v>
      </c>
      <c r="R88" s="48" t="s">
        <v>59</v>
      </c>
      <c r="S88" s="48" t="s">
        <v>59</v>
      </c>
      <c r="T88" s="48" t="s">
        <v>59</v>
      </c>
      <c r="U88" s="48">
        <v>95</v>
      </c>
      <c r="V88" s="48">
        <v>93</v>
      </c>
      <c r="W88" s="48" t="s">
        <v>59</v>
      </c>
      <c r="X88" s="48" t="s">
        <v>59</v>
      </c>
      <c r="Y88" s="69">
        <v>8.31</v>
      </c>
      <c r="Z88" s="69">
        <v>2.16</v>
      </c>
      <c r="AA88" s="69" t="s">
        <v>61</v>
      </c>
      <c r="AB88" s="69" t="s">
        <v>61</v>
      </c>
      <c r="AC88" s="69" t="s">
        <v>61</v>
      </c>
      <c r="AD88" s="69">
        <v>8.15</v>
      </c>
      <c r="AE88" s="69">
        <v>1.87</v>
      </c>
      <c r="AF88" s="69" t="s">
        <v>61</v>
      </c>
      <c r="AG88" s="69" t="s">
        <v>61</v>
      </c>
      <c r="AH88" s="69" t="s">
        <v>61</v>
      </c>
      <c r="AI88" s="69" t="s">
        <v>59</v>
      </c>
      <c r="AJ88" s="69" t="s">
        <v>59</v>
      </c>
      <c r="AK88" s="69" t="s">
        <v>59</v>
      </c>
      <c r="AL88" s="69" t="s">
        <v>59</v>
      </c>
      <c r="AM88" s="69" t="s">
        <v>59</v>
      </c>
      <c r="AN88" s="69" t="s">
        <v>59</v>
      </c>
      <c r="AO88" s="69" t="s">
        <v>59</v>
      </c>
      <c r="AP88" s="69" t="s">
        <v>59</v>
      </c>
      <c r="AQ88" s="69" t="s">
        <v>59</v>
      </c>
      <c r="AR88" s="69" t="s">
        <v>59</v>
      </c>
      <c r="AS88" s="69">
        <v>0.57999999999999996</v>
      </c>
      <c r="AT88" s="69" t="s">
        <v>64</v>
      </c>
      <c r="AU88" s="69" t="s">
        <v>59</v>
      </c>
      <c r="AV88" s="69" t="s">
        <v>59</v>
      </c>
      <c r="AW88" s="69" t="s">
        <v>59</v>
      </c>
      <c r="AX88" s="69" t="s">
        <v>59</v>
      </c>
      <c r="AY88" s="215">
        <v>89</v>
      </c>
      <c r="AZ88" s="215">
        <v>86</v>
      </c>
      <c r="BA88" s="215" t="s">
        <v>59</v>
      </c>
      <c r="BB88" s="215" t="s">
        <v>59</v>
      </c>
      <c r="BC88" s="69">
        <v>7.9</v>
      </c>
      <c r="BD88" s="69">
        <v>1.9</v>
      </c>
      <c r="BE88" s="69" t="s">
        <v>61</v>
      </c>
      <c r="BF88" s="48">
        <v>0</v>
      </c>
      <c r="BG88" s="48">
        <v>1</v>
      </c>
      <c r="BH88" s="69" t="s">
        <v>61</v>
      </c>
      <c r="BI88" s="69" t="s">
        <v>61</v>
      </c>
      <c r="BJ88" s="69">
        <v>-0.3</v>
      </c>
      <c r="BK88" s="69" t="s">
        <v>61</v>
      </c>
      <c r="BL88" s="69" t="s">
        <v>61</v>
      </c>
      <c r="BM88" s="69">
        <v>-0.5</v>
      </c>
      <c r="BN88" s="69">
        <v>-0.05</v>
      </c>
      <c r="BO88" s="69">
        <v>1.6E-2</v>
      </c>
      <c r="BP88" s="69">
        <v>7.8</v>
      </c>
      <c r="BQ88" s="69">
        <v>1.7</v>
      </c>
      <c r="BR88" s="69" t="s">
        <v>61</v>
      </c>
      <c r="BS88" s="26">
        <v>0</v>
      </c>
      <c r="BT88" s="26">
        <v>1</v>
      </c>
      <c r="BU88" s="69" t="s">
        <v>61</v>
      </c>
      <c r="BV88" s="69" t="s">
        <v>61</v>
      </c>
      <c r="BW88" s="69">
        <v>-0.4</v>
      </c>
      <c r="BX88" s="69" t="s">
        <v>61</v>
      </c>
      <c r="BY88" s="69" t="s">
        <v>61</v>
      </c>
      <c r="BZ88" s="69">
        <v>-0.6</v>
      </c>
      <c r="CA88" s="69">
        <v>-0.2</v>
      </c>
      <c r="CB88" s="69">
        <v>1E-3</v>
      </c>
      <c r="CC88" s="69" t="s">
        <v>59</v>
      </c>
      <c r="CD88" s="69" t="s">
        <v>59</v>
      </c>
      <c r="CE88" s="69" t="s">
        <v>59</v>
      </c>
      <c r="CF88" s="69"/>
      <c r="CG88" s="69"/>
      <c r="CH88" s="69" t="s">
        <v>59</v>
      </c>
      <c r="CI88" s="69" t="s">
        <v>59</v>
      </c>
      <c r="CJ88" s="69" t="s">
        <v>59</v>
      </c>
      <c r="CK88" s="69" t="s">
        <v>59</v>
      </c>
      <c r="CL88" s="69" t="s">
        <v>59</v>
      </c>
      <c r="CM88" s="69" t="s">
        <v>59</v>
      </c>
      <c r="CN88" s="69" t="s">
        <v>59</v>
      </c>
      <c r="CO88" s="69" t="s">
        <v>59</v>
      </c>
      <c r="CP88" s="69" t="s">
        <v>59</v>
      </c>
      <c r="CQ88" s="69" t="s">
        <v>59</v>
      </c>
      <c r="CR88" s="69" t="s">
        <v>59</v>
      </c>
      <c r="CS88" s="69"/>
      <c r="CT88" s="69"/>
      <c r="CU88" s="69" t="s">
        <v>59</v>
      </c>
      <c r="CV88" s="69" t="s">
        <v>59</v>
      </c>
      <c r="CW88" s="69" t="s">
        <v>59</v>
      </c>
      <c r="CX88" s="69" t="s">
        <v>59</v>
      </c>
      <c r="CY88" s="69" t="s">
        <v>59</v>
      </c>
      <c r="CZ88" s="69" t="s">
        <v>59</v>
      </c>
      <c r="DA88" s="69" t="s">
        <v>59</v>
      </c>
      <c r="DB88" s="69" t="s">
        <v>59</v>
      </c>
      <c r="DC88" s="69">
        <v>3</v>
      </c>
      <c r="DD88" s="55"/>
      <c r="DE88" s="43"/>
      <c r="DF88" s="43"/>
      <c r="DG88" s="43"/>
      <c r="DH88" s="43"/>
      <c r="DI88" s="43"/>
      <c r="DJ88" s="43"/>
    </row>
    <row r="89" spans="1:114">
      <c r="A89" s="34" t="s">
        <v>183</v>
      </c>
      <c r="B89" s="34">
        <v>5047</v>
      </c>
      <c r="C89" s="34">
        <v>2</v>
      </c>
      <c r="D89" s="43">
        <v>1</v>
      </c>
      <c r="E89" s="26" t="s">
        <v>139</v>
      </c>
      <c r="F89" s="26" t="s">
        <v>59</v>
      </c>
      <c r="G89" s="48">
        <f t="shared" si="1"/>
        <v>35</v>
      </c>
      <c r="H89" s="26" t="s">
        <v>59</v>
      </c>
      <c r="I89" s="26" t="s">
        <v>60</v>
      </c>
      <c r="J89" s="26" t="s">
        <v>59</v>
      </c>
      <c r="K89" s="26" t="s">
        <v>59</v>
      </c>
      <c r="L89" s="26" t="s">
        <v>59</v>
      </c>
      <c r="M89" s="26" t="s">
        <v>59</v>
      </c>
      <c r="N89" s="26" t="s">
        <v>59</v>
      </c>
      <c r="O89" s="26" t="s">
        <v>59</v>
      </c>
      <c r="P89" s="26" t="s">
        <v>59</v>
      </c>
      <c r="Q89" s="26" t="s">
        <v>60</v>
      </c>
      <c r="R89" s="26" t="s">
        <v>60</v>
      </c>
      <c r="S89" s="26" t="s">
        <v>60</v>
      </c>
      <c r="T89" s="26" t="s">
        <v>60</v>
      </c>
      <c r="U89" s="26">
        <v>18</v>
      </c>
      <c r="V89" s="26">
        <v>17</v>
      </c>
      <c r="W89" s="26" t="s">
        <v>60</v>
      </c>
      <c r="X89" s="26" t="s">
        <v>60</v>
      </c>
      <c r="Y89" s="26">
        <v>9.3000000000000007</v>
      </c>
      <c r="Z89" s="26">
        <v>1.6</v>
      </c>
      <c r="AA89" s="26" t="s">
        <v>61</v>
      </c>
      <c r="AB89" s="26" t="s">
        <v>61</v>
      </c>
      <c r="AC89" s="27" t="s">
        <v>61</v>
      </c>
      <c r="AD89" s="26">
        <v>8.4</v>
      </c>
      <c r="AE89" s="26">
        <v>1.4</v>
      </c>
      <c r="AF89" s="26" t="s">
        <v>61</v>
      </c>
      <c r="AG89" s="26" t="s">
        <v>61</v>
      </c>
      <c r="AH89" s="27" t="s">
        <v>61</v>
      </c>
      <c r="AI89" s="26" t="s">
        <v>59</v>
      </c>
      <c r="AJ89" s="26" t="s">
        <v>60</v>
      </c>
      <c r="AK89" s="26" t="s">
        <v>59</v>
      </c>
      <c r="AL89" s="26" t="s">
        <v>59</v>
      </c>
      <c r="AM89" s="26" t="s">
        <v>59</v>
      </c>
      <c r="AN89" s="26" t="s">
        <v>60</v>
      </c>
      <c r="AO89" s="26" t="s">
        <v>60</v>
      </c>
      <c r="AP89" s="26" t="s">
        <v>59</v>
      </c>
      <c r="AQ89" s="26" t="s">
        <v>59</v>
      </c>
      <c r="AR89" s="26" t="s">
        <v>59</v>
      </c>
      <c r="AS89" s="26">
        <v>0.09</v>
      </c>
      <c r="AT89" s="26" t="s">
        <v>64</v>
      </c>
      <c r="AU89" s="26" t="s">
        <v>59</v>
      </c>
      <c r="AV89" s="26" t="s">
        <v>59</v>
      </c>
      <c r="AW89" s="26" t="s">
        <v>59</v>
      </c>
      <c r="AX89" s="26" t="s">
        <v>59</v>
      </c>
      <c r="AY89" s="186">
        <v>18</v>
      </c>
      <c r="AZ89" s="186">
        <v>17</v>
      </c>
      <c r="BA89" s="186" t="s">
        <v>60</v>
      </c>
      <c r="BB89" s="186" t="s">
        <v>60</v>
      </c>
      <c r="BC89" s="26">
        <v>9.6</v>
      </c>
      <c r="BD89" s="26">
        <v>1.9</v>
      </c>
      <c r="BE89" s="26" t="s">
        <v>61</v>
      </c>
      <c r="BF89" s="26">
        <v>0</v>
      </c>
      <c r="BG89" s="48">
        <v>1</v>
      </c>
      <c r="BH89" s="27" t="s">
        <v>61</v>
      </c>
      <c r="BI89" s="27" t="s">
        <v>61</v>
      </c>
      <c r="BJ89" s="26" t="s">
        <v>61</v>
      </c>
      <c r="BK89" s="26" t="s">
        <v>61</v>
      </c>
      <c r="BL89" s="26" t="s">
        <v>61</v>
      </c>
      <c r="BM89" s="26" t="s">
        <v>61</v>
      </c>
      <c r="BN89" s="26" t="s">
        <v>61</v>
      </c>
      <c r="BO89" s="26" t="s">
        <v>61</v>
      </c>
      <c r="BP89" s="26">
        <v>8.5</v>
      </c>
      <c r="BQ89" s="26">
        <v>1.7</v>
      </c>
      <c r="BR89" s="26" t="s">
        <v>61</v>
      </c>
      <c r="BS89" s="26">
        <v>0</v>
      </c>
      <c r="BT89" s="26">
        <v>1</v>
      </c>
      <c r="BU89" s="27" t="s">
        <v>61</v>
      </c>
      <c r="BV89" s="27" t="s">
        <v>61</v>
      </c>
      <c r="BW89" s="26" t="s">
        <v>61</v>
      </c>
      <c r="BX89" s="26" t="s">
        <v>61</v>
      </c>
      <c r="BY89" s="27" t="s">
        <v>61</v>
      </c>
      <c r="BZ89" s="26" t="s">
        <v>61</v>
      </c>
      <c r="CA89" s="27" t="s">
        <v>61</v>
      </c>
      <c r="CB89" s="26" t="s">
        <v>61</v>
      </c>
      <c r="CC89" s="26" t="s">
        <v>60</v>
      </c>
      <c r="CD89" s="26" t="s">
        <v>60</v>
      </c>
      <c r="CE89" s="26" t="s">
        <v>59</v>
      </c>
      <c r="CF89" s="26"/>
      <c r="CG89" s="26"/>
      <c r="CH89" s="26" t="s">
        <v>59</v>
      </c>
      <c r="CI89" s="26" t="s">
        <v>59</v>
      </c>
      <c r="CJ89" s="26" t="s">
        <v>59</v>
      </c>
      <c r="CK89" s="26" t="s">
        <v>59</v>
      </c>
      <c r="CL89" s="26" t="s">
        <v>59</v>
      </c>
      <c r="CM89" s="26" t="s">
        <v>59</v>
      </c>
      <c r="CN89" s="26" t="s">
        <v>59</v>
      </c>
      <c r="CO89" s="26" t="s">
        <v>59</v>
      </c>
      <c r="CP89" s="26" t="s">
        <v>60</v>
      </c>
      <c r="CQ89" s="26" t="s">
        <v>60</v>
      </c>
      <c r="CR89" s="26" t="s">
        <v>59</v>
      </c>
      <c r="CS89" s="26"/>
      <c r="CT89" s="26"/>
      <c r="CU89" s="26" t="s">
        <v>59</v>
      </c>
      <c r="CV89" s="26" t="s">
        <v>59</v>
      </c>
      <c r="CW89" s="26" t="s">
        <v>59</v>
      </c>
      <c r="CX89" s="26" t="s">
        <v>59</v>
      </c>
      <c r="CY89" s="26" t="s">
        <v>59</v>
      </c>
      <c r="CZ89" s="26" t="s">
        <v>59</v>
      </c>
      <c r="DA89" s="26" t="s">
        <v>59</v>
      </c>
      <c r="DB89" s="26" t="s">
        <v>59</v>
      </c>
      <c r="DC89" s="26">
        <v>6</v>
      </c>
    </row>
    <row r="90" spans="1:114" ht="14">
      <c r="A90" s="49" t="s">
        <v>337</v>
      </c>
      <c r="B90" s="43">
        <v>9208</v>
      </c>
      <c r="C90" s="34">
        <v>2</v>
      </c>
      <c r="D90" s="43">
        <v>1</v>
      </c>
      <c r="E90" s="48" t="s">
        <v>139</v>
      </c>
      <c r="F90" s="26" t="s">
        <v>59</v>
      </c>
      <c r="G90" s="48">
        <f t="shared" si="1"/>
        <v>42</v>
      </c>
      <c r="H90" s="26" t="s">
        <v>59</v>
      </c>
      <c r="I90" s="26" t="s">
        <v>59</v>
      </c>
      <c r="J90" s="48" t="s">
        <v>59</v>
      </c>
      <c r="K90" s="26" t="s">
        <v>59</v>
      </c>
      <c r="L90" s="26" t="s">
        <v>59</v>
      </c>
      <c r="M90" s="26" t="s">
        <v>59</v>
      </c>
      <c r="N90" s="26" t="s">
        <v>59</v>
      </c>
      <c r="O90" s="26" t="s">
        <v>59</v>
      </c>
      <c r="P90" s="26" t="s">
        <v>59</v>
      </c>
      <c r="Q90" s="48" t="s">
        <v>59</v>
      </c>
      <c r="R90" s="48" t="s">
        <v>59</v>
      </c>
      <c r="S90" s="48" t="s">
        <v>59</v>
      </c>
      <c r="T90" s="48" t="s">
        <v>59</v>
      </c>
      <c r="U90" s="48">
        <v>25</v>
      </c>
      <c r="V90" s="48">
        <v>25</v>
      </c>
      <c r="W90" s="48" t="s">
        <v>59</v>
      </c>
      <c r="X90" s="48" t="s">
        <v>59</v>
      </c>
      <c r="Y90" s="69">
        <v>8.4499999999999993</v>
      </c>
      <c r="Z90" s="69">
        <v>1.71</v>
      </c>
      <c r="AA90" s="69" t="s">
        <v>61</v>
      </c>
      <c r="AB90" s="69" t="s">
        <v>61</v>
      </c>
      <c r="AC90" s="69" t="s">
        <v>61</v>
      </c>
      <c r="AD90" s="69">
        <v>8.9</v>
      </c>
      <c r="AE90" s="69">
        <v>1.59</v>
      </c>
      <c r="AF90" s="69" t="s">
        <v>61</v>
      </c>
      <c r="AG90" s="69" t="s">
        <v>61</v>
      </c>
      <c r="AH90" s="69" t="s">
        <v>61</v>
      </c>
      <c r="AI90" s="69" t="s">
        <v>59</v>
      </c>
      <c r="AJ90" s="69" t="s">
        <v>59</v>
      </c>
      <c r="AK90" s="69" t="s">
        <v>59</v>
      </c>
      <c r="AL90" s="69" t="s">
        <v>59</v>
      </c>
      <c r="AM90" s="69" t="s">
        <v>59</v>
      </c>
      <c r="AN90" s="69" t="s">
        <v>59</v>
      </c>
      <c r="AO90" s="69" t="s">
        <v>59</v>
      </c>
      <c r="AP90" s="69" t="s">
        <v>59</v>
      </c>
      <c r="AQ90" s="69" t="s">
        <v>59</v>
      </c>
      <c r="AR90" s="69" t="s">
        <v>59</v>
      </c>
      <c r="AS90" s="69" t="s">
        <v>61</v>
      </c>
      <c r="AT90" s="69" t="s">
        <v>64</v>
      </c>
      <c r="AU90" s="69" t="s">
        <v>59</v>
      </c>
      <c r="AV90" s="69" t="s">
        <v>59</v>
      </c>
      <c r="AW90" s="69" t="s">
        <v>59</v>
      </c>
      <c r="AX90" s="69" t="s">
        <v>59</v>
      </c>
      <c r="AY90" s="215">
        <v>18</v>
      </c>
      <c r="AZ90" s="215">
        <v>24</v>
      </c>
      <c r="BA90" s="215" t="s">
        <v>338</v>
      </c>
      <c r="BB90" s="215" t="s">
        <v>59</v>
      </c>
      <c r="BC90" s="69">
        <v>8.5</v>
      </c>
      <c r="BD90" s="69">
        <v>2.25</v>
      </c>
      <c r="BE90" s="69" t="s">
        <v>61</v>
      </c>
      <c r="BF90" s="48">
        <v>0</v>
      </c>
      <c r="BG90" s="48">
        <v>1</v>
      </c>
      <c r="BH90" s="69" t="s">
        <v>61</v>
      </c>
      <c r="BI90" s="69" t="s">
        <v>61</v>
      </c>
      <c r="BJ90" s="69" t="s">
        <v>61</v>
      </c>
      <c r="BK90" s="69" t="s">
        <v>61</v>
      </c>
      <c r="BL90" s="69" t="s">
        <v>61</v>
      </c>
      <c r="BM90" s="69" t="s">
        <v>61</v>
      </c>
      <c r="BN90" s="69" t="s">
        <v>61</v>
      </c>
      <c r="BO90" s="69" t="s">
        <v>61</v>
      </c>
      <c r="BP90" s="69">
        <v>8.73</v>
      </c>
      <c r="BQ90" s="69">
        <v>1.74</v>
      </c>
      <c r="BR90" s="69" t="s">
        <v>61</v>
      </c>
      <c r="BS90" s="26">
        <v>0</v>
      </c>
      <c r="BT90" s="26">
        <v>1</v>
      </c>
      <c r="BU90" s="69" t="s">
        <v>61</v>
      </c>
      <c r="BV90" s="69" t="s">
        <v>61</v>
      </c>
      <c r="BW90" s="69" t="s">
        <v>61</v>
      </c>
      <c r="BX90" s="69" t="s">
        <v>61</v>
      </c>
      <c r="BY90" s="69" t="s">
        <v>61</v>
      </c>
      <c r="BZ90" s="69" t="s">
        <v>61</v>
      </c>
      <c r="CA90" s="69" t="s">
        <v>61</v>
      </c>
      <c r="CB90" s="69" t="s">
        <v>61</v>
      </c>
      <c r="CC90" s="69" t="s">
        <v>59</v>
      </c>
      <c r="CD90" s="69" t="s">
        <v>59</v>
      </c>
      <c r="CE90" s="69" t="s">
        <v>59</v>
      </c>
      <c r="CF90" s="69"/>
      <c r="CG90" s="69"/>
      <c r="CH90" s="69" t="s">
        <v>59</v>
      </c>
      <c r="CI90" s="69" t="s">
        <v>59</v>
      </c>
      <c r="CJ90" s="69" t="s">
        <v>59</v>
      </c>
      <c r="CK90" s="69" t="s">
        <v>59</v>
      </c>
      <c r="CL90" s="69" t="s">
        <v>59</v>
      </c>
      <c r="CM90" s="69" t="s">
        <v>59</v>
      </c>
      <c r="CN90" s="69" t="s">
        <v>59</v>
      </c>
      <c r="CO90" s="69" t="s">
        <v>59</v>
      </c>
      <c r="CP90" s="69" t="s">
        <v>59</v>
      </c>
      <c r="CQ90" s="69" t="s">
        <v>59</v>
      </c>
      <c r="CR90" s="69" t="s">
        <v>59</v>
      </c>
      <c r="CS90" s="69"/>
      <c r="CT90" s="69"/>
      <c r="CU90" s="69" t="s">
        <v>59</v>
      </c>
      <c r="CV90" s="69" t="s">
        <v>59</v>
      </c>
      <c r="CW90" s="69" t="s">
        <v>59</v>
      </c>
      <c r="CX90" s="69" t="s">
        <v>59</v>
      </c>
      <c r="CY90" s="69" t="s">
        <v>59</v>
      </c>
      <c r="CZ90" s="69" t="s">
        <v>59</v>
      </c>
      <c r="DA90" s="69" t="s">
        <v>59</v>
      </c>
      <c r="DB90" s="69" t="s">
        <v>59</v>
      </c>
      <c r="DC90" s="69">
        <v>6</v>
      </c>
      <c r="DD90" s="55"/>
      <c r="DE90" s="43"/>
      <c r="DF90" s="43"/>
      <c r="DG90" s="43"/>
      <c r="DH90" s="43"/>
      <c r="DI90" s="43"/>
      <c r="DJ90" s="43"/>
    </row>
    <row r="91" spans="1:114" ht="14">
      <c r="A91" s="49" t="s">
        <v>339</v>
      </c>
      <c r="B91" s="43">
        <v>10019</v>
      </c>
      <c r="C91" s="34">
        <v>2</v>
      </c>
      <c r="D91" s="43">
        <v>1</v>
      </c>
      <c r="E91" s="48" t="s">
        <v>139</v>
      </c>
      <c r="F91" s="26" t="s">
        <v>59</v>
      </c>
      <c r="G91" s="48">
        <f t="shared" si="1"/>
        <v>77</v>
      </c>
      <c r="H91" s="26" t="s">
        <v>59</v>
      </c>
      <c r="I91" s="26" t="s">
        <v>59</v>
      </c>
      <c r="J91" s="48" t="s">
        <v>59</v>
      </c>
      <c r="K91" s="26" t="s">
        <v>59</v>
      </c>
      <c r="L91" s="26" t="s">
        <v>59</v>
      </c>
      <c r="M91" s="26" t="s">
        <v>59</v>
      </c>
      <c r="N91" s="26" t="s">
        <v>59</v>
      </c>
      <c r="O91" s="26" t="s">
        <v>59</v>
      </c>
      <c r="P91" s="26" t="s">
        <v>59</v>
      </c>
      <c r="Q91" s="48" t="s">
        <v>59</v>
      </c>
      <c r="R91" s="48" t="s">
        <v>59</v>
      </c>
      <c r="S91" s="48" t="s">
        <v>59</v>
      </c>
      <c r="T91" s="48" t="s">
        <v>59</v>
      </c>
      <c r="U91" s="48">
        <v>39</v>
      </c>
      <c r="V91" s="48">
        <v>38</v>
      </c>
      <c r="W91" s="48" t="s">
        <v>59</v>
      </c>
      <c r="X91" s="48" t="s">
        <v>59</v>
      </c>
      <c r="Y91" s="69">
        <v>9.44</v>
      </c>
      <c r="Z91" s="69">
        <v>1.72</v>
      </c>
      <c r="AA91" s="69" t="s">
        <v>61</v>
      </c>
      <c r="AB91" s="69" t="s">
        <v>61</v>
      </c>
      <c r="AC91" s="69" t="s">
        <v>61</v>
      </c>
      <c r="AD91" s="69">
        <v>8.9700000000000006</v>
      </c>
      <c r="AE91" s="69">
        <v>1.6</v>
      </c>
      <c r="AF91" s="69" t="s">
        <v>61</v>
      </c>
      <c r="AG91" s="69" t="s">
        <v>61</v>
      </c>
      <c r="AH91" s="69" t="s">
        <v>61</v>
      </c>
      <c r="AI91" s="69" t="s">
        <v>59</v>
      </c>
      <c r="AJ91" s="69" t="s">
        <v>59</v>
      </c>
      <c r="AK91" s="69" t="s">
        <v>59</v>
      </c>
      <c r="AL91" s="69" t="s">
        <v>59</v>
      </c>
      <c r="AM91" s="69" t="s">
        <v>59</v>
      </c>
      <c r="AN91" s="69" t="s">
        <v>59</v>
      </c>
      <c r="AO91" s="69" t="s">
        <v>59</v>
      </c>
      <c r="AP91" s="69" t="s">
        <v>59</v>
      </c>
      <c r="AQ91" s="69" t="s">
        <v>59</v>
      </c>
      <c r="AR91" s="69" t="s">
        <v>59</v>
      </c>
      <c r="AS91" s="69">
        <v>0.22700000000000001</v>
      </c>
      <c r="AT91" s="69" t="s">
        <v>64</v>
      </c>
      <c r="AU91" s="69" t="s">
        <v>59</v>
      </c>
      <c r="AV91" s="69" t="s">
        <v>59</v>
      </c>
      <c r="AW91" s="69" t="s">
        <v>59</v>
      </c>
      <c r="AX91" s="69" t="s">
        <v>59</v>
      </c>
      <c r="AY91" s="215">
        <v>39</v>
      </c>
      <c r="AZ91" s="215">
        <v>38</v>
      </c>
      <c r="BA91" s="215" t="s">
        <v>59</v>
      </c>
      <c r="BB91" s="215" t="s">
        <v>59</v>
      </c>
      <c r="BC91" s="69">
        <v>8.51</v>
      </c>
      <c r="BD91" s="69">
        <v>1.85</v>
      </c>
      <c r="BE91" s="69" t="s">
        <v>61</v>
      </c>
      <c r="BF91" s="48">
        <v>0</v>
      </c>
      <c r="BG91" s="48">
        <v>1</v>
      </c>
      <c r="BH91" s="69" t="s">
        <v>61</v>
      </c>
      <c r="BI91" s="69" t="s">
        <v>61</v>
      </c>
      <c r="BJ91" s="69">
        <v>-0.93</v>
      </c>
      <c r="BK91" s="69">
        <v>0.13</v>
      </c>
      <c r="BL91" s="69" t="s">
        <v>61</v>
      </c>
      <c r="BM91" s="69" t="s">
        <v>61</v>
      </c>
      <c r="BN91" s="69" t="s">
        <v>61</v>
      </c>
      <c r="BO91" s="69" t="s">
        <v>119</v>
      </c>
      <c r="BP91" s="69">
        <v>7.96</v>
      </c>
      <c r="BQ91" s="69">
        <v>1.75</v>
      </c>
      <c r="BR91" s="69" t="s">
        <v>61</v>
      </c>
      <c r="BS91" s="26">
        <v>0</v>
      </c>
      <c r="BT91" s="26">
        <v>1</v>
      </c>
      <c r="BU91" s="69" t="s">
        <v>61</v>
      </c>
      <c r="BV91" s="69" t="s">
        <v>61</v>
      </c>
      <c r="BW91" s="69">
        <v>-1.01</v>
      </c>
      <c r="BX91" s="69">
        <v>0.01</v>
      </c>
      <c r="BY91" s="69" t="s">
        <v>61</v>
      </c>
      <c r="BZ91" s="69" t="s">
        <v>61</v>
      </c>
      <c r="CA91" s="69" t="s">
        <v>61</v>
      </c>
      <c r="CB91" s="69" t="s">
        <v>119</v>
      </c>
      <c r="CC91" s="69" t="s">
        <v>59</v>
      </c>
      <c r="CD91" s="69" t="s">
        <v>59</v>
      </c>
      <c r="CE91" s="69" t="s">
        <v>59</v>
      </c>
      <c r="CF91" s="69"/>
      <c r="CG91" s="69"/>
      <c r="CH91" s="69" t="s">
        <v>59</v>
      </c>
      <c r="CI91" s="69" t="s">
        <v>59</v>
      </c>
      <c r="CJ91" s="69" t="s">
        <v>59</v>
      </c>
      <c r="CK91" s="69" t="s">
        <v>59</v>
      </c>
      <c r="CL91" s="69" t="s">
        <v>59</v>
      </c>
      <c r="CM91" s="69" t="s">
        <v>59</v>
      </c>
      <c r="CN91" s="69" t="s">
        <v>59</v>
      </c>
      <c r="CO91" s="69" t="s">
        <v>59</v>
      </c>
      <c r="CP91" s="69" t="s">
        <v>59</v>
      </c>
      <c r="CQ91" s="69" t="s">
        <v>59</v>
      </c>
      <c r="CR91" s="69" t="s">
        <v>59</v>
      </c>
      <c r="CS91" s="69"/>
      <c r="CT91" s="69"/>
      <c r="CU91" s="69" t="s">
        <v>59</v>
      </c>
      <c r="CV91" s="69" t="s">
        <v>59</v>
      </c>
      <c r="CW91" s="69" t="s">
        <v>59</v>
      </c>
      <c r="CX91" s="69" t="s">
        <v>59</v>
      </c>
      <c r="CY91" s="69" t="s">
        <v>59</v>
      </c>
      <c r="CZ91" s="69" t="s">
        <v>59</v>
      </c>
      <c r="DA91" s="69" t="s">
        <v>59</v>
      </c>
      <c r="DB91" s="69" t="s">
        <v>59</v>
      </c>
      <c r="DC91" s="69">
        <v>6</v>
      </c>
      <c r="DD91" s="55"/>
      <c r="DE91" s="43"/>
      <c r="DF91" s="43"/>
      <c r="DG91" s="43"/>
      <c r="DH91" s="43"/>
      <c r="DI91" s="43"/>
      <c r="DJ91" s="43"/>
    </row>
    <row r="92" spans="1:114">
      <c r="A92" s="34" t="s">
        <v>160</v>
      </c>
      <c r="B92" s="34">
        <v>1471</v>
      </c>
      <c r="C92" s="34">
        <v>2</v>
      </c>
      <c r="D92" s="43">
        <v>1</v>
      </c>
      <c r="E92" s="26" t="s">
        <v>139</v>
      </c>
      <c r="F92" s="26" t="s">
        <v>59</v>
      </c>
      <c r="G92" s="48">
        <f t="shared" si="1"/>
        <v>188</v>
      </c>
      <c r="H92" s="26" t="s">
        <v>59</v>
      </c>
      <c r="I92" s="26" t="s">
        <v>60</v>
      </c>
      <c r="J92" s="26" t="s">
        <v>59</v>
      </c>
      <c r="K92" s="26" t="s">
        <v>59</v>
      </c>
      <c r="L92" s="26" t="s">
        <v>59</v>
      </c>
      <c r="M92" s="26" t="s">
        <v>59</v>
      </c>
      <c r="N92" s="26" t="s">
        <v>59</v>
      </c>
      <c r="O92" s="26" t="s">
        <v>59</v>
      </c>
      <c r="P92" s="26" t="s">
        <v>59</v>
      </c>
      <c r="Q92" s="26" t="s">
        <v>60</v>
      </c>
      <c r="R92" s="26" t="s">
        <v>60</v>
      </c>
      <c r="S92" s="26" t="s">
        <v>60</v>
      </c>
      <c r="T92" s="26" t="s">
        <v>60</v>
      </c>
      <c r="U92" s="27" t="s">
        <v>61</v>
      </c>
      <c r="V92" s="27" t="s">
        <v>61</v>
      </c>
      <c r="W92" s="26" t="s">
        <v>60</v>
      </c>
      <c r="X92" s="26" t="s">
        <v>60</v>
      </c>
      <c r="Y92" s="26" t="s">
        <v>61</v>
      </c>
      <c r="Z92" s="26" t="s">
        <v>61</v>
      </c>
      <c r="AA92" s="26" t="s">
        <v>61</v>
      </c>
      <c r="AB92" s="26" t="s">
        <v>61</v>
      </c>
      <c r="AC92" s="27" t="s">
        <v>61</v>
      </c>
      <c r="AD92" s="26" t="s">
        <v>61</v>
      </c>
      <c r="AE92" s="26" t="s">
        <v>61</v>
      </c>
      <c r="AF92" s="26" t="s">
        <v>61</v>
      </c>
      <c r="AG92" s="26" t="s">
        <v>61</v>
      </c>
      <c r="AH92" s="27" t="s">
        <v>61</v>
      </c>
      <c r="AI92" s="26" t="s">
        <v>60</v>
      </c>
      <c r="AJ92" s="26" t="s">
        <v>60</v>
      </c>
      <c r="AK92" s="26" t="s">
        <v>59</v>
      </c>
      <c r="AL92" s="26" t="s">
        <v>59</v>
      </c>
      <c r="AM92" s="26" t="s">
        <v>59</v>
      </c>
      <c r="AN92" s="26" t="s">
        <v>60</v>
      </c>
      <c r="AO92" s="26" t="s">
        <v>60</v>
      </c>
      <c r="AP92" s="26" t="s">
        <v>59</v>
      </c>
      <c r="AQ92" s="26" t="s">
        <v>59</v>
      </c>
      <c r="AR92" s="26" t="s">
        <v>59</v>
      </c>
      <c r="AS92" s="26" t="s">
        <v>61</v>
      </c>
      <c r="AT92" s="26" t="s">
        <v>64</v>
      </c>
      <c r="AU92" s="26" t="s">
        <v>59</v>
      </c>
      <c r="AV92" s="26" t="s">
        <v>59</v>
      </c>
      <c r="AW92" s="26" t="s">
        <v>59</v>
      </c>
      <c r="AX92" s="26" t="s">
        <v>59</v>
      </c>
      <c r="AY92" s="186">
        <v>94</v>
      </c>
      <c r="AZ92" s="186">
        <v>94</v>
      </c>
      <c r="BA92" s="186" t="s">
        <v>60</v>
      </c>
      <c r="BB92" s="186" t="s">
        <v>60</v>
      </c>
      <c r="BC92" s="26">
        <v>10.4</v>
      </c>
      <c r="BD92" s="26">
        <v>1.73</v>
      </c>
      <c r="BE92" s="26" t="s">
        <v>61</v>
      </c>
      <c r="BF92" s="48">
        <v>0</v>
      </c>
      <c r="BG92" s="48">
        <v>1</v>
      </c>
      <c r="BH92" s="27" t="s">
        <v>61</v>
      </c>
      <c r="BI92" s="27" t="s">
        <v>61</v>
      </c>
      <c r="BJ92" s="26" t="s">
        <v>61</v>
      </c>
      <c r="BK92" s="26" t="s">
        <v>61</v>
      </c>
      <c r="BL92" s="26" t="s">
        <v>61</v>
      </c>
      <c r="BM92" s="26" t="s">
        <v>61</v>
      </c>
      <c r="BN92" s="26" t="s">
        <v>61</v>
      </c>
      <c r="BO92" s="26" t="s">
        <v>61</v>
      </c>
      <c r="BP92" s="26">
        <v>9.5</v>
      </c>
      <c r="BQ92" s="26">
        <v>1.77</v>
      </c>
      <c r="BR92" s="26" t="s">
        <v>61</v>
      </c>
      <c r="BS92" s="26">
        <v>0</v>
      </c>
      <c r="BT92" s="26">
        <v>1</v>
      </c>
      <c r="BU92" s="27" t="s">
        <v>61</v>
      </c>
      <c r="BV92" s="27" t="s">
        <v>61</v>
      </c>
      <c r="BW92" s="26" t="s">
        <v>61</v>
      </c>
      <c r="BX92" s="26" t="s">
        <v>61</v>
      </c>
      <c r="BY92" s="27" t="s">
        <v>61</v>
      </c>
      <c r="BZ92" s="26" t="s">
        <v>61</v>
      </c>
      <c r="CA92" s="27" t="s">
        <v>61</v>
      </c>
      <c r="CB92" s="26" t="s">
        <v>61</v>
      </c>
      <c r="CC92" s="26" t="s">
        <v>60</v>
      </c>
      <c r="CD92" s="26" t="s">
        <v>60</v>
      </c>
      <c r="CE92" s="26" t="s">
        <v>59</v>
      </c>
      <c r="CF92" s="26"/>
      <c r="CG92" s="26"/>
      <c r="CH92" s="26" t="s">
        <v>59</v>
      </c>
      <c r="CI92" s="26" t="s">
        <v>59</v>
      </c>
      <c r="CJ92" s="26" t="s">
        <v>59</v>
      </c>
      <c r="CK92" s="26" t="s">
        <v>59</v>
      </c>
      <c r="CL92" s="26" t="s">
        <v>59</v>
      </c>
      <c r="CM92" s="26" t="s">
        <v>59</v>
      </c>
      <c r="CN92" s="26" t="s">
        <v>59</v>
      </c>
      <c r="CO92" s="26" t="s">
        <v>59</v>
      </c>
      <c r="CP92" s="26" t="s">
        <v>60</v>
      </c>
      <c r="CQ92" s="26" t="s">
        <v>60</v>
      </c>
      <c r="CR92" s="26" t="s">
        <v>59</v>
      </c>
      <c r="CS92" s="26"/>
      <c r="CT92" s="26"/>
      <c r="CU92" s="26" t="s">
        <v>59</v>
      </c>
      <c r="CV92" s="26" t="s">
        <v>59</v>
      </c>
      <c r="CW92" s="26" t="s">
        <v>59</v>
      </c>
      <c r="CX92" s="26" t="s">
        <v>59</v>
      </c>
      <c r="CY92" s="26" t="s">
        <v>59</v>
      </c>
      <c r="CZ92" s="26" t="s">
        <v>59</v>
      </c>
      <c r="DA92" s="26" t="s">
        <v>59</v>
      </c>
      <c r="DB92" s="26" t="s">
        <v>59</v>
      </c>
      <c r="DC92" s="26">
        <v>60</v>
      </c>
    </row>
    <row r="93" spans="1:114" ht="14">
      <c r="A93" s="49" t="s">
        <v>362</v>
      </c>
      <c r="B93" s="43">
        <v>10306</v>
      </c>
      <c r="C93" s="34">
        <v>2</v>
      </c>
      <c r="D93" s="43">
        <v>1</v>
      </c>
      <c r="E93" s="48" t="s">
        <v>139</v>
      </c>
      <c r="F93" s="26" t="s">
        <v>59</v>
      </c>
      <c r="G93" s="48">
        <f t="shared" si="1"/>
        <v>291</v>
      </c>
      <c r="H93" s="26" t="s">
        <v>59</v>
      </c>
      <c r="I93" s="26" t="s">
        <v>59</v>
      </c>
      <c r="J93" s="48" t="s">
        <v>59</v>
      </c>
      <c r="K93" s="26" t="s">
        <v>59</v>
      </c>
      <c r="L93" s="26" t="s">
        <v>59</v>
      </c>
      <c r="M93" s="26" t="s">
        <v>59</v>
      </c>
      <c r="N93" s="26" t="s">
        <v>59</v>
      </c>
      <c r="O93" s="26" t="s">
        <v>59</v>
      </c>
      <c r="P93" s="26" t="s">
        <v>59</v>
      </c>
      <c r="Q93" s="48" t="s">
        <v>59</v>
      </c>
      <c r="R93" s="48" t="s">
        <v>59</v>
      </c>
      <c r="S93" s="48" t="s">
        <v>59</v>
      </c>
      <c r="T93" s="48" t="s">
        <v>59</v>
      </c>
      <c r="U93" s="48">
        <v>146</v>
      </c>
      <c r="V93" s="48">
        <v>145</v>
      </c>
      <c r="W93" s="48" t="s">
        <v>59</v>
      </c>
      <c r="X93" s="48" t="s">
        <v>59</v>
      </c>
      <c r="Y93" s="69">
        <v>7.7</v>
      </c>
      <c r="Z93" s="69">
        <v>1.7</v>
      </c>
      <c r="AA93" s="69" t="s">
        <v>61</v>
      </c>
      <c r="AB93" s="69" t="s">
        <v>61</v>
      </c>
      <c r="AC93" s="69" t="s">
        <v>61</v>
      </c>
      <c r="AD93" s="69">
        <v>7.5</v>
      </c>
      <c r="AE93" s="69">
        <v>1.7</v>
      </c>
      <c r="AF93" s="69" t="s">
        <v>61</v>
      </c>
      <c r="AG93" s="69" t="s">
        <v>61</v>
      </c>
      <c r="AH93" s="69" t="s">
        <v>61</v>
      </c>
      <c r="AI93" s="69" t="s">
        <v>59</v>
      </c>
      <c r="AJ93" s="69" t="s">
        <v>59</v>
      </c>
      <c r="AK93" s="69" t="s">
        <v>59</v>
      </c>
      <c r="AL93" s="69" t="s">
        <v>59</v>
      </c>
      <c r="AM93" s="69" t="s">
        <v>59</v>
      </c>
      <c r="AN93" s="69" t="s">
        <v>59</v>
      </c>
      <c r="AO93" s="69" t="s">
        <v>59</v>
      </c>
      <c r="AP93" s="69" t="s">
        <v>59</v>
      </c>
      <c r="AQ93" s="69" t="s">
        <v>59</v>
      </c>
      <c r="AR93" s="69" t="s">
        <v>59</v>
      </c>
      <c r="AS93" s="69" t="s">
        <v>363</v>
      </c>
      <c r="AT93" s="69" t="s">
        <v>64</v>
      </c>
      <c r="AU93" s="69" t="s">
        <v>59</v>
      </c>
      <c r="AV93" s="69" t="s">
        <v>59</v>
      </c>
      <c r="AW93" s="69" t="s">
        <v>59</v>
      </c>
      <c r="AX93" s="69" t="s">
        <v>59</v>
      </c>
      <c r="AY93" s="215">
        <v>146</v>
      </c>
      <c r="AZ93" s="215">
        <v>145</v>
      </c>
      <c r="BA93" s="215" t="s">
        <v>59</v>
      </c>
      <c r="BB93" s="215" t="s">
        <v>59</v>
      </c>
      <c r="BC93" s="69">
        <v>7.7</v>
      </c>
      <c r="BD93" s="69">
        <v>1.7</v>
      </c>
      <c r="BE93" s="69" t="s">
        <v>61</v>
      </c>
      <c r="BF93" s="48">
        <v>0</v>
      </c>
      <c r="BG93" s="48">
        <v>1</v>
      </c>
      <c r="BH93" s="69" t="s">
        <v>61</v>
      </c>
      <c r="BI93" s="69" t="s">
        <v>61</v>
      </c>
      <c r="BJ93" s="69" t="s">
        <v>61</v>
      </c>
      <c r="BK93" s="69" t="s">
        <v>61</v>
      </c>
      <c r="BL93" s="69" t="s">
        <v>61</v>
      </c>
      <c r="BM93" s="69" t="s">
        <v>61</v>
      </c>
      <c r="BN93" s="69" t="s">
        <v>61</v>
      </c>
      <c r="BO93" s="69" t="s">
        <v>61</v>
      </c>
      <c r="BP93" s="69">
        <v>7.7</v>
      </c>
      <c r="BQ93" s="69">
        <v>1.8</v>
      </c>
      <c r="BR93" s="69" t="s">
        <v>61</v>
      </c>
      <c r="BS93" s="26">
        <v>0</v>
      </c>
      <c r="BT93" s="26">
        <v>1</v>
      </c>
      <c r="BU93" s="69" t="s">
        <v>61</v>
      </c>
      <c r="BV93" s="69" t="s">
        <v>61</v>
      </c>
      <c r="BW93" s="69" t="s">
        <v>61</v>
      </c>
      <c r="BX93" s="69" t="s">
        <v>61</v>
      </c>
      <c r="BY93" s="69" t="s">
        <v>61</v>
      </c>
      <c r="BZ93" s="69" t="s">
        <v>61</v>
      </c>
      <c r="CA93" s="69" t="s">
        <v>61</v>
      </c>
      <c r="CB93" s="69" t="s">
        <v>61</v>
      </c>
      <c r="CC93" s="69" t="s">
        <v>59</v>
      </c>
      <c r="CD93" s="69" t="s">
        <v>59</v>
      </c>
      <c r="CE93" s="69" t="s">
        <v>59</v>
      </c>
      <c r="CF93" s="69"/>
      <c r="CG93" s="69"/>
      <c r="CH93" s="69" t="s">
        <v>59</v>
      </c>
      <c r="CI93" s="69" t="s">
        <v>59</v>
      </c>
      <c r="CJ93" s="69" t="s">
        <v>59</v>
      </c>
      <c r="CK93" s="69" t="s">
        <v>59</v>
      </c>
      <c r="CL93" s="69" t="s">
        <v>59</v>
      </c>
      <c r="CM93" s="69" t="s">
        <v>59</v>
      </c>
      <c r="CN93" s="69" t="s">
        <v>59</v>
      </c>
      <c r="CO93" s="69" t="s">
        <v>59</v>
      </c>
      <c r="CP93" s="69" t="s">
        <v>59</v>
      </c>
      <c r="CQ93" s="69" t="s">
        <v>59</v>
      </c>
      <c r="CR93" s="69" t="s">
        <v>59</v>
      </c>
      <c r="CS93" s="69"/>
      <c r="CT93" s="69"/>
      <c r="CU93" s="69" t="s">
        <v>59</v>
      </c>
      <c r="CV93" s="69" t="s">
        <v>59</v>
      </c>
      <c r="CW93" s="69" t="s">
        <v>59</v>
      </c>
      <c r="CX93" s="69" t="s">
        <v>59</v>
      </c>
      <c r="CY93" s="69" t="s">
        <v>59</v>
      </c>
      <c r="CZ93" s="69" t="s">
        <v>59</v>
      </c>
      <c r="DA93" s="69" t="s">
        <v>59</v>
      </c>
      <c r="DB93" s="69" t="s">
        <v>59</v>
      </c>
      <c r="DC93" s="69">
        <v>12</v>
      </c>
      <c r="DD93" s="55"/>
      <c r="DE93" s="43"/>
      <c r="DF93" s="43"/>
      <c r="DG93" s="43"/>
      <c r="DH93" s="43"/>
      <c r="DI93" s="43"/>
      <c r="DJ93" s="43"/>
    </row>
    <row r="94" spans="1:114" ht="14">
      <c r="A94" s="49" t="s">
        <v>328</v>
      </c>
      <c r="B94" s="43">
        <v>9016</v>
      </c>
      <c r="C94" s="34">
        <v>2</v>
      </c>
      <c r="D94" s="43">
        <v>1</v>
      </c>
      <c r="E94" s="48" t="s">
        <v>139</v>
      </c>
      <c r="F94" s="26" t="s">
        <v>59</v>
      </c>
      <c r="G94" s="48">
        <f t="shared" si="1"/>
        <v>58</v>
      </c>
      <c r="H94" s="26" t="s">
        <v>59</v>
      </c>
      <c r="I94" s="26" t="s">
        <v>59</v>
      </c>
      <c r="J94" s="48" t="s">
        <v>59</v>
      </c>
      <c r="K94" s="26" t="s">
        <v>59</v>
      </c>
      <c r="L94" s="26" t="s">
        <v>59</v>
      </c>
      <c r="M94" s="26" t="s">
        <v>59</v>
      </c>
      <c r="N94" s="26" t="s">
        <v>59</v>
      </c>
      <c r="O94" s="26" t="s">
        <v>59</v>
      </c>
      <c r="P94" s="26" t="s">
        <v>59</v>
      </c>
      <c r="Q94" s="48" t="s">
        <v>59</v>
      </c>
      <c r="R94" s="48" t="s">
        <v>59</v>
      </c>
      <c r="S94" s="48" t="s">
        <v>59</v>
      </c>
      <c r="T94" s="48" t="s">
        <v>59</v>
      </c>
      <c r="U94" s="48">
        <v>32</v>
      </c>
      <c r="V94" s="48">
        <v>33</v>
      </c>
      <c r="W94" s="48" t="s">
        <v>59</v>
      </c>
      <c r="X94" s="48" t="s">
        <v>59</v>
      </c>
      <c r="Y94" s="69">
        <v>8.5</v>
      </c>
      <c r="Z94" s="69">
        <v>1.9</v>
      </c>
      <c r="AA94" s="69" t="s">
        <v>61</v>
      </c>
      <c r="AB94" s="69" t="s">
        <v>61</v>
      </c>
      <c r="AC94" s="69" t="s">
        <v>61</v>
      </c>
      <c r="AD94" s="69">
        <v>8.3000000000000007</v>
      </c>
      <c r="AE94" s="69">
        <v>1.6</v>
      </c>
      <c r="AF94" s="69" t="s">
        <v>61</v>
      </c>
      <c r="AG94" s="69" t="s">
        <v>61</v>
      </c>
      <c r="AH94" s="69" t="s">
        <v>61</v>
      </c>
      <c r="AI94" s="69" t="s">
        <v>59</v>
      </c>
      <c r="AJ94" s="69" t="s">
        <v>59</v>
      </c>
      <c r="AK94" s="69" t="s">
        <v>59</v>
      </c>
      <c r="AL94" s="69" t="s">
        <v>59</v>
      </c>
      <c r="AM94" s="69" t="s">
        <v>59</v>
      </c>
      <c r="AN94" s="69" t="s">
        <v>59</v>
      </c>
      <c r="AO94" s="69" t="s">
        <v>59</v>
      </c>
      <c r="AP94" s="69" t="s">
        <v>59</v>
      </c>
      <c r="AQ94" s="69" t="s">
        <v>59</v>
      </c>
      <c r="AR94" s="69" t="s">
        <v>59</v>
      </c>
      <c r="AS94" s="69" t="s">
        <v>61</v>
      </c>
      <c r="AT94" s="69" t="s">
        <v>64</v>
      </c>
      <c r="AU94" s="69" t="s">
        <v>59</v>
      </c>
      <c r="AV94" s="69" t="s">
        <v>59</v>
      </c>
      <c r="AW94" s="69" t="s">
        <v>59</v>
      </c>
      <c r="AX94" s="69" t="s">
        <v>59</v>
      </c>
      <c r="AY94" s="215">
        <v>28</v>
      </c>
      <c r="AZ94" s="215">
        <v>30</v>
      </c>
      <c r="BA94" s="215" t="s">
        <v>59</v>
      </c>
      <c r="BB94" s="215" t="s">
        <v>59</v>
      </c>
      <c r="BC94" s="69">
        <v>7.9</v>
      </c>
      <c r="BD94" s="69">
        <v>1.7</v>
      </c>
      <c r="BE94" s="69" t="s">
        <v>61</v>
      </c>
      <c r="BF94" s="48">
        <v>0</v>
      </c>
      <c r="BG94" s="48">
        <v>1</v>
      </c>
      <c r="BH94" s="69" t="s">
        <v>61</v>
      </c>
      <c r="BI94" s="69" t="s">
        <v>61</v>
      </c>
      <c r="BJ94" s="69" t="s">
        <v>61</v>
      </c>
      <c r="BK94" s="69" t="s">
        <v>61</v>
      </c>
      <c r="BL94" s="69" t="s">
        <v>61</v>
      </c>
      <c r="BM94" s="69" t="s">
        <v>61</v>
      </c>
      <c r="BN94" s="69" t="s">
        <v>61</v>
      </c>
      <c r="BO94" s="69" t="s">
        <v>61</v>
      </c>
      <c r="BP94" s="69">
        <v>8</v>
      </c>
      <c r="BQ94" s="69">
        <v>1.9</v>
      </c>
      <c r="BR94" s="69" t="s">
        <v>61</v>
      </c>
      <c r="BS94" s="26">
        <v>0</v>
      </c>
      <c r="BT94" s="26">
        <v>1</v>
      </c>
      <c r="BU94" s="69" t="s">
        <v>61</v>
      </c>
      <c r="BV94" s="69" t="s">
        <v>61</v>
      </c>
      <c r="BW94" s="69" t="s">
        <v>61</v>
      </c>
      <c r="BX94" s="69" t="s">
        <v>61</v>
      </c>
      <c r="BY94" s="69" t="s">
        <v>61</v>
      </c>
      <c r="BZ94" s="69" t="s">
        <v>61</v>
      </c>
      <c r="CA94" s="69" t="s">
        <v>61</v>
      </c>
      <c r="CB94" s="69" t="s">
        <v>61</v>
      </c>
      <c r="CC94" s="69" t="s">
        <v>59</v>
      </c>
      <c r="CD94" s="69" t="s">
        <v>59</v>
      </c>
      <c r="CE94" s="69" t="s">
        <v>59</v>
      </c>
      <c r="CF94" s="69"/>
      <c r="CG94" s="69"/>
      <c r="CH94" s="69" t="s">
        <v>59</v>
      </c>
      <c r="CI94" s="69" t="s">
        <v>59</v>
      </c>
      <c r="CJ94" s="69" t="s">
        <v>59</v>
      </c>
      <c r="CK94" s="69" t="s">
        <v>59</v>
      </c>
      <c r="CL94" s="69" t="s">
        <v>59</v>
      </c>
      <c r="CM94" s="69" t="s">
        <v>59</v>
      </c>
      <c r="CN94" s="69" t="s">
        <v>59</v>
      </c>
      <c r="CO94" s="69" t="s">
        <v>59</v>
      </c>
      <c r="CP94" s="69" t="s">
        <v>59</v>
      </c>
      <c r="CQ94" s="69" t="s">
        <v>59</v>
      </c>
      <c r="CR94" s="69" t="s">
        <v>59</v>
      </c>
      <c r="CS94" s="69"/>
      <c r="CT94" s="69"/>
      <c r="CU94" s="69" t="s">
        <v>59</v>
      </c>
      <c r="CV94" s="69" t="s">
        <v>59</v>
      </c>
      <c r="CW94" s="69" t="s">
        <v>59</v>
      </c>
      <c r="CX94" s="69" t="s">
        <v>59</v>
      </c>
      <c r="CY94" s="69" t="s">
        <v>59</v>
      </c>
      <c r="CZ94" s="69" t="s">
        <v>59</v>
      </c>
      <c r="DA94" s="69" t="s">
        <v>59</v>
      </c>
      <c r="DB94" s="69" t="s">
        <v>59</v>
      </c>
      <c r="DC94" s="69">
        <v>12</v>
      </c>
      <c r="DD94" s="55"/>
      <c r="DE94" s="43"/>
      <c r="DF94" s="43"/>
      <c r="DG94" s="43"/>
      <c r="DH94" s="43"/>
      <c r="DI94" s="43"/>
      <c r="DJ94" s="43"/>
    </row>
    <row r="95" spans="1:114">
      <c r="A95" s="34" t="s">
        <v>171</v>
      </c>
      <c r="B95" s="34">
        <v>2707</v>
      </c>
      <c r="C95" s="34">
        <v>2</v>
      </c>
      <c r="D95" s="43">
        <v>1</v>
      </c>
      <c r="E95" s="26" t="s">
        <v>139</v>
      </c>
      <c r="F95" s="26" t="s">
        <v>59</v>
      </c>
      <c r="G95" s="48">
        <f t="shared" si="1"/>
        <v>248</v>
      </c>
      <c r="H95" s="26" t="s">
        <v>59</v>
      </c>
      <c r="I95" s="26" t="s">
        <v>60</v>
      </c>
      <c r="J95" s="26" t="s">
        <v>59</v>
      </c>
      <c r="K95" s="26" t="s">
        <v>59</v>
      </c>
      <c r="L95" s="26" t="s">
        <v>59</v>
      </c>
      <c r="M95" s="26" t="s">
        <v>59</v>
      </c>
      <c r="N95" s="26" t="s">
        <v>59</v>
      </c>
      <c r="O95" s="26" t="s">
        <v>59</v>
      </c>
      <c r="P95" s="26" t="s">
        <v>59</v>
      </c>
      <c r="Q95" s="26" t="s">
        <v>60</v>
      </c>
      <c r="R95" s="26" t="s">
        <v>60</v>
      </c>
      <c r="S95" s="26" t="s">
        <v>60</v>
      </c>
      <c r="T95" s="26" t="s">
        <v>60</v>
      </c>
      <c r="U95" s="26">
        <v>124</v>
      </c>
      <c r="V95" s="26">
        <v>124</v>
      </c>
      <c r="W95" s="26" t="s">
        <v>60</v>
      </c>
      <c r="X95" s="26" t="s">
        <v>60</v>
      </c>
      <c r="Y95" s="26">
        <v>8.6</v>
      </c>
      <c r="Z95" s="26">
        <v>1.8</v>
      </c>
      <c r="AA95" s="26" t="s">
        <v>61</v>
      </c>
      <c r="AB95" s="26" t="s">
        <v>61</v>
      </c>
      <c r="AC95" s="27" t="s">
        <v>61</v>
      </c>
      <c r="AD95" s="26">
        <v>8.8000000000000007</v>
      </c>
      <c r="AE95" s="26">
        <v>1.8</v>
      </c>
      <c r="AF95" s="26" t="s">
        <v>61</v>
      </c>
      <c r="AG95" s="26" t="s">
        <v>61</v>
      </c>
      <c r="AH95" s="27" t="s">
        <v>61</v>
      </c>
      <c r="AI95" s="26" t="s">
        <v>60</v>
      </c>
      <c r="AJ95" s="26" t="s">
        <v>60</v>
      </c>
      <c r="AK95" s="26" t="s">
        <v>59</v>
      </c>
      <c r="AL95" s="26" t="s">
        <v>59</v>
      </c>
      <c r="AM95" s="26" t="s">
        <v>59</v>
      </c>
      <c r="AN95" s="26" t="s">
        <v>60</v>
      </c>
      <c r="AO95" s="26" t="s">
        <v>60</v>
      </c>
      <c r="AP95" s="26" t="s">
        <v>59</v>
      </c>
      <c r="AQ95" s="26" t="s">
        <v>59</v>
      </c>
      <c r="AR95" s="26" t="s">
        <v>59</v>
      </c>
      <c r="AS95" s="26">
        <v>0.3</v>
      </c>
      <c r="AT95" s="26" t="s">
        <v>64</v>
      </c>
      <c r="AU95" s="26" t="s">
        <v>59</v>
      </c>
      <c r="AV95" s="26" t="s">
        <v>59</v>
      </c>
      <c r="AW95" s="26" t="s">
        <v>59</v>
      </c>
      <c r="AX95" s="26" t="s">
        <v>59</v>
      </c>
      <c r="AY95" s="186">
        <v>124</v>
      </c>
      <c r="AZ95" s="186">
        <v>124</v>
      </c>
      <c r="BA95" s="186" t="s">
        <v>60</v>
      </c>
      <c r="BB95" s="186" t="s">
        <v>60</v>
      </c>
      <c r="BC95" s="26">
        <v>8.3000000000000007</v>
      </c>
      <c r="BD95" s="26">
        <v>1.9</v>
      </c>
      <c r="BE95" s="26" t="s">
        <v>61</v>
      </c>
      <c r="BF95" s="26">
        <v>0</v>
      </c>
      <c r="BG95" s="48">
        <v>1</v>
      </c>
      <c r="BH95" s="27" t="s">
        <v>61</v>
      </c>
      <c r="BI95" s="27" t="s">
        <v>61</v>
      </c>
      <c r="BJ95" s="26" t="s">
        <v>61</v>
      </c>
      <c r="BK95" s="26" t="s">
        <v>61</v>
      </c>
      <c r="BL95" s="26" t="s">
        <v>61</v>
      </c>
      <c r="BM95" s="26" t="s">
        <v>61</v>
      </c>
      <c r="BN95" s="26" t="s">
        <v>61</v>
      </c>
      <c r="BO95" s="26" t="s">
        <v>61</v>
      </c>
      <c r="BP95" s="26">
        <v>8.1999999999999993</v>
      </c>
      <c r="BQ95" s="26">
        <v>1.9</v>
      </c>
      <c r="BR95" s="26" t="s">
        <v>61</v>
      </c>
      <c r="BS95" s="26">
        <v>0</v>
      </c>
      <c r="BT95" s="26">
        <v>1</v>
      </c>
      <c r="BU95" s="27" t="s">
        <v>61</v>
      </c>
      <c r="BV95" s="27" t="s">
        <v>61</v>
      </c>
      <c r="BW95" s="26" t="s">
        <v>61</v>
      </c>
      <c r="BX95" s="26" t="s">
        <v>61</v>
      </c>
      <c r="BY95" s="27" t="s">
        <v>61</v>
      </c>
      <c r="BZ95" s="26" t="s">
        <v>61</v>
      </c>
      <c r="CA95" s="27" t="s">
        <v>61</v>
      </c>
      <c r="CB95" s="26" t="s">
        <v>61</v>
      </c>
      <c r="CC95" s="26" t="s">
        <v>60</v>
      </c>
      <c r="CD95" s="26" t="s">
        <v>60</v>
      </c>
      <c r="CE95" s="26" t="s">
        <v>59</v>
      </c>
      <c r="CF95" s="26"/>
      <c r="CG95" s="26"/>
      <c r="CH95" s="26" t="s">
        <v>59</v>
      </c>
      <c r="CI95" s="26" t="s">
        <v>59</v>
      </c>
      <c r="CJ95" s="26" t="s">
        <v>59</v>
      </c>
      <c r="CK95" s="26" t="s">
        <v>59</v>
      </c>
      <c r="CL95" s="26" t="s">
        <v>59</v>
      </c>
      <c r="CM95" s="26" t="s">
        <v>59</v>
      </c>
      <c r="CN95" s="26" t="s">
        <v>59</v>
      </c>
      <c r="CO95" s="26" t="s">
        <v>59</v>
      </c>
      <c r="CP95" s="26" t="s">
        <v>60</v>
      </c>
      <c r="CQ95" s="26" t="s">
        <v>60</v>
      </c>
      <c r="CR95" s="26" t="s">
        <v>59</v>
      </c>
      <c r="CS95" s="26"/>
      <c r="CT95" s="26"/>
      <c r="CU95" s="26" t="s">
        <v>59</v>
      </c>
      <c r="CV95" s="26" t="s">
        <v>59</v>
      </c>
      <c r="CW95" s="26" t="s">
        <v>59</v>
      </c>
      <c r="CX95" s="26" t="s">
        <v>59</v>
      </c>
      <c r="CY95" s="26" t="s">
        <v>59</v>
      </c>
      <c r="CZ95" s="26" t="s">
        <v>59</v>
      </c>
      <c r="DA95" s="26" t="s">
        <v>59</v>
      </c>
      <c r="DB95" s="26" t="s">
        <v>59</v>
      </c>
      <c r="DC95" s="26">
        <v>12</v>
      </c>
      <c r="DD95" s="29" t="s">
        <v>172</v>
      </c>
    </row>
    <row r="96" spans="1:114">
      <c r="A96" s="34" t="s">
        <v>176</v>
      </c>
      <c r="B96" s="34">
        <v>2925</v>
      </c>
      <c r="C96" s="34">
        <v>2</v>
      </c>
      <c r="D96" s="43">
        <v>1</v>
      </c>
      <c r="E96" s="26" t="s">
        <v>139</v>
      </c>
      <c r="F96" s="26" t="s">
        <v>59</v>
      </c>
      <c r="G96" s="48">
        <f t="shared" si="1"/>
        <v>126</v>
      </c>
      <c r="H96" s="26" t="s">
        <v>59</v>
      </c>
      <c r="I96" s="26" t="s">
        <v>60</v>
      </c>
      <c r="J96" s="26" t="s">
        <v>59</v>
      </c>
      <c r="K96" s="26" t="s">
        <v>59</v>
      </c>
      <c r="L96" s="26" t="s">
        <v>59</v>
      </c>
      <c r="M96" s="26" t="s">
        <v>59</v>
      </c>
      <c r="N96" s="26" t="s">
        <v>59</v>
      </c>
      <c r="O96" s="26" t="s">
        <v>59</v>
      </c>
      <c r="P96" s="26" t="s">
        <v>59</v>
      </c>
      <c r="Q96" s="26" t="s">
        <v>60</v>
      </c>
      <c r="R96" s="26" t="s">
        <v>60</v>
      </c>
      <c r="S96" s="26" t="s">
        <v>60</v>
      </c>
      <c r="T96" s="26" t="s">
        <v>60</v>
      </c>
      <c r="U96" s="26">
        <v>88</v>
      </c>
      <c r="V96" s="26">
        <v>97</v>
      </c>
      <c r="W96" s="26" t="s">
        <v>60</v>
      </c>
      <c r="X96" s="26" t="s">
        <v>60</v>
      </c>
      <c r="Y96" s="26">
        <v>9.6</v>
      </c>
      <c r="Z96" s="26">
        <v>1.5</v>
      </c>
      <c r="AA96" s="26" t="s">
        <v>61</v>
      </c>
      <c r="AB96" s="26" t="s">
        <v>61</v>
      </c>
      <c r="AC96" s="27" t="s">
        <v>61</v>
      </c>
      <c r="AD96" s="26">
        <v>9.6999999999999993</v>
      </c>
      <c r="AE96" s="26">
        <v>1.8</v>
      </c>
      <c r="AF96" s="26" t="s">
        <v>61</v>
      </c>
      <c r="AG96" s="26" t="s">
        <v>61</v>
      </c>
      <c r="AH96" s="27" t="s">
        <v>61</v>
      </c>
      <c r="AI96" s="26" t="s">
        <v>59</v>
      </c>
      <c r="AJ96" s="26" t="s">
        <v>60</v>
      </c>
      <c r="AK96" s="26" t="s">
        <v>59</v>
      </c>
      <c r="AL96" s="26" t="s">
        <v>59</v>
      </c>
      <c r="AM96" s="26" t="s">
        <v>59</v>
      </c>
      <c r="AN96" s="26" t="s">
        <v>60</v>
      </c>
      <c r="AO96" s="26" t="s">
        <v>60</v>
      </c>
      <c r="AP96" s="26" t="s">
        <v>59</v>
      </c>
      <c r="AQ96" s="26" t="s">
        <v>59</v>
      </c>
      <c r="AR96" s="26" t="s">
        <v>59</v>
      </c>
      <c r="AS96" s="26">
        <v>0.73</v>
      </c>
      <c r="AT96" s="26" t="s">
        <v>64</v>
      </c>
      <c r="AU96" s="26" t="s">
        <v>59</v>
      </c>
      <c r="AV96" s="26" t="s">
        <v>59</v>
      </c>
      <c r="AW96" s="26" t="s">
        <v>59</v>
      </c>
      <c r="AX96" s="26" t="s">
        <v>59</v>
      </c>
      <c r="AY96" s="186">
        <v>61</v>
      </c>
      <c r="AZ96" s="186">
        <v>65</v>
      </c>
      <c r="BA96" s="186" t="s">
        <v>60</v>
      </c>
      <c r="BB96" s="186" t="s">
        <v>60</v>
      </c>
      <c r="BC96" s="26">
        <v>8.4</v>
      </c>
      <c r="BD96" s="26">
        <v>1.9</v>
      </c>
      <c r="BE96" s="26" t="s">
        <v>61</v>
      </c>
      <c r="BF96" s="48">
        <v>0</v>
      </c>
      <c r="BG96" s="48">
        <v>1</v>
      </c>
      <c r="BH96" s="27" t="s">
        <v>61</v>
      </c>
      <c r="BI96" s="27" t="s">
        <v>61</v>
      </c>
      <c r="BJ96" s="26" t="s">
        <v>61</v>
      </c>
      <c r="BK96" s="26" t="s">
        <v>61</v>
      </c>
      <c r="BL96" s="26" t="s">
        <v>61</v>
      </c>
      <c r="BM96" s="26" t="s">
        <v>61</v>
      </c>
      <c r="BN96" s="26" t="s">
        <v>61</v>
      </c>
      <c r="BO96" s="26" t="s">
        <v>61</v>
      </c>
      <c r="BP96" s="26">
        <v>8.5</v>
      </c>
      <c r="BQ96" s="26">
        <v>1.9</v>
      </c>
      <c r="BR96" s="26" t="s">
        <v>61</v>
      </c>
      <c r="BS96" s="26">
        <v>0</v>
      </c>
      <c r="BT96" s="26">
        <v>1</v>
      </c>
      <c r="BU96" s="27" t="s">
        <v>61</v>
      </c>
      <c r="BV96" s="27" t="s">
        <v>61</v>
      </c>
      <c r="BW96" s="26" t="s">
        <v>61</v>
      </c>
      <c r="BX96" s="26" t="s">
        <v>61</v>
      </c>
      <c r="BY96" s="27" t="s">
        <v>61</v>
      </c>
      <c r="BZ96" s="26" t="s">
        <v>61</v>
      </c>
      <c r="CA96" s="27" t="s">
        <v>61</v>
      </c>
      <c r="CB96" s="26" t="s">
        <v>61</v>
      </c>
      <c r="CC96" s="26" t="s">
        <v>60</v>
      </c>
      <c r="CD96" s="26" t="s">
        <v>60</v>
      </c>
      <c r="CE96" s="26" t="s">
        <v>59</v>
      </c>
      <c r="CF96" s="26"/>
      <c r="CG96" s="26"/>
      <c r="CH96" s="26" t="s">
        <v>59</v>
      </c>
      <c r="CI96" s="26" t="s">
        <v>59</v>
      </c>
      <c r="CJ96" s="26" t="s">
        <v>59</v>
      </c>
      <c r="CK96" s="26" t="s">
        <v>59</v>
      </c>
      <c r="CL96" s="26" t="s">
        <v>59</v>
      </c>
      <c r="CM96" s="26" t="s">
        <v>59</v>
      </c>
      <c r="CN96" s="26" t="s">
        <v>59</v>
      </c>
      <c r="CO96" s="26" t="s">
        <v>59</v>
      </c>
      <c r="CP96" s="26" t="s">
        <v>60</v>
      </c>
      <c r="CQ96" s="26" t="s">
        <v>60</v>
      </c>
      <c r="CR96" s="26" t="s">
        <v>59</v>
      </c>
      <c r="CS96" s="26"/>
      <c r="CT96" s="26"/>
      <c r="CU96" s="26" t="s">
        <v>59</v>
      </c>
      <c r="CV96" s="26" t="s">
        <v>59</v>
      </c>
      <c r="CW96" s="26" t="s">
        <v>59</v>
      </c>
      <c r="CX96" s="26" t="s">
        <v>59</v>
      </c>
      <c r="CY96" s="26" t="s">
        <v>59</v>
      </c>
      <c r="CZ96" s="26" t="s">
        <v>59</v>
      </c>
      <c r="DA96" s="26" t="s">
        <v>59</v>
      </c>
      <c r="DB96" s="26" t="s">
        <v>59</v>
      </c>
      <c r="DC96" s="26">
        <v>12</v>
      </c>
    </row>
    <row r="97" spans="1:114" ht="14">
      <c r="A97" s="49" t="s">
        <v>336</v>
      </c>
      <c r="B97" s="43">
        <v>9190</v>
      </c>
      <c r="C97" s="34">
        <v>2</v>
      </c>
      <c r="D97" s="43">
        <v>1</v>
      </c>
      <c r="E97" s="48" t="s">
        <v>139</v>
      </c>
      <c r="F97" s="26" t="s">
        <v>59</v>
      </c>
      <c r="G97" s="48">
        <f t="shared" si="1"/>
        <v>281</v>
      </c>
      <c r="H97" s="26" t="s">
        <v>59</v>
      </c>
      <c r="I97" s="26" t="s">
        <v>59</v>
      </c>
      <c r="J97" s="48" t="s">
        <v>59</v>
      </c>
      <c r="K97" s="26" t="s">
        <v>59</v>
      </c>
      <c r="L97" s="26" t="s">
        <v>59</v>
      </c>
      <c r="M97" s="26" t="s">
        <v>59</v>
      </c>
      <c r="N97" s="26" t="s">
        <v>59</v>
      </c>
      <c r="O97" s="26" t="s">
        <v>59</v>
      </c>
      <c r="P97" s="26" t="s">
        <v>59</v>
      </c>
      <c r="Q97" s="48" t="s">
        <v>59</v>
      </c>
      <c r="R97" s="48" t="s">
        <v>59</v>
      </c>
      <c r="S97" s="48" t="s">
        <v>59</v>
      </c>
      <c r="T97" s="48" t="s">
        <v>59</v>
      </c>
      <c r="U97" s="48">
        <v>194</v>
      </c>
      <c r="V97" s="48">
        <v>193</v>
      </c>
      <c r="W97" s="48" t="s">
        <v>59</v>
      </c>
      <c r="X97" s="48" t="s">
        <v>59</v>
      </c>
      <c r="Y97" s="69">
        <v>9.0500000000000007</v>
      </c>
      <c r="Z97" s="69">
        <v>2.2200000000000002</v>
      </c>
      <c r="AA97" s="69" t="s">
        <v>61</v>
      </c>
      <c r="AB97" s="69" t="s">
        <v>61</v>
      </c>
      <c r="AC97" s="69" t="s">
        <v>61</v>
      </c>
      <c r="AD97" s="69">
        <v>9.01</v>
      </c>
      <c r="AE97" s="69">
        <v>2.15</v>
      </c>
      <c r="AF97" s="69" t="s">
        <v>61</v>
      </c>
      <c r="AG97" s="69" t="s">
        <v>61</v>
      </c>
      <c r="AH97" s="69" t="s">
        <v>61</v>
      </c>
      <c r="AI97" s="69" t="s">
        <v>59</v>
      </c>
      <c r="AJ97" s="69" t="s">
        <v>59</v>
      </c>
      <c r="AK97" s="69" t="s">
        <v>59</v>
      </c>
      <c r="AL97" s="69" t="s">
        <v>59</v>
      </c>
      <c r="AM97" s="69" t="s">
        <v>59</v>
      </c>
      <c r="AN97" s="69" t="s">
        <v>59</v>
      </c>
      <c r="AO97" s="69" t="s">
        <v>59</v>
      </c>
      <c r="AP97" s="69" t="s">
        <v>59</v>
      </c>
      <c r="AQ97" s="69" t="s">
        <v>59</v>
      </c>
      <c r="AR97" s="69" t="s">
        <v>59</v>
      </c>
      <c r="AS97" s="69">
        <v>0.98</v>
      </c>
      <c r="AT97" s="69" t="s">
        <v>64</v>
      </c>
      <c r="AU97" s="69" t="s">
        <v>59</v>
      </c>
      <c r="AV97" s="69" t="s">
        <v>59</v>
      </c>
      <c r="AW97" s="69" t="s">
        <v>59</v>
      </c>
      <c r="AX97" s="69" t="s">
        <v>59</v>
      </c>
      <c r="AY97" s="215">
        <v>137</v>
      </c>
      <c r="AZ97" s="215">
        <v>144</v>
      </c>
      <c r="BA97" s="215" t="s">
        <v>59</v>
      </c>
      <c r="BB97" s="215" t="s">
        <v>59</v>
      </c>
      <c r="BC97" s="69">
        <v>8.5</v>
      </c>
      <c r="BD97" s="69">
        <v>2.17</v>
      </c>
      <c r="BE97" s="69" t="s">
        <v>61</v>
      </c>
      <c r="BF97" s="48">
        <v>0</v>
      </c>
      <c r="BG97" s="48">
        <v>1</v>
      </c>
      <c r="BH97" s="69" t="s">
        <v>61</v>
      </c>
      <c r="BI97" s="69" t="s">
        <v>61</v>
      </c>
      <c r="BJ97" s="69" t="s">
        <v>61</v>
      </c>
      <c r="BK97" s="69" t="s">
        <v>61</v>
      </c>
      <c r="BL97" s="69" t="s">
        <v>61</v>
      </c>
      <c r="BM97" s="69" t="s">
        <v>61</v>
      </c>
      <c r="BN97" s="69" t="s">
        <v>61</v>
      </c>
      <c r="BO97" s="69" t="s">
        <v>61</v>
      </c>
      <c r="BP97" s="69">
        <v>8.34</v>
      </c>
      <c r="BQ97" s="69">
        <v>2.04</v>
      </c>
      <c r="BR97" s="69" t="s">
        <v>61</v>
      </c>
      <c r="BS97" s="26">
        <v>0</v>
      </c>
      <c r="BT97" s="26">
        <v>1</v>
      </c>
      <c r="BU97" s="69" t="s">
        <v>61</v>
      </c>
      <c r="BV97" s="69" t="s">
        <v>61</v>
      </c>
      <c r="BW97" s="69" t="s">
        <v>61</v>
      </c>
      <c r="BX97" s="69" t="s">
        <v>61</v>
      </c>
      <c r="BY97" s="69" t="s">
        <v>61</v>
      </c>
      <c r="BZ97" s="69" t="s">
        <v>61</v>
      </c>
      <c r="CA97" s="69" t="s">
        <v>61</v>
      </c>
      <c r="CB97" s="69" t="s">
        <v>61</v>
      </c>
      <c r="CC97" s="69" t="s">
        <v>59</v>
      </c>
      <c r="CD97" s="69" t="s">
        <v>59</v>
      </c>
      <c r="CE97" s="69" t="s">
        <v>59</v>
      </c>
      <c r="CF97" s="69"/>
      <c r="CG97" s="69"/>
      <c r="CH97" s="69" t="s">
        <v>59</v>
      </c>
      <c r="CI97" s="69" t="s">
        <v>59</v>
      </c>
      <c r="CJ97" s="69" t="s">
        <v>59</v>
      </c>
      <c r="CK97" s="69" t="s">
        <v>59</v>
      </c>
      <c r="CL97" s="69" t="s">
        <v>59</v>
      </c>
      <c r="CM97" s="69" t="s">
        <v>59</v>
      </c>
      <c r="CN97" s="69" t="s">
        <v>59</v>
      </c>
      <c r="CO97" s="69" t="s">
        <v>59</v>
      </c>
      <c r="CP97" s="69" t="s">
        <v>59</v>
      </c>
      <c r="CQ97" s="69" t="s">
        <v>59</v>
      </c>
      <c r="CR97" s="69" t="s">
        <v>59</v>
      </c>
      <c r="CS97" s="69"/>
      <c r="CT97" s="69"/>
      <c r="CU97" s="69" t="s">
        <v>59</v>
      </c>
      <c r="CV97" s="69" t="s">
        <v>59</v>
      </c>
      <c r="CW97" s="69" t="s">
        <v>59</v>
      </c>
      <c r="CX97" s="69" t="s">
        <v>59</v>
      </c>
      <c r="CY97" s="69" t="s">
        <v>59</v>
      </c>
      <c r="CZ97" s="69" t="s">
        <v>59</v>
      </c>
      <c r="DA97" s="69" t="s">
        <v>59</v>
      </c>
      <c r="DB97" s="69" t="s">
        <v>59</v>
      </c>
      <c r="DC97" s="69">
        <v>18</v>
      </c>
      <c r="DD97" s="55"/>
      <c r="DE97" s="43"/>
      <c r="DF97" s="43"/>
      <c r="DG97" s="43"/>
      <c r="DH97" s="43"/>
      <c r="DI97" s="43"/>
      <c r="DJ97" s="43"/>
    </row>
    <row r="98" spans="1:114">
      <c r="A98" s="34" t="s">
        <v>242</v>
      </c>
      <c r="B98" s="22">
        <v>6605</v>
      </c>
      <c r="C98" s="34">
        <v>2</v>
      </c>
      <c r="D98" s="43">
        <v>1</v>
      </c>
      <c r="E98" s="26" t="s">
        <v>139</v>
      </c>
      <c r="F98" s="26" t="s">
        <v>59</v>
      </c>
      <c r="G98" s="48">
        <f t="shared" si="1"/>
        <v>95</v>
      </c>
      <c r="H98" s="26" t="s">
        <v>59</v>
      </c>
      <c r="I98" s="26" t="s">
        <v>59</v>
      </c>
      <c r="J98" s="26" t="s">
        <v>59</v>
      </c>
      <c r="K98" s="26" t="s">
        <v>59</v>
      </c>
      <c r="L98" s="26" t="s">
        <v>59</v>
      </c>
      <c r="M98" s="26" t="s">
        <v>59</v>
      </c>
      <c r="N98" s="26" t="s">
        <v>59</v>
      </c>
      <c r="O98" s="26" t="s">
        <v>59</v>
      </c>
      <c r="P98" s="26" t="s">
        <v>59</v>
      </c>
      <c r="Q98" s="26" t="s">
        <v>59</v>
      </c>
      <c r="R98" s="26" t="s">
        <v>59</v>
      </c>
      <c r="S98" s="26" t="s">
        <v>60</v>
      </c>
      <c r="T98" s="26" t="s">
        <v>60</v>
      </c>
      <c r="U98" s="26">
        <v>49</v>
      </c>
      <c r="V98" s="26">
        <v>50</v>
      </c>
      <c r="W98" s="26" t="s">
        <v>60</v>
      </c>
      <c r="X98" s="26" t="s">
        <v>60</v>
      </c>
      <c r="Y98" s="26">
        <v>7.7</v>
      </c>
      <c r="Z98" s="26">
        <v>1.8</v>
      </c>
      <c r="AA98" s="26" t="s">
        <v>61</v>
      </c>
      <c r="AB98" s="26" t="s">
        <v>61</v>
      </c>
      <c r="AC98" s="26" t="s">
        <v>61</v>
      </c>
      <c r="AD98" s="26">
        <v>7.9</v>
      </c>
      <c r="AE98" s="26">
        <v>1.9</v>
      </c>
      <c r="AF98" s="26" t="s">
        <v>61</v>
      </c>
      <c r="AG98" s="26" t="s">
        <v>61</v>
      </c>
      <c r="AH98" s="26" t="s">
        <v>61</v>
      </c>
      <c r="AI98" s="26" t="s">
        <v>60</v>
      </c>
      <c r="AJ98" s="26" t="s">
        <v>60</v>
      </c>
      <c r="AK98" s="26" t="s">
        <v>59</v>
      </c>
      <c r="AL98" s="26" t="s">
        <v>59</v>
      </c>
      <c r="AM98" s="26" t="s">
        <v>59</v>
      </c>
      <c r="AN98" s="26" t="s">
        <v>60</v>
      </c>
      <c r="AO98" s="26" t="s">
        <v>60</v>
      </c>
      <c r="AP98" s="26" t="s">
        <v>59</v>
      </c>
      <c r="AQ98" s="26" t="s">
        <v>59</v>
      </c>
      <c r="AR98" s="26" t="s">
        <v>59</v>
      </c>
      <c r="AS98" s="26" t="s">
        <v>61</v>
      </c>
      <c r="AT98" s="26" t="s">
        <v>64</v>
      </c>
      <c r="AU98" s="26" t="s">
        <v>59</v>
      </c>
      <c r="AV98" s="26" t="s">
        <v>59</v>
      </c>
      <c r="AW98" s="26" t="s">
        <v>59</v>
      </c>
      <c r="AX98" s="26" t="s">
        <v>59</v>
      </c>
      <c r="AY98" s="186">
        <v>47</v>
      </c>
      <c r="AZ98" s="186">
        <v>48</v>
      </c>
      <c r="BA98" s="186" t="s">
        <v>60</v>
      </c>
      <c r="BB98" s="186" t="s">
        <v>60</v>
      </c>
      <c r="BC98" s="26">
        <v>7.7</v>
      </c>
      <c r="BD98" s="26">
        <v>1.9</v>
      </c>
      <c r="BE98" s="26" t="s">
        <v>61</v>
      </c>
      <c r="BF98" s="48">
        <v>0</v>
      </c>
      <c r="BG98" s="48">
        <v>1</v>
      </c>
      <c r="BH98" s="26" t="s">
        <v>61</v>
      </c>
      <c r="BI98" s="26" t="s">
        <v>61</v>
      </c>
      <c r="BJ98" s="26">
        <v>0</v>
      </c>
      <c r="BK98" s="26">
        <v>1.3</v>
      </c>
      <c r="BL98" s="26" t="s">
        <v>61</v>
      </c>
      <c r="BM98" s="26" t="s">
        <v>61</v>
      </c>
      <c r="BN98" s="26" t="s">
        <v>61</v>
      </c>
      <c r="BO98" s="26">
        <v>0.87</v>
      </c>
      <c r="BP98" s="26">
        <v>7.8</v>
      </c>
      <c r="BQ98" s="26">
        <v>2.1</v>
      </c>
      <c r="BR98" s="26" t="s">
        <v>61</v>
      </c>
      <c r="BS98" s="26">
        <v>0</v>
      </c>
      <c r="BT98" s="26">
        <v>1</v>
      </c>
      <c r="BU98" s="26" t="s">
        <v>61</v>
      </c>
      <c r="BV98" s="26" t="s">
        <v>61</v>
      </c>
      <c r="BW98" s="26">
        <v>0.1</v>
      </c>
      <c r="BX98" s="26">
        <v>1.7</v>
      </c>
      <c r="BY98" s="26" t="s">
        <v>61</v>
      </c>
      <c r="BZ98" s="26" t="s">
        <v>61</v>
      </c>
      <c r="CA98" s="26" t="s">
        <v>61</v>
      </c>
      <c r="CB98" s="26">
        <v>0.68</v>
      </c>
      <c r="CC98" s="26" t="s">
        <v>60</v>
      </c>
      <c r="CD98" s="26" t="s">
        <v>60</v>
      </c>
      <c r="CE98" s="26" t="s">
        <v>59</v>
      </c>
      <c r="CF98" s="26"/>
      <c r="CG98" s="26"/>
      <c r="CH98" s="26" t="s">
        <v>59</v>
      </c>
      <c r="CI98" s="26" t="s">
        <v>59</v>
      </c>
      <c r="CJ98" s="26" t="s">
        <v>59</v>
      </c>
      <c r="CK98" s="26" t="s">
        <v>59</v>
      </c>
      <c r="CL98" s="26" t="s">
        <v>59</v>
      </c>
      <c r="CM98" s="26" t="s">
        <v>59</v>
      </c>
      <c r="CN98" s="26" t="s">
        <v>59</v>
      </c>
      <c r="CO98" s="26" t="s">
        <v>59</v>
      </c>
      <c r="CP98" s="26" t="s">
        <v>60</v>
      </c>
      <c r="CQ98" s="26" t="s">
        <v>60</v>
      </c>
      <c r="CR98" s="26" t="s">
        <v>59</v>
      </c>
      <c r="CS98" s="26"/>
      <c r="CT98" s="26"/>
      <c r="CU98" s="26" t="s">
        <v>59</v>
      </c>
      <c r="CV98" s="26" t="s">
        <v>59</v>
      </c>
      <c r="CW98" s="26" t="s">
        <v>59</v>
      </c>
      <c r="CX98" s="26" t="s">
        <v>59</v>
      </c>
      <c r="CY98" s="26" t="s">
        <v>59</v>
      </c>
      <c r="CZ98" s="26" t="s">
        <v>59</v>
      </c>
      <c r="DA98" s="26" t="s">
        <v>59</v>
      </c>
      <c r="DB98" s="26" t="s">
        <v>59</v>
      </c>
      <c r="DC98" s="26">
        <v>12</v>
      </c>
    </row>
    <row r="99" spans="1:114">
      <c r="A99" s="34" t="s">
        <v>224</v>
      </c>
      <c r="B99" s="34">
        <v>6102</v>
      </c>
      <c r="C99" s="34">
        <v>2</v>
      </c>
      <c r="D99" s="43">
        <v>1</v>
      </c>
      <c r="E99" s="26" t="s">
        <v>139</v>
      </c>
      <c r="F99" s="26" t="s">
        <v>59</v>
      </c>
      <c r="G99" s="48">
        <f t="shared" si="1"/>
        <v>209</v>
      </c>
      <c r="H99" s="26" t="s">
        <v>59</v>
      </c>
      <c r="I99" s="26" t="s">
        <v>60</v>
      </c>
      <c r="J99" s="26" t="s">
        <v>59</v>
      </c>
      <c r="K99" s="26" t="s">
        <v>59</v>
      </c>
      <c r="L99" s="26" t="s">
        <v>59</v>
      </c>
      <c r="M99" s="26" t="s">
        <v>59</v>
      </c>
      <c r="N99" s="26" t="s">
        <v>59</v>
      </c>
      <c r="O99" s="26" t="s">
        <v>59</v>
      </c>
      <c r="P99" s="26" t="s">
        <v>59</v>
      </c>
      <c r="Q99" s="26" t="s">
        <v>60</v>
      </c>
      <c r="R99" s="26" t="s">
        <v>60</v>
      </c>
      <c r="S99" s="26" t="s">
        <v>60</v>
      </c>
      <c r="T99" s="26" t="s">
        <v>60</v>
      </c>
      <c r="U99" s="26">
        <v>123</v>
      </c>
      <c r="V99" s="26">
        <v>123</v>
      </c>
      <c r="W99" s="26" t="s">
        <v>60</v>
      </c>
      <c r="X99" s="26" t="s">
        <v>60</v>
      </c>
      <c r="Y99" s="26">
        <v>9.1999999999999993</v>
      </c>
      <c r="Z99" s="26">
        <v>1.4</v>
      </c>
      <c r="AA99" s="26" t="s">
        <v>61</v>
      </c>
      <c r="AB99" s="26" t="s">
        <v>61</v>
      </c>
      <c r="AC99" s="27" t="s">
        <v>61</v>
      </c>
      <c r="AD99" s="26">
        <v>9.3000000000000007</v>
      </c>
      <c r="AE99" s="26">
        <v>1.5</v>
      </c>
      <c r="AF99" s="26" t="s">
        <v>61</v>
      </c>
      <c r="AG99" s="26" t="s">
        <v>61</v>
      </c>
      <c r="AH99" s="27" t="s">
        <v>61</v>
      </c>
      <c r="AI99" s="26" t="s">
        <v>60</v>
      </c>
      <c r="AJ99" s="26" t="s">
        <v>60</v>
      </c>
      <c r="AK99" s="26" t="s">
        <v>59</v>
      </c>
      <c r="AL99" s="26" t="s">
        <v>59</v>
      </c>
      <c r="AM99" s="26" t="s">
        <v>59</v>
      </c>
      <c r="AN99" s="26" t="s">
        <v>60</v>
      </c>
      <c r="AO99" s="26" t="s">
        <v>60</v>
      </c>
      <c r="AP99" s="26" t="s">
        <v>59</v>
      </c>
      <c r="AQ99" s="26" t="s">
        <v>59</v>
      </c>
      <c r="AR99" s="26" t="s">
        <v>59</v>
      </c>
      <c r="AS99" s="26" t="s">
        <v>61</v>
      </c>
      <c r="AT99" s="26" t="s">
        <v>64</v>
      </c>
      <c r="AU99" s="26" t="s">
        <v>59</v>
      </c>
      <c r="AV99" s="26" t="s">
        <v>59</v>
      </c>
      <c r="AW99" s="26" t="s">
        <v>59</v>
      </c>
      <c r="AX99" s="26" t="s">
        <v>59</v>
      </c>
      <c r="AY99" s="186">
        <v>103</v>
      </c>
      <c r="AZ99" s="186">
        <v>106</v>
      </c>
      <c r="BA99" s="186" t="s">
        <v>60</v>
      </c>
      <c r="BB99" s="186" t="s">
        <v>60</v>
      </c>
      <c r="BC99" s="26">
        <v>9.1999999999999993</v>
      </c>
      <c r="BD99" s="222">
        <v>2.0699999999999998</v>
      </c>
      <c r="BE99" s="26" t="s">
        <v>61</v>
      </c>
      <c r="BF99" s="26">
        <v>2</v>
      </c>
      <c r="BG99" s="48">
        <v>1</v>
      </c>
      <c r="BH99" s="27" t="s">
        <v>61</v>
      </c>
      <c r="BI99" s="27" t="s">
        <v>61</v>
      </c>
      <c r="BJ99" s="26">
        <v>-0.16</v>
      </c>
      <c r="BK99" s="26" t="s">
        <v>61</v>
      </c>
      <c r="BL99" s="26" t="s">
        <v>61</v>
      </c>
      <c r="BM99" s="26">
        <v>-0.53</v>
      </c>
      <c r="BN99" s="26">
        <v>0.22</v>
      </c>
      <c r="BO99" s="26" t="s">
        <v>61</v>
      </c>
      <c r="BP99" s="26">
        <v>9.3000000000000007</v>
      </c>
      <c r="BQ99" s="222">
        <v>2.1</v>
      </c>
      <c r="BR99" s="26" t="s">
        <v>61</v>
      </c>
      <c r="BS99" s="26">
        <v>2</v>
      </c>
      <c r="BT99" s="26">
        <v>1</v>
      </c>
      <c r="BU99" s="27" t="s">
        <v>61</v>
      </c>
      <c r="BV99" s="27" t="s">
        <v>61</v>
      </c>
      <c r="BW99" s="26">
        <v>-0.02</v>
      </c>
      <c r="BX99" s="26" t="s">
        <v>61</v>
      </c>
      <c r="BY99" s="27" t="s">
        <v>61</v>
      </c>
      <c r="BZ99" s="26">
        <v>-0.41</v>
      </c>
      <c r="CA99" s="27">
        <v>0.37</v>
      </c>
      <c r="CB99" s="26" t="s">
        <v>61</v>
      </c>
      <c r="CC99" s="26" t="s">
        <v>60</v>
      </c>
      <c r="CD99" s="26" t="s">
        <v>60</v>
      </c>
      <c r="CE99" s="26" t="s">
        <v>59</v>
      </c>
      <c r="CF99" s="26"/>
      <c r="CG99" s="26"/>
      <c r="CH99" s="26" t="s">
        <v>59</v>
      </c>
      <c r="CI99" s="26" t="s">
        <v>59</v>
      </c>
      <c r="CJ99" s="26" t="s">
        <v>59</v>
      </c>
      <c r="CK99" s="26" t="s">
        <v>59</v>
      </c>
      <c r="CL99" s="26" t="s">
        <v>59</v>
      </c>
      <c r="CM99" s="26" t="s">
        <v>59</v>
      </c>
      <c r="CN99" s="26" t="s">
        <v>59</v>
      </c>
      <c r="CO99" s="26" t="s">
        <v>59</v>
      </c>
      <c r="CP99" s="26" t="s">
        <v>60</v>
      </c>
      <c r="CQ99" s="26" t="s">
        <v>60</v>
      </c>
      <c r="CR99" s="26" t="s">
        <v>59</v>
      </c>
      <c r="CS99" s="26"/>
      <c r="CT99" s="26"/>
      <c r="CU99" s="26" t="s">
        <v>59</v>
      </c>
      <c r="CV99" s="26" t="s">
        <v>59</v>
      </c>
      <c r="CW99" s="26" t="s">
        <v>59</v>
      </c>
      <c r="CX99" s="26" t="s">
        <v>59</v>
      </c>
      <c r="CY99" s="26" t="s">
        <v>59</v>
      </c>
      <c r="CZ99" s="26" t="s">
        <v>59</v>
      </c>
      <c r="DA99" s="26" t="s">
        <v>59</v>
      </c>
      <c r="DB99" s="26" t="s">
        <v>59</v>
      </c>
      <c r="DC99" s="26">
        <v>19</v>
      </c>
    </row>
    <row r="100" spans="1:114">
      <c r="A100" s="34" t="s">
        <v>165</v>
      </c>
      <c r="B100" s="34">
        <v>1646</v>
      </c>
      <c r="C100" s="34">
        <v>2</v>
      </c>
      <c r="D100" s="43">
        <v>1</v>
      </c>
      <c r="E100" s="26" t="s">
        <v>139</v>
      </c>
      <c r="F100" s="26" t="s">
        <v>59</v>
      </c>
      <c r="G100" s="48">
        <f t="shared" si="1"/>
        <v>39</v>
      </c>
      <c r="H100" s="26" t="s">
        <v>59</v>
      </c>
      <c r="I100" s="26" t="s">
        <v>60</v>
      </c>
      <c r="J100" s="26" t="s">
        <v>59</v>
      </c>
      <c r="K100" s="26" t="s">
        <v>59</v>
      </c>
      <c r="L100" s="26" t="s">
        <v>59</v>
      </c>
      <c r="M100" s="26" t="s">
        <v>59</v>
      </c>
      <c r="N100" s="26" t="s">
        <v>59</v>
      </c>
      <c r="O100" s="26" t="s">
        <v>59</v>
      </c>
      <c r="P100" s="26" t="s">
        <v>59</v>
      </c>
      <c r="Q100" s="26" t="s">
        <v>60</v>
      </c>
      <c r="R100" s="26" t="s">
        <v>60</v>
      </c>
      <c r="S100" s="26" t="s">
        <v>60</v>
      </c>
      <c r="T100" s="26" t="s">
        <v>60</v>
      </c>
      <c r="U100" s="26">
        <v>22</v>
      </c>
      <c r="V100" s="26">
        <v>17</v>
      </c>
      <c r="W100" s="26" t="s">
        <v>60</v>
      </c>
      <c r="X100" s="26" t="s">
        <v>60</v>
      </c>
      <c r="Y100" s="26">
        <v>12.2</v>
      </c>
      <c r="Z100" s="26">
        <v>3.5</v>
      </c>
      <c r="AA100" s="26" t="s">
        <v>61</v>
      </c>
      <c r="AB100" s="26" t="s">
        <v>61</v>
      </c>
      <c r="AC100" s="27" t="s">
        <v>61</v>
      </c>
      <c r="AD100" s="26">
        <v>11.5</v>
      </c>
      <c r="AE100" s="26">
        <v>2.9</v>
      </c>
      <c r="AF100" s="26" t="s">
        <v>61</v>
      </c>
      <c r="AG100" s="26" t="s">
        <v>61</v>
      </c>
      <c r="AH100" s="27" t="s">
        <v>61</v>
      </c>
      <c r="AI100" s="26" t="s">
        <v>60</v>
      </c>
      <c r="AJ100" s="26" t="s">
        <v>60</v>
      </c>
      <c r="AK100" s="26" t="s">
        <v>59</v>
      </c>
      <c r="AL100" s="26" t="s">
        <v>59</v>
      </c>
      <c r="AM100" s="26" t="s">
        <v>59</v>
      </c>
      <c r="AN100" s="26" t="s">
        <v>60</v>
      </c>
      <c r="AO100" s="26" t="s">
        <v>60</v>
      </c>
      <c r="AP100" s="26" t="s">
        <v>59</v>
      </c>
      <c r="AQ100" s="26" t="s">
        <v>59</v>
      </c>
      <c r="AR100" s="26" t="s">
        <v>59</v>
      </c>
      <c r="AS100" s="26" t="s">
        <v>61</v>
      </c>
      <c r="AT100" s="26" t="s">
        <v>64</v>
      </c>
      <c r="AU100" s="26" t="s">
        <v>59</v>
      </c>
      <c r="AV100" s="26" t="s">
        <v>59</v>
      </c>
      <c r="AW100" s="26" t="s">
        <v>59</v>
      </c>
      <c r="AX100" s="26" t="s">
        <v>59</v>
      </c>
      <c r="AY100" s="186">
        <v>22</v>
      </c>
      <c r="AZ100" s="186">
        <v>17</v>
      </c>
      <c r="BA100" s="186" t="s">
        <v>60</v>
      </c>
      <c r="BB100" s="186" t="s">
        <v>60</v>
      </c>
      <c r="BC100" s="26">
        <v>12.1</v>
      </c>
      <c r="BD100" s="26">
        <v>3.7</v>
      </c>
      <c r="BE100" s="26" t="s">
        <v>61</v>
      </c>
      <c r="BF100" s="48">
        <v>0</v>
      </c>
      <c r="BG100" s="48">
        <v>1</v>
      </c>
      <c r="BH100" s="27" t="s">
        <v>61</v>
      </c>
      <c r="BI100" s="27" t="s">
        <v>61</v>
      </c>
      <c r="BJ100" s="26">
        <v>-0.1</v>
      </c>
      <c r="BK100" s="26">
        <v>3</v>
      </c>
      <c r="BL100" s="26" t="s">
        <v>61</v>
      </c>
      <c r="BM100" s="26" t="s">
        <v>61</v>
      </c>
      <c r="BN100" s="26" t="s">
        <v>61</v>
      </c>
      <c r="BO100" s="26" t="s">
        <v>61</v>
      </c>
      <c r="BP100" s="26">
        <v>9.1999999999999993</v>
      </c>
      <c r="BQ100" s="26">
        <v>2.1</v>
      </c>
      <c r="BR100" s="26" t="s">
        <v>61</v>
      </c>
      <c r="BS100" s="26">
        <v>0</v>
      </c>
      <c r="BT100" s="26">
        <v>1</v>
      </c>
      <c r="BU100" s="27" t="s">
        <v>61</v>
      </c>
      <c r="BV100" s="27" t="s">
        <v>61</v>
      </c>
      <c r="BW100" s="26">
        <v>-2.2000000000000002</v>
      </c>
      <c r="BX100" s="26">
        <v>2.6</v>
      </c>
      <c r="BY100" s="27" t="s">
        <v>61</v>
      </c>
      <c r="BZ100" s="26" t="s">
        <v>61</v>
      </c>
      <c r="CA100" s="27" t="s">
        <v>61</v>
      </c>
      <c r="CB100" s="26">
        <v>3.0000000000000001E-3</v>
      </c>
      <c r="CC100" s="26" t="s">
        <v>60</v>
      </c>
      <c r="CD100" s="26" t="s">
        <v>60</v>
      </c>
      <c r="CE100" s="26" t="s">
        <v>59</v>
      </c>
      <c r="CF100" s="26"/>
      <c r="CG100" s="26"/>
      <c r="CH100" s="26" t="s">
        <v>59</v>
      </c>
      <c r="CI100" s="26" t="s">
        <v>59</v>
      </c>
      <c r="CJ100" s="26" t="s">
        <v>59</v>
      </c>
      <c r="CK100" s="26" t="s">
        <v>59</v>
      </c>
      <c r="CL100" s="26" t="s">
        <v>59</v>
      </c>
      <c r="CM100" s="26" t="s">
        <v>59</v>
      </c>
      <c r="CN100" s="26" t="s">
        <v>59</v>
      </c>
      <c r="CO100" s="26" t="s">
        <v>59</v>
      </c>
      <c r="CP100" s="26" t="s">
        <v>60</v>
      </c>
      <c r="CQ100" s="26" t="s">
        <v>60</v>
      </c>
      <c r="CR100" s="26" t="s">
        <v>59</v>
      </c>
      <c r="CS100" s="26"/>
      <c r="CT100" s="26"/>
      <c r="CU100" s="26" t="s">
        <v>59</v>
      </c>
      <c r="CV100" s="26" t="s">
        <v>59</v>
      </c>
      <c r="CW100" s="26" t="s">
        <v>59</v>
      </c>
      <c r="CX100" s="26" t="s">
        <v>59</v>
      </c>
      <c r="CY100" s="26" t="s">
        <v>59</v>
      </c>
      <c r="CZ100" s="26" t="s">
        <v>59</v>
      </c>
      <c r="DA100" s="26" t="s">
        <v>59</v>
      </c>
      <c r="DB100" s="26" t="s">
        <v>59</v>
      </c>
      <c r="DC100" s="186">
        <v>4</v>
      </c>
    </row>
    <row r="101" spans="1:114">
      <c r="A101" s="51" t="s">
        <v>352</v>
      </c>
      <c r="B101" s="52">
        <v>10191</v>
      </c>
      <c r="C101" s="34">
        <v>2</v>
      </c>
      <c r="D101" s="43">
        <v>1</v>
      </c>
      <c r="E101" s="48" t="s">
        <v>139</v>
      </c>
      <c r="F101" s="26" t="s">
        <v>59</v>
      </c>
      <c r="G101" s="48">
        <f t="shared" si="1"/>
        <v>525</v>
      </c>
      <c r="H101" s="26" t="s">
        <v>59</v>
      </c>
      <c r="I101" s="26" t="s">
        <v>59</v>
      </c>
      <c r="J101" s="48" t="s">
        <v>59</v>
      </c>
      <c r="K101" s="26" t="s">
        <v>59</v>
      </c>
      <c r="L101" s="26" t="s">
        <v>59</v>
      </c>
      <c r="M101" s="26" t="s">
        <v>59</v>
      </c>
      <c r="N101" s="26" t="s">
        <v>59</v>
      </c>
      <c r="O101" s="26" t="s">
        <v>59</v>
      </c>
      <c r="P101" s="26" t="s">
        <v>59</v>
      </c>
      <c r="Q101" s="48" t="s">
        <v>59</v>
      </c>
      <c r="R101" s="48" t="s">
        <v>59</v>
      </c>
      <c r="S101" s="48" t="s">
        <v>59</v>
      </c>
      <c r="T101" s="48" t="s">
        <v>59</v>
      </c>
      <c r="U101" s="48">
        <v>264</v>
      </c>
      <c r="V101" s="48">
        <v>261</v>
      </c>
      <c r="W101" s="48" t="s">
        <v>59</v>
      </c>
      <c r="X101" s="48" t="s">
        <v>59</v>
      </c>
      <c r="Y101" s="48">
        <v>8.3000000000000007</v>
      </c>
      <c r="Z101" s="48">
        <v>1.9</v>
      </c>
      <c r="AA101" s="48" t="s">
        <v>61</v>
      </c>
      <c r="AB101" s="48" t="s">
        <v>61</v>
      </c>
      <c r="AC101" s="48" t="s">
        <v>61</v>
      </c>
      <c r="AD101" s="48">
        <v>8.9</v>
      </c>
      <c r="AE101" s="48">
        <v>2.2000000000000002</v>
      </c>
      <c r="AF101" s="48" t="s">
        <v>61</v>
      </c>
      <c r="AG101" s="48" t="s">
        <v>61</v>
      </c>
      <c r="AH101" s="48" t="s">
        <v>61</v>
      </c>
      <c r="AI101" s="48" t="s">
        <v>59</v>
      </c>
      <c r="AJ101" s="48" t="s">
        <v>59</v>
      </c>
      <c r="AK101" s="48" t="s">
        <v>59</v>
      </c>
      <c r="AL101" s="48" t="s">
        <v>59</v>
      </c>
      <c r="AM101" s="48" t="s">
        <v>59</v>
      </c>
      <c r="AN101" s="48" t="s">
        <v>59</v>
      </c>
      <c r="AO101" s="48" t="s">
        <v>59</v>
      </c>
      <c r="AP101" s="48" t="s">
        <v>59</v>
      </c>
      <c r="AQ101" s="48" t="s">
        <v>59</v>
      </c>
      <c r="AR101" s="48" t="s">
        <v>59</v>
      </c>
      <c r="AS101" s="48">
        <v>6.0000000000000001E-3</v>
      </c>
      <c r="AT101" s="48" t="s">
        <v>64</v>
      </c>
      <c r="AU101" s="48" t="s">
        <v>59</v>
      </c>
      <c r="AV101" s="48" t="s">
        <v>59</v>
      </c>
      <c r="AW101" s="48" t="s">
        <v>59</v>
      </c>
      <c r="AX101" s="48" t="s">
        <v>59</v>
      </c>
      <c r="AY101" s="73">
        <v>264</v>
      </c>
      <c r="AZ101" s="73">
        <v>261</v>
      </c>
      <c r="BA101" s="73" t="s">
        <v>59</v>
      </c>
      <c r="BB101" s="73" t="s">
        <v>59</v>
      </c>
      <c r="BC101" s="48">
        <v>8.1999999999999993</v>
      </c>
      <c r="BD101" s="48">
        <v>2.1</v>
      </c>
      <c r="BE101" s="48" t="s">
        <v>61</v>
      </c>
      <c r="BF101" s="48">
        <v>0</v>
      </c>
      <c r="BG101" s="48">
        <v>1</v>
      </c>
      <c r="BH101" s="48" t="s">
        <v>61</v>
      </c>
      <c r="BI101" s="48" t="s">
        <v>61</v>
      </c>
      <c r="BJ101" s="48">
        <v>-0.1</v>
      </c>
      <c r="BK101" s="48">
        <v>1.8</v>
      </c>
      <c r="BL101" s="48" t="s">
        <v>61</v>
      </c>
      <c r="BM101" s="48" t="s">
        <v>61</v>
      </c>
      <c r="BN101" s="48" t="s">
        <v>61</v>
      </c>
      <c r="BO101" s="48" t="s">
        <v>61</v>
      </c>
      <c r="BP101" s="48">
        <v>8.3000000000000007</v>
      </c>
      <c r="BQ101" s="48">
        <v>2.2000000000000002</v>
      </c>
      <c r="BR101" s="48" t="s">
        <v>61</v>
      </c>
      <c r="BS101" s="26">
        <v>0</v>
      </c>
      <c r="BT101" s="26">
        <v>1</v>
      </c>
      <c r="BU101" s="48" t="s">
        <v>61</v>
      </c>
      <c r="BV101" s="48" t="s">
        <v>61</v>
      </c>
      <c r="BW101" s="48">
        <v>-0.6</v>
      </c>
      <c r="BX101" s="48">
        <v>2.2999999999999998</v>
      </c>
      <c r="BY101" s="48" t="s">
        <v>61</v>
      </c>
      <c r="BZ101" s="48" t="s">
        <v>61</v>
      </c>
      <c r="CA101" s="48" t="s">
        <v>61</v>
      </c>
      <c r="CB101" s="48" t="s">
        <v>61</v>
      </c>
      <c r="CC101" s="48" t="s">
        <v>59</v>
      </c>
      <c r="CD101" s="48" t="s">
        <v>59</v>
      </c>
      <c r="CE101" s="48" t="s">
        <v>59</v>
      </c>
      <c r="CF101" s="48"/>
      <c r="CG101" s="48"/>
      <c r="CH101" s="48" t="s">
        <v>59</v>
      </c>
      <c r="CI101" s="48" t="s">
        <v>59</v>
      </c>
      <c r="CJ101" s="48" t="s">
        <v>59</v>
      </c>
      <c r="CK101" s="48" t="s">
        <v>59</v>
      </c>
      <c r="CL101" s="48" t="s">
        <v>59</v>
      </c>
      <c r="CM101" s="48" t="s">
        <v>59</v>
      </c>
      <c r="CN101" s="48" t="s">
        <v>59</v>
      </c>
      <c r="CO101" s="48" t="s">
        <v>59</v>
      </c>
      <c r="CP101" s="48" t="s">
        <v>59</v>
      </c>
      <c r="CQ101" s="48" t="s">
        <v>59</v>
      </c>
      <c r="CR101" s="48" t="s">
        <v>59</v>
      </c>
      <c r="CS101" s="48"/>
      <c r="CT101" s="48"/>
      <c r="CU101" s="48" t="s">
        <v>59</v>
      </c>
      <c r="CV101" s="48" t="s">
        <v>59</v>
      </c>
      <c r="CW101" s="48" t="s">
        <v>59</v>
      </c>
      <c r="CX101" s="48" t="s">
        <v>59</v>
      </c>
      <c r="CY101" s="48" t="s">
        <v>59</v>
      </c>
      <c r="CZ101" s="48" t="s">
        <v>59</v>
      </c>
      <c r="DA101" s="48" t="s">
        <v>59</v>
      </c>
      <c r="DB101" s="48" t="s">
        <v>59</v>
      </c>
      <c r="DC101" s="48">
        <v>12</v>
      </c>
      <c r="DD101" s="55"/>
      <c r="DE101" s="43"/>
      <c r="DF101" s="43"/>
      <c r="DG101" s="43"/>
      <c r="DH101" s="43"/>
      <c r="DI101" s="43"/>
      <c r="DJ101" s="43"/>
    </row>
    <row r="102" spans="1:114">
      <c r="A102" s="34" t="s">
        <v>168</v>
      </c>
      <c r="B102" s="34">
        <v>2059</v>
      </c>
      <c r="C102" s="34">
        <v>2</v>
      </c>
      <c r="D102" s="43">
        <v>1</v>
      </c>
      <c r="E102" s="26" t="s">
        <v>139</v>
      </c>
      <c r="F102" s="26" t="s">
        <v>59</v>
      </c>
      <c r="G102" s="48">
        <f t="shared" si="1"/>
        <v>128</v>
      </c>
      <c r="H102" s="26" t="s">
        <v>59</v>
      </c>
      <c r="I102" s="26" t="s">
        <v>60</v>
      </c>
      <c r="J102" s="26" t="s">
        <v>59</v>
      </c>
      <c r="K102" s="26" t="s">
        <v>59</v>
      </c>
      <c r="L102" s="26" t="s">
        <v>59</v>
      </c>
      <c r="M102" s="26" t="s">
        <v>59</v>
      </c>
      <c r="N102" s="26" t="s">
        <v>59</v>
      </c>
      <c r="O102" s="26" t="s">
        <v>59</v>
      </c>
      <c r="P102" s="26" t="s">
        <v>59</v>
      </c>
      <c r="Q102" s="26" t="s">
        <v>60</v>
      </c>
      <c r="R102" s="26" t="s">
        <v>60</v>
      </c>
      <c r="S102" s="26" t="s">
        <v>60</v>
      </c>
      <c r="T102" s="26" t="s">
        <v>60</v>
      </c>
      <c r="U102" s="26">
        <v>64</v>
      </c>
      <c r="V102" s="26">
        <v>64</v>
      </c>
      <c r="W102" s="26" t="s">
        <v>60</v>
      </c>
      <c r="X102" s="26" t="s">
        <v>60</v>
      </c>
      <c r="Y102" s="26">
        <v>8.39</v>
      </c>
      <c r="Z102" s="26">
        <v>2.0299999999999998</v>
      </c>
      <c r="AA102" s="26" t="s">
        <v>61</v>
      </c>
      <c r="AB102" s="26" t="s">
        <v>61</v>
      </c>
      <c r="AC102" s="27" t="s">
        <v>61</v>
      </c>
      <c r="AD102" s="26">
        <v>8.85</v>
      </c>
      <c r="AE102" s="26">
        <v>2.48</v>
      </c>
      <c r="AF102" s="26" t="s">
        <v>61</v>
      </c>
      <c r="AG102" s="26" t="s">
        <v>61</v>
      </c>
      <c r="AH102" s="27" t="s">
        <v>61</v>
      </c>
      <c r="AI102" s="26" t="s">
        <v>60</v>
      </c>
      <c r="AJ102" s="26" t="s">
        <v>60</v>
      </c>
      <c r="AK102" s="26" t="s">
        <v>59</v>
      </c>
      <c r="AL102" s="26" t="s">
        <v>59</v>
      </c>
      <c r="AM102" s="26" t="s">
        <v>59</v>
      </c>
      <c r="AN102" s="26" t="s">
        <v>60</v>
      </c>
      <c r="AO102" s="26" t="s">
        <v>60</v>
      </c>
      <c r="AP102" s="26" t="s">
        <v>59</v>
      </c>
      <c r="AQ102" s="26" t="s">
        <v>59</v>
      </c>
      <c r="AR102" s="26" t="s">
        <v>59</v>
      </c>
      <c r="AS102" s="26">
        <v>0.25</v>
      </c>
      <c r="AT102" s="26" t="s">
        <v>64</v>
      </c>
      <c r="AU102" s="26" t="s">
        <v>59</v>
      </c>
      <c r="AV102" s="26" t="s">
        <v>59</v>
      </c>
      <c r="AW102" s="26" t="s">
        <v>59</v>
      </c>
      <c r="AX102" s="26" t="s">
        <v>59</v>
      </c>
      <c r="AY102" s="186">
        <v>64</v>
      </c>
      <c r="AZ102" s="186">
        <v>64</v>
      </c>
      <c r="BA102" s="186" t="s">
        <v>60</v>
      </c>
      <c r="BB102" s="186" t="s">
        <v>60</v>
      </c>
      <c r="BC102" s="26">
        <v>7.79</v>
      </c>
      <c r="BD102" s="26">
        <v>1.91</v>
      </c>
      <c r="BE102" s="26" t="s">
        <v>61</v>
      </c>
      <c r="BF102" s="48">
        <v>0</v>
      </c>
      <c r="BG102" s="48">
        <v>1</v>
      </c>
      <c r="BH102" s="27" t="s">
        <v>61</v>
      </c>
      <c r="BI102" s="27" t="s">
        <v>61</v>
      </c>
      <c r="BJ102" s="26">
        <v>-0.6</v>
      </c>
      <c r="BK102" s="26" t="s">
        <v>61</v>
      </c>
      <c r="BL102" s="26" t="s">
        <v>61</v>
      </c>
      <c r="BM102" s="26" t="s">
        <v>61</v>
      </c>
      <c r="BN102" s="26" t="s">
        <v>61</v>
      </c>
      <c r="BO102" s="26" t="s">
        <v>156</v>
      </c>
      <c r="BP102" s="26">
        <v>7.78</v>
      </c>
      <c r="BQ102" s="26">
        <v>2.2200000000000002</v>
      </c>
      <c r="BR102" s="26" t="s">
        <v>61</v>
      </c>
      <c r="BS102" s="26">
        <v>0</v>
      </c>
      <c r="BT102" s="26">
        <v>1</v>
      </c>
      <c r="BU102" s="27" t="s">
        <v>61</v>
      </c>
      <c r="BV102" s="27" t="s">
        <v>61</v>
      </c>
      <c r="BW102" s="26">
        <v>-1.08</v>
      </c>
      <c r="BX102" s="26" t="s">
        <v>61</v>
      </c>
      <c r="BY102" s="27" t="s">
        <v>61</v>
      </c>
      <c r="BZ102" s="26" t="s">
        <v>61</v>
      </c>
      <c r="CA102" s="27" t="s">
        <v>61</v>
      </c>
      <c r="CB102" s="26">
        <v>1.2999999999999999E-2</v>
      </c>
      <c r="CC102" s="26" t="s">
        <v>60</v>
      </c>
      <c r="CD102" s="26" t="s">
        <v>60</v>
      </c>
      <c r="CE102" s="26" t="s">
        <v>59</v>
      </c>
      <c r="CF102" s="26"/>
      <c r="CG102" s="26"/>
      <c r="CH102" s="26" t="s">
        <v>59</v>
      </c>
      <c r="CI102" s="26" t="s">
        <v>59</v>
      </c>
      <c r="CJ102" s="26" t="s">
        <v>59</v>
      </c>
      <c r="CK102" s="26" t="s">
        <v>59</v>
      </c>
      <c r="CL102" s="26" t="s">
        <v>59</v>
      </c>
      <c r="CM102" s="26" t="s">
        <v>59</v>
      </c>
      <c r="CN102" s="26" t="s">
        <v>59</v>
      </c>
      <c r="CO102" s="26" t="s">
        <v>59</v>
      </c>
      <c r="CP102" s="26" t="s">
        <v>60</v>
      </c>
      <c r="CQ102" s="26" t="s">
        <v>60</v>
      </c>
      <c r="CR102" s="26" t="s">
        <v>59</v>
      </c>
      <c r="CS102" s="26"/>
      <c r="CT102" s="26"/>
      <c r="CU102" s="26" t="s">
        <v>59</v>
      </c>
      <c r="CV102" s="26" t="s">
        <v>59</v>
      </c>
      <c r="CW102" s="26" t="s">
        <v>59</v>
      </c>
      <c r="CX102" s="26" t="s">
        <v>59</v>
      </c>
      <c r="CY102" s="26" t="s">
        <v>59</v>
      </c>
      <c r="CZ102" s="26" t="s">
        <v>59</v>
      </c>
      <c r="DA102" s="26" t="s">
        <v>59</v>
      </c>
      <c r="DB102" s="26" t="s">
        <v>59</v>
      </c>
      <c r="DC102" s="26">
        <v>6</v>
      </c>
      <c r="DD102" s="29" t="s">
        <v>169</v>
      </c>
    </row>
    <row r="103" spans="1:114">
      <c r="A103" s="34" t="s">
        <v>163</v>
      </c>
      <c r="B103" s="34">
        <v>1620</v>
      </c>
      <c r="C103" s="34">
        <v>2</v>
      </c>
      <c r="D103" s="43">
        <v>1</v>
      </c>
      <c r="E103" s="26" t="s">
        <v>139</v>
      </c>
      <c r="F103" s="26" t="s">
        <v>59</v>
      </c>
      <c r="G103" s="48">
        <f t="shared" si="1"/>
        <v>166</v>
      </c>
      <c r="H103" s="26" t="s">
        <v>59</v>
      </c>
      <c r="I103" s="26" t="s">
        <v>60</v>
      </c>
      <c r="J103" s="26" t="s">
        <v>59</v>
      </c>
      <c r="K103" s="26" t="s">
        <v>59</v>
      </c>
      <c r="L103" s="26" t="s">
        <v>59</v>
      </c>
      <c r="M103" s="26" t="s">
        <v>59</v>
      </c>
      <c r="N103" s="26" t="s">
        <v>59</v>
      </c>
      <c r="O103" s="26" t="s">
        <v>59</v>
      </c>
      <c r="P103" s="26" t="s">
        <v>59</v>
      </c>
      <c r="Q103" s="26" t="s">
        <v>60</v>
      </c>
      <c r="R103" s="26" t="s">
        <v>60</v>
      </c>
      <c r="S103" s="26" t="s">
        <v>60</v>
      </c>
      <c r="T103" s="26" t="s">
        <v>60</v>
      </c>
      <c r="U103" s="26" t="s">
        <v>61</v>
      </c>
      <c r="V103" s="26" t="s">
        <v>61</v>
      </c>
      <c r="W103" s="26" t="s">
        <v>60</v>
      </c>
      <c r="X103" s="26" t="s">
        <v>60</v>
      </c>
      <c r="Y103" s="26" t="s">
        <v>61</v>
      </c>
      <c r="Z103" s="26" t="s">
        <v>61</v>
      </c>
      <c r="AA103" s="26" t="s">
        <v>61</v>
      </c>
      <c r="AB103" s="26" t="s">
        <v>61</v>
      </c>
      <c r="AC103" s="27" t="s">
        <v>61</v>
      </c>
      <c r="AD103" s="26" t="s">
        <v>61</v>
      </c>
      <c r="AE103" s="26" t="s">
        <v>61</v>
      </c>
      <c r="AF103" s="26" t="s">
        <v>61</v>
      </c>
      <c r="AG103" s="26" t="s">
        <v>61</v>
      </c>
      <c r="AH103" s="27" t="s">
        <v>61</v>
      </c>
      <c r="AI103" s="26" t="s">
        <v>60</v>
      </c>
      <c r="AJ103" s="26" t="s">
        <v>60</v>
      </c>
      <c r="AK103" s="26" t="s">
        <v>59</v>
      </c>
      <c r="AL103" s="26" t="s">
        <v>59</v>
      </c>
      <c r="AM103" s="26" t="s">
        <v>59</v>
      </c>
      <c r="AN103" s="26" t="s">
        <v>60</v>
      </c>
      <c r="AO103" s="26" t="s">
        <v>60</v>
      </c>
      <c r="AP103" s="26" t="s">
        <v>59</v>
      </c>
      <c r="AQ103" s="26" t="s">
        <v>59</v>
      </c>
      <c r="AR103" s="26" t="s">
        <v>59</v>
      </c>
      <c r="AS103" s="26" t="s">
        <v>61</v>
      </c>
      <c r="AT103" s="26" t="s">
        <v>64</v>
      </c>
      <c r="AU103" s="26" t="s">
        <v>59</v>
      </c>
      <c r="AV103" s="26" t="s">
        <v>59</v>
      </c>
      <c r="AW103" s="26" t="s">
        <v>59</v>
      </c>
      <c r="AX103" s="26" t="s">
        <v>59</v>
      </c>
      <c r="AY103" s="186">
        <v>81</v>
      </c>
      <c r="AZ103" s="186">
        <v>85</v>
      </c>
      <c r="BA103" s="186" t="s">
        <v>60</v>
      </c>
      <c r="BB103" s="186" t="s">
        <v>60</v>
      </c>
      <c r="BC103" s="26">
        <v>10.6</v>
      </c>
      <c r="BD103" s="26">
        <v>2.5</v>
      </c>
      <c r="BE103" s="26" t="s">
        <v>61</v>
      </c>
      <c r="BF103" s="48">
        <v>0</v>
      </c>
      <c r="BG103" s="48">
        <v>1</v>
      </c>
      <c r="BH103" s="27" t="s">
        <v>61</v>
      </c>
      <c r="BI103" s="27" t="s">
        <v>61</v>
      </c>
      <c r="BJ103" s="26" t="s">
        <v>61</v>
      </c>
      <c r="BK103" s="26" t="s">
        <v>61</v>
      </c>
      <c r="BL103" s="26" t="s">
        <v>61</v>
      </c>
      <c r="BM103" s="26" t="s">
        <v>61</v>
      </c>
      <c r="BN103" s="26" t="s">
        <v>61</v>
      </c>
      <c r="BO103" s="26" t="s">
        <v>61</v>
      </c>
      <c r="BP103" s="26">
        <v>10.3</v>
      </c>
      <c r="BQ103" s="26">
        <v>2.2999999999999998</v>
      </c>
      <c r="BR103" s="26" t="s">
        <v>61</v>
      </c>
      <c r="BS103" s="26">
        <v>0</v>
      </c>
      <c r="BT103" s="26">
        <v>1</v>
      </c>
      <c r="BU103" s="27" t="s">
        <v>61</v>
      </c>
      <c r="BV103" s="27" t="s">
        <v>61</v>
      </c>
      <c r="BW103" s="26" t="s">
        <v>61</v>
      </c>
      <c r="BX103" s="26" t="s">
        <v>61</v>
      </c>
      <c r="BY103" s="27" t="s">
        <v>61</v>
      </c>
      <c r="BZ103" s="26" t="s">
        <v>61</v>
      </c>
      <c r="CA103" s="27" t="s">
        <v>61</v>
      </c>
      <c r="CB103" s="26" t="s">
        <v>61</v>
      </c>
      <c r="CC103" s="26" t="s">
        <v>60</v>
      </c>
      <c r="CD103" s="26" t="s">
        <v>60</v>
      </c>
      <c r="CE103" s="26" t="s">
        <v>59</v>
      </c>
      <c r="CF103" s="26"/>
      <c r="CG103" s="26"/>
      <c r="CH103" s="26" t="s">
        <v>59</v>
      </c>
      <c r="CI103" s="26" t="s">
        <v>59</v>
      </c>
      <c r="CJ103" s="26" t="s">
        <v>59</v>
      </c>
      <c r="CK103" s="26" t="s">
        <v>59</v>
      </c>
      <c r="CL103" s="26" t="s">
        <v>59</v>
      </c>
      <c r="CM103" s="26" t="s">
        <v>59</v>
      </c>
      <c r="CN103" s="26" t="s">
        <v>59</v>
      </c>
      <c r="CO103" s="26" t="s">
        <v>59</v>
      </c>
      <c r="CP103" s="26" t="s">
        <v>60</v>
      </c>
      <c r="CQ103" s="26" t="s">
        <v>60</v>
      </c>
      <c r="CR103" s="26" t="s">
        <v>59</v>
      </c>
      <c r="CS103" s="26"/>
      <c r="CT103" s="26"/>
      <c r="CU103" s="26" t="s">
        <v>59</v>
      </c>
      <c r="CV103" s="26" t="s">
        <v>59</v>
      </c>
      <c r="CW103" s="26" t="s">
        <v>59</v>
      </c>
      <c r="CX103" s="26" t="s">
        <v>59</v>
      </c>
      <c r="CY103" s="26" t="s">
        <v>59</v>
      </c>
      <c r="CZ103" s="26" t="s">
        <v>59</v>
      </c>
      <c r="DA103" s="26" t="s">
        <v>59</v>
      </c>
      <c r="DB103" s="26" t="s">
        <v>59</v>
      </c>
      <c r="DC103" s="26">
        <v>30</v>
      </c>
      <c r="DD103" s="29" t="s">
        <v>164</v>
      </c>
    </row>
    <row r="104" spans="1:114" ht="14">
      <c r="A104" s="49" t="s">
        <v>334</v>
      </c>
      <c r="B104" s="43">
        <v>9128</v>
      </c>
      <c r="C104" s="34">
        <v>2</v>
      </c>
      <c r="D104" s="43">
        <v>1</v>
      </c>
      <c r="E104" s="48" t="s">
        <v>139</v>
      </c>
      <c r="F104" s="26" t="s">
        <v>59</v>
      </c>
      <c r="G104" s="48">
        <f t="shared" si="1"/>
        <v>58</v>
      </c>
      <c r="H104" s="26" t="s">
        <v>59</v>
      </c>
      <c r="I104" s="26" t="s">
        <v>59</v>
      </c>
      <c r="J104" s="48" t="s">
        <v>59</v>
      </c>
      <c r="K104" s="26" t="s">
        <v>59</v>
      </c>
      <c r="L104" s="26" t="s">
        <v>59</v>
      </c>
      <c r="M104" s="26" t="s">
        <v>59</v>
      </c>
      <c r="N104" s="26" t="s">
        <v>59</v>
      </c>
      <c r="O104" s="26" t="s">
        <v>59</v>
      </c>
      <c r="P104" s="26" t="s">
        <v>59</v>
      </c>
      <c r="Q104" s="48" t="s">
        <v>59</v>
      </c>
      <c r="R104" s="48" t="s">
        <v>59</v>
      </c>
      <c r="S104" s="48" t="s">
        <v>59</v>
      </c>
      <c r="T104" s="48" t="s">
        <v>59</v>
      </c>
      <c r="U104" s="48">
        <v>29</v>
      </c>
      <c r="V104" s="48">
        <v>29</v>
      </c>
      <c r="W104" s="48" t="s">
        <v>59</v>
      </c>
      <c r="X104" s="48" t="s">
        <v>59</v>
      </c>
      <c r="Y104" s="69">
        <v>7.3</v>
      </c>
      <c r="Z104" s="69">
        <v>2</v>
      </c>
      <c r="AA104" s="69" t="s">
        <v>61</v>
      </c>
      <c r="AB104" s="69" t="s">
        <v>61</v>
      </c>
      <c r="AC104" s="69" t="s">
        <v>61</v>
      </c>
      <c r="AD104" s="69">
        <v>7.3</v>
      </c>
      <c r="AE104" s="69">
        <v>2.2999999999999998</v>
      </c>
      <c r="AF104" s="69" t="s">
        <v>61</v>
      </c>
      <c r="AG104" s="69" t="s">
        <v>61</v>
      </c>
      <c r="AH104" s="69" t="s">
        <v>61</v>
      </c>
      <c r="AI104" s="69" t="s">
        <v>59</v>
      </c>
      <c r="AJ104" s="69" t="s">
        <v>59</v>
      </c>
      <c r="AK104" s="69" t="s">
        <v>59</v>
      </c>
      <c r="AL104" s="69" t="s">
        <v>59</v>
      </c>
      <c r="AM104" s="69" t="s">
        <v>59</v>
      </c>
      <c r="AN104" s="69" t="s">
        <v>59</v>
      </c>
      <c r="AO104" s="69" t="s">
        <v>59</v>
      </c>
      <c r="AP104" s="69" t="s">
        <v>59</v>
      </c>
      <c r="AQ104" s="69" t="s">
        <v>59</v>
      </c>
      <c r="AR104" s="69" t="s">
        <v>59</v>
      </c>
      <c r="AS104" s="69">
        <v>0.7</v>
      </c>
      <c r="AT104" s="69" t="s">
        <v>64</v>
      </c>
      <c r="AU104" s="69" t="s">
        <v>59</v>
      </c>
      <c r="AV104" s="69" t="s">
        <v>59</v>
      </c>
      <c r="AW104" s="69" t="s">
        <v>59</v>
      </c>
      <c r="AX104" s="69" t="s">
        <v>59</v>
      </c>
      <c r="AY104" s="215">
        <v>29</v>
      </c>
      <c r="AZ104" s="215">
        <v>29</v>
      </c>
      <c r="BA104" s="215" t="s">
        <v>59</v>
      </c>
      <c r="BB104" s="215" t="s">
        <v>59</v>
      </c>
      <c r="BC104" s="69">
        <v>7.9</v>
      </c>
      <c r="BD104" s="69">
        <v>2.6</v>
      </c>
      <c r="BE104" s="69" t="s">
        <v>61</v>
      </c>
      <c r="BF104" s="48">
        <v>0</v>
      </c>
      <c r="BG104" s="48">
        <v>1</v>
      </c>
      <c r="BH104" s="69" t="s">
        <v>61</v>
      </c>
      <c r="BI104" s="69" t="s">
        <v>61</v>
      </c>
      <c r="BJ104" s="69" t="s">
        <v>61</v>
      </c>
      <c r="BK104" s="69" t="s">
        <v>61</v>
      </c>
      <c r="BL104" s="69" t="s">
        <v>61</v>
      </c>
      <c r="BM104" s="69" t="s">
        <v>61</v>
      </c>
      <c r="BN104" s="69" t="s">
        <v>61</v>
      </c>
      <c r="BO104" s="69" t="s">
        <v>61</v>
      </c>
      <c r="BP104" s="69">
        <v>6.7</v>
      </c>
      <c r="BQ104" s="69">
        <v>2.2999999999999998</v>
      </c>
      <c r="BR104" s="69" t="s">
        <v>61</v>
      </c>
      <c r="BS104" s="26">
        <v>0</v>
      </c>
      <c r="BT104" s="26">
        <v>1</v>
      </c>
      <c r="BU104" s="69" t="s">
        <v>61</v>
      </c>
      <c r="BV104" s="69" t="s">
        <v>61</v>
      </c>
      <c r="BW104" s="69" t="s">
        <v>61</v>
      </c>
      <c r="BX104" s="69" t="s">
        <v>61</v>
      </c>
      <c r="BY104" s="69" t="s">
        <v>61</v>
      </c>
      <c r="BZ104" s="69" t="s">
        <v>61</v>
      </c>
      <c r="CA104" s="69" t="s">
        <v>61</v>
      </c>
      <c r="CB104" s="69" t="s">
        <v>61</v>
      </c>
      <c r="CC104" s="69" t="s">
        <v>59</v>
      </c>
      <c r="CD104" s="69" t="s">
        <v>59</v>
      </c>
      <c r="CE104" s="69" t="s">
        <v>59</v>
      </c>
      <c r="CF104" s="69"/>
      <c r="CG104" s="69"/>
      <c r="CH104" s="69" t="s">
        <v>59</v>
      </c>
      <c r="CI104" s="69" t="s">
        <v>59</v>
      </c>
      <c r="CJ104" s="69" t="s">
        <v>59</v>
      </c>
      <c r="CK104" s="69" t="s">
        <v>59</v>
      </c>
      <c r="CL104" s="69" t="s">
        <v>59</v>
      </c>
      <c r="CM104" s="69" t="s">
        <v>59</v>
      </c>
      <c r="CN104" s="69" t="s">
        <v>59</v>
      </c>
      <c r="CO104" s="69" t="s">
        <v>59</v>
      </c>
      <c r="CP104" s="69" t="s">
        <v>59</v>
      </c>
      <c r="CQ104" s="69" t="s">
        <v>59</v>
      </c>
      <c r="CR104" s="69" t="s">
        <v>59</v>
      </c>
      <c r="CS104" s="69"/>
      <c r="CT104" s="69"/>
      <c r="CU104" s="69" t="s">
        <v>59</v>
      </c>
      <c r="CV104" s="69" t="s">
        <v>59</v>
      </c>
      <c r="CW104" s="69" t="s">
        <v>59</v>
      </c>
      <c r="CX104" s="69" t="s">
        <v>59</v>
      </c>
      <c r="CY104" s="69" t="s">
        <v>59</v>
      </c>
      <c r="CZ104" s="69" t="s">
        <v>59</v>
      </c>
      <c r="DA104" s="69" t="s">
        <v>59</v>
      </c>
      <c r="DB104" s="69" t="s">
        <v>59</v>
      </c>
      <c r="DC104" s="69">
        <v>3</v>
      </c>
      <c r="DD104" s="55"/>
      <c r="DE104" s="43"/>
      <c r="DF104" s="43"/>
      <c r="DG104" s="43"/>
      <c r="DH104" s="43"/>
      <c r="DI104" s="43"/>
      <c r="DJ104" s="43"/>
    </row>
    <row r="105" spans="1:114" ht="14">
      <c r="A105" s="49" t="s">
        <v>374</v>
      </c>
      <c r="B105" s="43">
        <v>10382</v>
      </c>
      <c r="C105" s="34">
        <v>2</v>
      </c>
      <c r="D105" s="43">
        <v>1</v>
      </c>
      <c r="E105" s="48" t="s">
        <v>139</v>
      </c>
      <c r="F105" s="26" t="s">
        <v>59</v>
      </c>
      <c r="G105" s="48">
        <f t="shared" si="1"/>
        <v>71</v>
      </c>
      <c r="H105" s="26" t="s">
        <v>59</v>
      </c>
      <c r="I105" s="26" t="s">
        <v>59</v>
      </c>
      <c r="J105" s="48" t="s">
        <v>59</v>
      </c>
      <c r="K105" s="26" t="s">
        <v>59</v>
      </c>
      <c r="L105" s="26" t="s">
        <v>59</v>
      </c>
      <c r="M105" s="26" t="s">
        <v>59</v>
      </c>
      <c r="N105" s="26" t="s">
        <v>59</v>
      </c>
      <c r="O105" s="26" t="s">
        <v>59</v>
      </c>
      <c r="P105" s="26" t="s">
        <v>59</v>
      </c>
      <c r="Q105" s="48" t="s">
        <v>61</v>
      </c>
      <c r="R105" s="48" t="s">
        <v>61</v>
      </c>
      <c r="S105" s="48" t="s">
        <v>59</v>
      </c>
      <c r="T105" s="48" t="s">
        <v>59</v>
      </c>
      <c r="U105" s="48">
        <v>35</v>
      </c>
      <c r="V105" s="48">
        <v>48</v>
      </c>
      <c r="W105" s="48" t="s">
        <v>59</v>
      </c>
      <c r="X105" s="48" t="s">
        <v>59</v>
      </c>
      <c r="Y105" s="69">
        <v>10.6</v>
      </c>
      <c r="Z105" s="69">
        <v>3</v>
      </c>
      <c r="AA105" s="69" t="s">
        <v>61</v>
      </c>
      <c r="AB105" s="69" t="s">
        <v>61</v>
      </c>
      <c r="AC105" s="69" t="s">
        <v>61</v>
      </c>
      <c r="AD105" s="69">
        <v>9.1999999999999993</v>
      </c>
      <c r="AE105" s="69">
        <v>2.7</v>
      </c>
      <c r="AF105" s="69" t="s">
        <v>61</v>
      </c>
      <c r="AG105" s="69" t="s">
        <v>61</v>
      </c>
      <c r="AH105" s="69" t="s">
        <v>61</v>
      </c>
      <c r="AI105" s="69" t="s">
        <v>59</v>
      </c>
      <c r="AJ105" s="69" t="s">
        <v>59</v>
      </c>
      <c r="AK105" s="69" t="s">
        <v>59</v>
      </c>
      <c r="AL105" s="69" t="s">
        <v>59</v>
      </c>
      <c r="AM105" s="69" t="s">
        <v>59</v>
      </c>
      <c r="AN105" s="69" t="s">
        <v>59</v>
      </c>
      <c r="AO105" s="69" t="s">
        <v>59</v>
      </c>
      <c r="AP105" s="69" t="s">
        <v>59</v>
      </c>
      <c r="AQ105" s="69" t="s">
        <v>59</v>
      </c>
      <c r="AR105" s="69" t="s">
        <v>59</v>
      </c>
      <c r="AS105" s="69" t="s">
        <v>61</v>
      </c>
      <c r="AT105" s="69" t="s">
        <v>64</v>
      </c>
      <c r="AU105" s="69" t="s">
        <v>59</v>
      </c>
      <c r="AV105" s="69" t="s">
        <v>59</v>
      </c>
      <c r="AW105" s="69" t="s">
        <v>59</v>
      </c>
      <c r="AX105" s="69" t="s">
        <v>59</v>
      </c>
      <c r="AY105" s="215">
        <v>29</v>
      </c>
      <c r="AZ105" s="215">
        <v>42</v>
      </c>
      <c r="BA105" s="215" t="s">
        <v>59</v>
      </c>
      <c r="BB105" s="215" t="s">
        <v>59</v>
      </c>
      <c r="BC105" s="69">
        <v>8.6</v>
      </c>
      <c r="BD105" s="69">
        <v>2</v>
      </c>
      <c r="BE105" s="69" t="s">
        <v>61</v>
      </c>
      <c r="BF105" s="48">
        <v>0</v>
      </c>
      <c r="BG105" s="48">
        <v>1</v>
      </c>
      <c r="BH105" s="69" t="s">
        <v>61</v>
      </c>
      <c r="BI105" s="69" t="s">
        <v>61</v>
      </c>
      <c r="BJ105" s="69">
        <v>-2</v>
      </c>
      <c r="BK105" s="69" t="s">
        <v>61</v>
      </c>
      <c r="BL105" s="69" t="s">
        <v>61</v>
      </c>
      <c r="BM105" s="69" t="s">
        <v>61</v>
      </c>
      <c r="BN105" s="69" t="s">
        <v>61</v>
      </c>
      <c r="BO105" s="69" t="s">
        <v>61</v>
      </c>
      <c r="BP105" s="69">
        <v>10.4</v>
      </c>
      <c r="BQ105" s="69">
        <v>2.8</v>
      </c>
      <c r="BR105" s="69" t="s">
        <v>61</v>
      </c>
      <c r="BS105" s="26">
        <v>0</v>
      </c>
      <c r="BT105" s="26">
        <v>1</v>
      </c>
      <c r="BU105" s="69" t="s">
        <v>61</v>
      </c>
      <c r="BV105" s="69" t="s">
        <v>61</v>
      </c>
      <c r="BW105" s="69">
        <v>1.2</v>
      </c>
      <c r="BX105" s="69" t="s">
        <v>61</v>
      </c>
      <c r="BY105" s="69" t="s">
        <v>61</v>
      </c>
      <c r="BZ105" s="69" t="s">
        <v>61</v>
      </c>
      <c r="CA105" s="69" t="s">
        <v>61</v>
      </c>
      <c r="CB105" s="69" t="s">
        <v>61</v>
      </c>
      <c r="CC105" s="69" t="s">
        <v>59</v>
      </c>
      <c r="CD105" s="69" t="s">
        <v>59</v>
      </c>
      <c r="CE105" s="69" t="s">
        <v>59</v>
      </c>
      <c r="CF105" s="69"/>
      <c r="CG105" s="69"/>
      <c r="CH105" s="69" t="s">
        <v>59</v>
      </c>
      <c r="CI105" s="69" t="s">
        <v>59</v>
      </c>
      <c r="CJ105" s="69" t="s">
        <v>59</v>
      </c>
      <c r="CK105" s="69" t="s">
        <v>59</v>
      </c>
      <c r="CL105" s="69" t="s">
        <v>59</v>
      </c>
      <c r="CM105" s="69" t="s">
        <v>59</v>
      </c>
      <c r="CN105" s="69" t="s">
        <v>59</v>
      </c>
      <c r="CO105" s="69" t="s">
        <v>59</v>
      </c>
      <c r="CP105" s="69" t="s">
        <v>59</v>
      </c>
      <c r="CQ105" s="69" t="s">
        <v>59</v>
      </c>
      <c r="CR105" s="69" t="s">
        <v>59</v>
      </c>
      <c r="CS105" s="69"/>
      <c r="CT105" s="69"/>
      <c r="CU105" s="69" t="s">
        <v>59</v>
      </c>
      <c r="CV105" s="69" t="s">
        <v>59</v>
      </c>
      <c r="CW105" s="69" t="s">
        <v>59</v>
      </c>
      <c r="CX105" s="69" t="s">
        <v>59</v>
      </c>
      <c r="CY105" s="69" t="s">
        <v>59</v>
      </c>
      <c r="CZ105" s="69" t="s">
        <v>59</v>
      </c>
      <c r="DA105" s="69" t="s">
        <v>59</v>
      </c>
      <c r="DB105" s="69" t="s">
        <v>59</v>
      </c>
      <c r="DC105" s="69">
        <v>6</v>
      </c>
      <c r="DD105" s="55"/>
      <c r="DE105" s="43"/>
      <c r="DF105" s="43"/>
      <c r="DG105" s="43"/>
      <c r="DH105" s="43"/>
      <c r="DI105" s="43"/>
      <c r="DJ105" s="43"/>
    </row>
    <row r="106" spans="1:114" ht="14">
      <c r="A106" s="49" t="s">
        <v>422</v>
      </c>
      <c r="B106" s="43">
        <v>12509</v>
      </c>
      <c r="C106" s="34">
        <v>2</v>
      </c>
      <c r="D106" s="43">
        <v>1</v>
      </c>
      <c r="E106" s="48" t="s">
        <v>139</v>
      </c>
      <c r="F106" s="26" t="s">
        <v>59</v>
      </c>
      <c r="G106" s="48">
        <f t="shared" si="1"/>
        <v>14</v>
      </c>
      <c r="H106" s="26" t="s">
        <v>59</v>
      </c>
      <c r="I106" s="26" t="s">
        <v>59</v>
      </c>
      <c r="J106" s="48" t="s">
        <v>59</v>
      </c>
      <c r="K106" s="26" t="s">
        <v>59</v>
      </c>
      <c r="L106" s="26" t="s">
        <v>59</v>
      </c>
      <c r="M106" s="26" t="s">
        <v>59</v>
      </c>
      <c r="N106" s="26" t="s">
        <v>59</v>
      </c>
      <c r="O106" s="26" t="s">
        <v>59</v>
      </c>
      <c r="P106" s="26" t="s">
        <v>59</v>
      </c>
      <c r="Q106" s="48" t="s">
        <v>59</v>
      </c>
      <c r="R106" s="48" t="s">
        <v>59</v>
      </c>
      <c r="S106" s="48" t="s">
        <v>59</v>
      </c>
      <c r="T106" s="48" t="s">
        <v>59</v>
      </c>
      <c r="U106" s="48">
        <v>7</v>
      </c>
      <c r="V106" s="48">
        <v>7</v>
      </c>
      <c r="W106" s="48" t="s">
        <v>59</v>
      </c>
      <c r="X106" s="48" t="s">
        <v>59</v>
      </c>
      <c r="Y106" s="69">
        <v>8.1999999999999993</v>
      </c>
      <c r="Z106" s="69">
        <v>3.4</v>
      </c>
      <c r="AA106" s="69" t="s">
        <v>61</v>
      </c>
      <c r="AB106" s="69" t="s">
        <v>61</v>
      </c>
      <c r="AC106" s="69" t="s">
        <v>61</v>
      </c>
      <c r="AD106" s="69">
        <v>8.1</v>
      </c>
      <c r="AE106" s="69">
        <v>3.1</v>
      </c>
      <c r="AF106" s="69" t="s">
        <v>61</v>
      </c>
      <c r="AG106" s="69" t="s">
        <v>61</v>
      </c>
      <c r="AH106" s="69" t="s">
        <v>61</v>
      </c>
      <c r="AI106" s="69" t="s">
        <v>59</v>
      </c>
      <c r="AJ106" s="69" t="s">
        <v>59</v>
      </c>
      <c r="AK106" s="69" t="s">
        <v>59</v>
      </c>
      <c r="AL106" s="69" t="s">
        <v>59</v>
      </c>
      <c r="AM106" s="69" t="s">
        <v>59</v>
      </c>
      <c r="AN106" s="69" t="s">
        <v>59</v>
      </c>
      <c r="AO106" s="69" t="s">
        <v>59</v>
      </c>
      <c r="AP106" s="69" t="s">
        <v>59</v>
      </c>
      <c r="AQ106" s="69" t="s">
        <v>59</v>
      </c>
      <c r="AR106" s="69" t="s">
        <v>59</v>
      </c>
      <c r="AS106" s="69" t="s">
        <v>61</v>
      </c>
      <c r="AT106" s="69" t="s">
        <v>64</v>
      </c>
      <c r="AU106" s="69" t="s">
        <v>59</v>
      </c>
      <c r="AV106" s="69" t="s">
        <v>59</v>
      </c>
      <c r="AW106" s="69" t="s">
        <v>59</v>
      </c>
      <c r="AX106" s="69" t="s">
        <v>59</v>
      </c>
      <c r="AY106" s="215">
        <v>7</v>
      </c>
      <c r="AZ106" s="215">
        <v>7</v>
      </c>
      <c r="BA106" s="215" t="s">
        <v>59</v>
      </c>
      <c r="BB106" s="215" t="s">
        <v>59</v>
      </c>
      <c r="BC106" s="69">
        <v>7.5</v>
      </c>
      <c r="BD106" s="69">
        <v>3.6</v>
      </c>
      <c r="BE106" s="69" t="s">
        <v>61</v>
      </c>
      <c r="BF106" s="48">
        <v>0</v>
      </c>
      <c r="BG106" s="48">
        <v>1</v>
      </c>
      <c r="BH106" s="69" t="s">
        <v>61</v>
      </c>
      <c r="BI106" s="69" t="s">
        <v>61</v>
      </c>
      <c r="BJ106" s="69">
        <v>-0.5</v>
      </c>
      <c r="BK106" s="69" t="s">
        <v>61</v>
      </c>
      <c r="BL106" s="69" t="s">
        <v>61</v>
      </c>
      <c r="BM106" s="69">
        <v>-1.2</v>
      </c>
      <c r="BN106" s="69">
        <v>0.6</v>
      </c>
      <c r="BO106" s="69" t="s">
        <v>61</v>
      </c>
      <c r="BP106" s="69">
        <v>7</v>
      </c>
      <c r="BQ106" s="69">
        <v>2.8</v>
      </c>
      <c r="BR106" s="69" t="s">
        <v>61</v>
      </c>
      <c r="BS106" s="26">
        <v>0</v>
      </c>
      <c r="BT106" s="26">
        <v>1</v>
      </c>
      <c r="BU106" s="69" t="s">
        <v>61</v>
      </c>
      <c r="BV106" s="69" t="s">
        <v>61</v>
      </c>
      <c r="BW106" s="69">
        <v>-0.9</v>
      </c>
      <c r="BX106" s="69" t="s">
        <v>61</v>
      </c>
      <c r="BY106" s="69" t="s">
        <v>61</v>
      </c>
      <c r="BZ106" s="69">
        <v>-1.9</v>
      </c>
      <c r="CA106" s="69">
        <v>0</v>
      </c>
      <c r="CB106" s="69" t="s">
        <v>61</v>
      </c>
      <c r="CC106" s="69" t="s">
        <v>59</v>
      </c>
      <c r="CD106" s="69" t="s">
        <v>59</v>
      </c>
      <c r="CE106" s="69" t="s">
        <v>59</v>
      </c>
      <c r="CF106" s="69"/>
      <c r="CG106" s="69"/>
      <c r="CH106" s="69" t="s">
        <v>59</v>
      </c>
      <c r="CI106" s="69" t="s">
        <v>59</v>
      </c>
      <c r="CJ106" s="69" t="s">
        <v>59</v>
      </c>
      <c r="CK106" s="69" t="s">
        <v>59</v>
      </c>
      <c r="CL106" s="69" t="s">
        <v>59</v>
      </c>
      <c r="CM106" s="69" t="s">
        <v>59</v>
      </c>
      <c r="CN106" s="69" t="s">
        <v>59</v>
      </c>
      <c r="CO106" s="69" t="s">
        <v>59</v>
      </c>
      <c r="CP106" s="69" t="s">
        <v>59</v>
      </c>
      <c r="CQ106" s="69" t="s">
        <v>59</v>
      </c>
      <c r="CR106" s="69" t="s">
        <v>59</v>
      </c>
      <c r="CS106" s="69"/>
      <c r="CT106" s="69"/>
      <c r="CU106" s="69" t="s">
        <v>59</v>
      </c>
      <c r="CV106" s="69" t="s">
        <v>59</v>
      </c>
      <c r="CW106" s="69" t="s">
        <v>59</v>
      </c>
      <c r="CX106" s="69" t="s">
        <v>59</v>
      </c>
      <c r="CY106" s="69" t="s">
        <v>59</v>
      </c>
      <c r="CZ106" s="69" t="s">
        <v>59</v>
      </c>
      <c r="DA106" s="69" t="s">
        <v>59</v>
      </c>
      <c r="DB106" s="69" t="s">
        <v>59</v>
      </c>
      <c r="DC106" s="69">
        <v>6</v>
      </c>
      <c r="DD106" s="55"/>
      <c r="DE106" s="43"/>
      <c r="DF106" s="43"/>
      <c r="DG106" s="43"/>
      <c r="DH106" s="43"/>
      <c r="DI106" s="43"/>
      <c r="DJ106" s="43"/>
    </row>
    <row r="107" spans="1:114">
      <c r="A107" s="51" t="s">
        <v>367</v>
      </c>
      <c r="B107" s="52">
        <v>10319</v>
      </c>
      <c r="C107" s="34">
        <v>2</v>
      </c>
      <c r="D107" s="43">
        <v>1</v>
      </c>
      <c r="E107" s="48" t="s">
        <v>139</v>
      </c>
      <c r="F107" s="26" t="s">
        <v>59</v>
      </c>
      <c r="G107" s="48">
        <f t="shared" si="1"/>
        <v>206</v>
      </c>
      <c r="H107" s="26" t="s">
        <v>59</v>
      </c>
      <c r="I107" s="26" t="s">
        <v>59</v>
      </c>
      <c r="J107" s="48" t="s">
        <v>59</v>
      </c>
      <c r="K107" s="26" t="s">
        <v>59</v>
      </c>
      <c r="L107" s="26" t="s">
        <v>59</v>
      </c>
      <c r="M107" s="26" t="s">
        <v>59</v>
      </c>
      <c r="N107" s="26" t="s">
        <v>59</v>
      </c>
      <c r="O107" s="26" t="s">
        <v>59</v>
      </c>
      <c r="P107" s="26" t="s">
        <v>59</v>
      </c>
      <c r="Q107" s="48" t="s">
        <v>59</v>
      </c>
      <c r="R107" s="48" t="s">
        <v>59</v>
      </c>
      <c r="S107" s="48" t="s">
        <v>59</v>
      </c>
      <c r="T107" s="48" t="s">
        <v>59</v>
      </c>
      <c r="U107" s="48">
        <v>104</v>
      </c>
      <c r="V107" s="48">
        <v>102</v>
      </c>
      <c r="W107" s="48" t="s">
        <v>59</v>
      </c>
      <c r="X107" s="48" t="s">
        <v>59</v>
      </c>
      <c r="Y107" s="48">
        <v>7.4</v>
      </c>
      <c r="Z107" s="48">
        <v>1.3</v>
      </c>
      <c r="AA107" s="48" t="s">
        <v>61</v>
      </c>
      <c r="AB107" s="48" t="s">
        <v>61</v>
      </c>
      <c r="AC107" s="48" t="s">
        <v>61</v>
      </c>
      <c r="AD107" s="48">
        <v>7.6</v>
      </c>
      <c r="AE107" s="48">
        <v>1.3</v>
      </c>
      <c r="AF107" s="48" t="s">
        <v>61</v>
      </c>
      <c r="AG107" s="48" t="s">
        <v>61</v>
      </c>
      <c r="AH107" s="48" t="s">
        <v>61</v>
      </c>
      <c r="AI107" s="48" t="s">
        <v>59</v>
      </c>
      <c r="AJ107" s="48" t="s">
        <v>59</v>
      </c>
      <c r="AK107" s="48" t="s">
        <v>59</v>
      </c>
      <c r="AL107" s="48" t="s">
        <v>59</v>
      </c>
      <c r="AM107" s="48" t="s">
        <v>59</v>
      </c>
      <c r="AN107" s="48" t="s">
        <v>59</v>
      </c>
      <c r="AO107" s="48" t="s">
        <v>59</v>
      </c>
      <c r="AP107" s="48" t="s">
        <v>59</v>
      </c>
      <c r="AQ107" s="48" t="s">
        <v>59</v>
      </c>
      <c r="AR107" s="48" t="s">
        <v>59</v>
      </c>
      <c r="AS107" s="48" t="s">
        <v>61</v>
      </c>
      <c r="AT107" s="48" t="s">
        <v>64</v>
      </c>
      <c r="AU107" s="48" t="s">
        <v>59</v>
      </c>
      <c r="AV107" s="48" t="s">
        <v>59</v>
      </c>
      <c r="AW107" s="48" t="s">
        <v>59</v>
      </c>
      <c r="AX107" s="48" t="s">
        <v>59</v>
      </c>
      <c r="AY107" s="73">
        <v>104</v>
      </c>
      <c r="AZ107" s="73">
        <v>102</v>
      </c>
      <c r="BA107" s="73" t="s">
        <v>59</v>
      </c>
      <c r="BB107" s="73" t="s">
        <v>59</v>
      </c>
      <c r="BC107" s="48">
        <v>7.43</v>
      </c>
      <c r="BD107" s="48" t="s">
        <v>61</v>
      </c>
      <c r="BE107" s="48" t="s">
        <v>61</v>
      </c>
      <c r="BF107" s="26">
        <v>9</v>
      </c>
      <c r="BG107" s="48">
        <v>1</v>
      </c>
      <c r="BH107" s="48" t="s">
        <v>61</v>
      </c>
      <c r="BI107" s="48" t="s">
        <v>61</v>
      </c>
      <c r="BJ107" s="48">
        <v>0.03</v>
      </c>
      <c r="BK107" s="48" t="s">
        <v>59</v>
      </c>
      <c r="BL107" s="48" t="s">
        <v>59</v>
      </c>
      <c r="BM107" s="48">
        <v>-0.2</v>
      </c>
      <c r="BN107" s="48">
        <v>0.3</v>
      </c>
      <c r="BO107" s="48" t="s">
        <v>61</v>
      </c>
      <c r="BP107" s="48">
        <v>7.51</v>
      </c>
      <c r="BQ107" s="48" t="s">
        <v>59</v>
      </c>
      <c r="BR107" s="48" t="s">
        <v>59</v>
      </c>
      <c r="BS107" s="26">
        <v>9</v>
      </c>
      <c r="BT107" s="26">
        <v>1</v>
      </c>
      <c r="BU107" s="48" t="s">
        <v>59</v>
      </c>
      <c r="BV107" s="48" t="s">
        <v>59</v>
      </c>
      <c r="BW107" s="48">
        <v>-0.09</v>
      </c>
      <c r="BX107" s="48" t="s">
        <v>59</v>
      </c>
      <c r="BY107" s="48" t="s">
        <v>59</v>
      </c>
      <c r="BZ107" s="48">
        <v>-0.3</v>
      </c>
      <c r="CA107" s="48">
        <v>0.1</v>
      </c>
      <c r="CB107" s="48" t="s">
        <v>61</v>
      </c>
      <c r="CC107" s="48" t="s">
        <v>59</v>
      </c>
      <c r="CD107" s="48" t="s">
        <v>59</v>
      </c>
      <c r="CE107" s="48" t="s">
        <v>59</v>
      </c>
      <c r="CF107" s="48"/>
      <c r="CG107" s="48"/>
      <c r="CH107" s="48" t="s">
        <v>59</v>
      </c>
      <c r="CI107" s="48" t="s">
        <v>59</v>
      </c>
      <c r="CJ107" s="48" t="s">
        <v>59</v>
      </c>
      <c r="CK107" s="48" t="s">
        <v>59</v>
      </c>
      <c r="CL107" s="48" t="s">
        <v>59</v>
      </c>
      <c r="CM107" s="48" t="s">
        <v>59</v>
      </c>
      <c r="CN107" s="48" t="s">
        <v>59</v>
      </c>
      <c r="CO107" s="48" t="s">
        <v>59</v>
      </c>
      <c r="CP107" s="48" t="s">
        <v>59</v>
      </c>
      <c r="CQ107" s="48" t="s">
        <v>59</v>
      </c>
      <c r="CR107" s="48" t="s">
        <v>59</v>
      </c>
      <c r="CS107" s="48"/>
      <c r="CT107" s="48"/>
      <c r="CU107" s="48" t="s">
        <v>59</v>
      </c>
      <c r="CV107" s="48" t="s">
        <v>59</v>
      </c>
      <c r="CW107" s="48" t="s">
        <v>59</v>
      </c>
      <c r="CX107" s="48" t="s">
        <v>59</v>
      </c>
      <c r="CY107" s="48" t="s">
        <v>59</v>
      </c>
      <c r="CZ107" s="48" t="s">
        <v>59</v>
      </c>
      <c r="DA107" s="48" t="s">
        <v>59</v>
      </c>
      <c r="DB107" s="48" t="s">
        <v>59</v>
      </c>
      <c r="DC107" s="48">
        <v>14</v>
      </c>
      <c r="DD107" s="55"/>
      <c r="DE107" s="43"/>
      <c r="DF107" s="43"/>
      <c r="DG107" s="43"/>
      <c r="DH107" s="43"/>
      <c r="DI107" s="43"/>
      <c r="DJ107" s="43"/>
    </row>
    <row r="108" spans="1:114">
      <c r="A108" s="34" t="s">
        <v>197</v>
      </c>
      <c r="B108" s="34">
        <v>5292</v>
      </c>
      <c r="C108" s="34">
        <v>2</v>
      </c>
      <c r="D108" s="43">
        <v>1</v>
      </c>
      <c r="E108" s="26" t="s">
        <v>139</v>
      </c>
      <c r="F108" s="26" t="s">
        <v>59</v>
      </c>
      <c r="G108" s="48">
        <f t="shared" si="1"/>
        <v>30</v>
      </c>
      <c r="H108" s="26" t="s">
        <v>59</v>
      </c>
      <c r="I108" s="26" t="s">
        <v>60</v>
      </c>
      <c r="J108" s="26" t="s">
        <v>59</v>
      </c>
      <c r="K108" s="26" t="s">
        <v>59</v>
      </c>
      <c r="L108" s="26" t="s">
        <v>59</v>
      </c>
      <c r="M108" s="26" t="s">
        <v>59</v>
      </c>
      <c r="N108" s="26" t="s">
        <v>59</v>
      </c>
      <c r="O108" s="26" t="s">
        <v>59</v>
      </c>
      <c r="P108" s="26" t="s">
        <v>59</v>
      </c>
      <c r="Q108" s="26" t="s">
        <v>60</v>
      </c>
      <c r="R108" s="26" t="s">
        <v>60</v>
      </c>
      <c r="S108" s="26" t="s">
        <v>60</v>
      </c>
      <c r="T108" s="26" t="s">
        <v>60</v>
      </c>
      <c r="U108" s="26">
        <v>15</v>
      </c>
      <c r="V108" s="26">
        <v>15</v>
      </c>
      <c r="W108" s="26" t="s">
        <v>60</v>
      </c>
      <c r="X108" s="26" t="s">
        <v>60</v>
      </c>
      <c r="Y108" s="26">
        <v>6.5</v>
      </c>
      <c r="Z108" s="26">
        <v>0.7</v>
      </c>
      <c r="AA108" s="26" t="s">
        <v>61</v>
      </c>
      <c r="AB108" s="26" t="s">
        <v>61</v>
      </c>
      <c r="AC108" s="27" t="s">
        <v>61</v>
      </c>
      <c r="AD108" s="26">
        <v>6.4</v>
      </c>
      <c r="AE108" s="26">
        <v>0.6</v>
      </c>
      <c r="AF108" s="26" t="s">
        <v>61</v>
      </c>
      <c r="AG108" s="26" t="s">
        <v>61</v>
      </c>
      <c r="AH108" s="27" t="s">
        <v>61</v>
      </c>
      <c r="AI108" s="26" t="s">
        <v>60</v>
      </c>
      <c r="AJ108" s="26" t="s">
        <v>60</v>
      </c>
      <c r="AK108" s="26" t="s">
        <v>59</v>
      </c>
      <c r="AL108" s="26" t="s">
        <v>59</v>
      </c>
      <c r="AM108" s="26" t="s">
        <v>59</v>
      </c>
      <c r="AN108" s="26" t="s">
        <v>60</v>
      </c>
      <c r="AO108" s="26" t="s">
        <v>60</v>
      </c>
      <c r="AP108" s="26" t="s">
        <v>59</v>
      </c>
      <c r="AQ108" s="26" t="s">
        <v>59</v>
      </c>
      <c r="AR108" s="26" t="s">
        <v>59</v>
      </c>
      <c r="AS108" s="26">
        <v>0.8679</v>
      </c>
      <c r="AT108" s="26" t="s">
        <v>64</v>
      </c>
      <c r="AU108" s="26" t="s">
        <v>59</v>
      </c>
      <c r="AV108" s="26" t="s">
        <v>59</v>
      </c>
      <c r="AW108" s="26" t="s">
        <v>59</v>
      </c>
      <c r="AX108" s="26" t="s">
        <v>59</v>
      </c>
      <c r="AY108" s="186">
        <v>15</v>
      </c>
      <c r="AZ108" s="186">
        <v>15</v>
      </c>
      <c r="BA108" s="186" t="s">
        <v>60</v>
      </c>
      <c r="BB108" s="186" t="s">
        <v>60</v>
      </c>
      <c r="BC108" s="26">
        <v>6.8</v>
      </c>
      <c r="BD108" s="26" t="s">
        <v>61</v>
      </c>
      <c r="BE108" s="26" t="s">
        <v>61</v>
      </c>
      <c r="BF108" s="26">
        <v>9</v>
      </c>
      <c r="BG108" s="48">
        <v>1</v>
      </c>
      <c r="BH108" s="27" t="s">
        <v>61</v>
      </c>
      <c r="BI108" s="27" t="s">
        <v>61</v>
      </c>
      <c r="BJ108" s="26">
        <v>0.3</v>
      </c>
      <c r="BK108" s="26">
        <v>1</v>
      </c>
      <c r="BL108" s="26" t="s">
        <v>61</v>
      </c>
      <c r="BM108" s="26" t="s">
        <v>61</v>
      </c>
      <c r="BN108" s="26" t="s">
        <v>61</v>
      </c>
      <c r="BO108" s="26">
        <v>0.38129999999999997</v>
      </c>
      <c r="BP108" s="26">
        <v>6.3</v>
      </c>
      <c r="BQ108" s="26" t="s">
        <v>61</v>
      </c>
      <c r="BR108" s="26" t="s">
        <v>59</v>
      </c>
      <c r="BS108" s="26">
        <v>9</v>
      </c>
      <c r="BT108" s="26">
        <v>1</v>
      </c>
      <c r="BU108" s="27" t="s">
        <v>61</v>
      </c>
      <c r="BV108" s="27" t="s">
        <v>61</v>
      </c>
      <c r="BW108" s="26">
        <v>-0.1</v>
      </c>
      <c r="BX108" s="26">
        <v>0.3</v>
      </c>
      <c r="BY108" s="27" t="s">
        <v>61</v>
      </c>
      <c r="BZ108" s="26" t="s">
        <v>61</v>
      </c>
      <c r="CA108" s="27" t="s">
        <v>61</v>
      </c>
      <c r="CB108" s="26">
        <v>0.15340000000000001</v>
      </c>
      <c r="CC108" s="26" t="s">
        <v>60</v>
      </c>
      <c r="CD108" s="26" t="s">
        <v>60</v>
      </c>
      <c r="CE108" s="26" t="s">
        <v>59</v>
      </c>
      <c r="CF108" s="26"/>
      <c r="CG108" s="26"/>
      <c r="CH108" s="26" t="s">
        <v>59</v>
      </c>
      <c r="CI108" s="26" t="s">
        <v>59</v>
      </c>
      <c r="CJ108" s="26" t="s">
        <v>59</v>
      </c>
      <c r="CK108" s="26" t="s">
        <v>59</v>
      </c>
      <c r="CL108" s="26" t="s">
        <v>59</v>
      </c>
      <c r="CM108" s="26" t="s">
        <v>59</v>
      </c>
      <c r="CN108" s="26" t="s">
        <v>59</v>
      </c>
      <c r="CO108" s="26" t="s">
        <v>59</v>
      </c>
      <c r="CP108" s="26" t="s">
        <v>60</v>
      </c>
      <c r="CQ108" s="26" t="s">
        <v>60</v>
      </c>
      <c r="CR108" s="26" t="s">
        <v>59</v>
      </c>
      <c r="CS108" s="26"/>
      <c r="CT108" s="26"/>
      <c r="CU108" s="26" t="s">
        <v>59</v>
      </c>
      <c r="CV108" s="26" t="s">
        <v>59</v>
      </c>
      <c r="CW108" s="26" t="s">
        <v>59</v>
      </c>
      <c r="CX108" s="26" t="s">
        <v>59</v>
      </c>
      <c r="CY108" s="26" t="s">
        <v>59</v>
      </c>
      <c r="CZ108" s="26" t="s">
        <v>59</v>
      </c>
      <c r="DA108" s="26" t="s">
        <v>59</v>
      </c>
      <c r="DB108" s="26" t="s">
        <v>59</v>
      </c>
      <c r="DC108" s="26">
        <v>3</v>
      </c>
    </row>
    <row r="109" spans="1:114">
      <c r="A109" s="34" t="s">
        <v>195</v>
      </c>
      <c r="B109" s="34">
        <v>5177</v>
      </c>
      <c r="C109" s="34">
        <v>2</v>
      </c>
      <c r="D109" s="43">
        <v>1</v>
      </c>
      <c r="E109" s="26" t="s">
        <v>139</v>
      </c>
      <c r="F109" s="26" t="s">
        <v>59</v>
      </c>
      <c r="G109" s="48">
        <f t="shared" si="1"/>
        <v>146</v>
      </c>
      <c r="H109" s="26" t="s">
        <v>59</v>
      </c>
      <c r="I109" s="26" t="s">
        <v>60</v>
      </c>
      <c r="J109" s="26" t="s">
        <v>59</v>
      </c>
      <c r="K109" s="26" t="s">
        <v>59</v>
      </c>
      <c r="L109" s="26" t="s">
        <v>59</v>
      </c>
      <c r="M109" s="26" t="s">
        <v>59</v>
      </c>
      <c r="N109" s="26" t="s">
        <v>59</v>
      </c>
      <c r="O109" s="26" t="s">
        <v>59</v>
      </c>
      <c r="P109" s="26" t="s">
        <v>59</v>
      </c>
      <c r="Q109" s="26" t="s">
        <v>60</v>
      </c>
      <c r="R109" s="26" t="s">
        <v>60</v>
      </c>
      <c r="S109" s="26" t="s">
        <v>60</v>
      </c>
      <c r="T109" s="26" t="s">
        <v>60</v>
      </c>
      <c r="U109" s="26">
        <v>50</v>
      </c>
      <c r="V109" s="26">
        <v>100</v>
      </c>
      <c r="W109" s="26" t="s">
        <v>60</v>
      </c>
      <c r="X109" s="26" t="s">
        <v>60</v>
      </c>
      <c r="Y109" s="26">
        <v>7</v>
      </c>
      <c r="Z109" s="26">
        <v>1.41</v>
      </c>
      <c r="AA109" s="26">
        <v>0.2</v>
      </c>
      <c r="AB109" s="26" t="s">
        <v>61</v>
      </c>
      <c r="AC109" s="27" t="s">
        <v>61</v>
      </c>
      <c r="AD109" s="26">
        <v>7.1</v>
      </c>
      <c r="AE109" s="26">
        <v>1</v>
      </c>
      <c r="AF109" s="26">
        <v>0.1</v>
      </c>
      <c r="AG109" s="26" t="s">
        <v>61</v>
      </c>
      <c r="AH109" s="27" t="s">
        <v>61</v>
      </c>
      <c r="AI109" s="26" t="s">
        <v>59</v>
      </c>
      <c r="AJ109" s="26" t="s">
        <v>60</v>
      </c>
      <c r="AK109" s="26" t="s">
        <v>59</v>
      </c>
      <c r="AL109" s="26" t="s">
        <v>59</v>
      </c>
      <c r="AM109" s="26" t="s">
        <v>59</v>
      </c>
      <c r="AN109" s="26" t="s">
        <v>60</v>
      </c>
      <c r="AO109" s="26" t="s">
        <v>60</v>
      </c>
      <c r="AP109" s="26" t="s">
        <v>59</v>
      </c>
      <c r="AQ109" s="26" t="s">
        <v>59</v>
      </c>
      <c r="AR109" s="26" t="s">
        <v>59</v>
      </c>
      <c r="AS109" s="26">
        <v>0.63700000000000001</v>
      </c>
      <c r="AT109" s="26" t="s">
        <v>64</v>
      </c>
      <c r="AU109" s="26" t="s">
        <v>59</v>
      </c>
      <c r="AV109" s="26" t="s">
        <v>59</v>
      </c>
      <c r="AW109" s="26" t="s">
        <v>59</v>
      </c>
      <c r="AX109" s="26" t="s">
        <v>59</v>
      </c>
      <c r="AY109" s="186">
        <v>49</v>
      </c>
      <c r="AZ109" s="186">
        <v>97</v>
      </c>
      <c r="BA109" s="186" t="s">
        <v>60</v>
      </c>
      <c r="BB109" s="186" t="s">
        <v>60</v>
      </c>
      <c r="BC109" s="26">
        <f>7+0.1</f>
        <v>7.1</v>
      </c>
      <c r="BD109" s="27" t="s">
        <v>61</v>
      </c>
      <c r="BE109" s="26">
        <v>0.2</v>
      </c>
      <c r="BF109" s="48">
        <v>1</v>
      </c>
      <c r="BG109" s="48">
        <v>1</v>
      </c>
      <c r="BH109" s="27" t="s">
        <v>61</v>
      </c>
      <c r="BI109" s="27" t="s">
        <v>61</v>
      </c>
      <c r="BJ109" s="26">
        <v>0.1</v>
      </c>
      <c r="BK109" s="26" t="s">
        <v>61</v>
      </c>
      <c r="BL109" s="26">
        <v>0.2</v>
      </c>
      <c r="BM109" s="26" t="s">
        <v>61</v>
      </c>
      <c r="BN109" s="26" t="s">
        <v>61</v>
      </c>
      <c r="BO109" s="26" t="s">
        <v>61</v>
      </c>
      <c r="BP109" s="26">
        <f>7.1-0.8</f>
        <v>6.3</v>
      </c>
      <c r="BQ109" s="26" t="s">
        <v>61</v>
      </c>
      <c r="BR109" s="26">
        <v>0.1</v>
      </c>
      <c r="BS109" s="69">
        <v>1</v>
      </c>
      <c r="BT109" s="26">
        <v>1</v>
      </c>
      <c r="BU109" s="27" t="s">
        <v>61</v>
      </c>
      <c r="BV109" s="27" t="s">
        <v>61</v>
      </c>
      <c r="BW109" s="26">
        <v>-0.8</v>
      </c>
      <c r="BX109" s="26" t="s">
        <v>61</v>
      </c>
      <c r="BY109" s="26">
        <v>0.1</v>
      </c>
      <c r="BZ109" s="26" t="s">
        <v>61</v>
      </c>
      <c r="CA109" s="27" t="s">
        <v>61</v>
      </c>
      <c r="CB109" s="26" t="s">
        <v>61</v>
      </c>
      <c r="CC109" s="26" t="s">
        <v>60</v>
      </c>
      <c r="CD109" s="26" t="s">
        <v>60</v>
      </c>
      <c r="CE109" s="26" t="s">
        <v>59</v>
      </c>
      <c r="CF109" s="26"/>
      <c r="CG109" s="26"/>
      <c r="CH109" s="26" t="s">
        <v>59</v>
      </c>
      <c r="CI109" s="26" t="s">
        <v>59</v>
      </c>
      <c r="CJ109" s="26" t="s">
        <v>59</v>
      </c>
      <c r="CK109" s="26" t="s">
        <v>59</v>
      </c>
      <c r="CL109" s="26" t="s">
        <v>59</v>
      </c>
      <c r="CM109" s="26" t="s">
        <v>59</v>
      </c>
      <c r="CN109" s="26" t="s">
        <v>59</v>
      </c>
      <c r="CO109" s="26" t="s">
        <v>59</v>
      </c>
      <c r="CP109" s="26" t="s">
        <v>60</v>
      </c>
      <c r="CQ109" s="26" t="s">
        <v>60</v>
      </c>
      <c r="CR109" s="26" t="s">
        <v>59</v>
      </c>
      <c r="CS109" s="26"/>
      <c r="CT109" s="26"/>
      <c r="CU109" s="26" t="s">
        <v>59</v>
      </c>
      <c r="CV109" s="26" t="s">
        <v>59</v>
      </c>
      <c r="CW109" s="26" t="s">
        <v>59</v>
      </c>
      <c r="CX109" s="26" t="s">
        <v>59</v>
      </c>
      <c r="CY109" s="26" t="s">
        <v>59</v>
      </c>
      <c r="CZ109" s="26" t="s">
        <v>59</v>
      </c>
      <c r="DA109" s="26" t="s">
        <v>59</v>
      </c>
      <c r="DB109" s="26" t="s">
        <v>59</v>
      </c>
      <c r="DC109" s="26">
        <v>6</v>
      </c>
    </row>
    <row r="110" spans="1:114">
      <c r="A110" s="51" t="s">
        <v>346</v>
      </c>
      <c r="B110" s="52">
        <v>10127</v>
      </c>
      <c r="C110" s="34">
        <v>2</v>
      </c>
      <c r="D110" s="43">
        <v>1</v>
      </c>
      <c r="E110" s="48" t="s">
        <v>139</v>
      </c>
      <c r="F110" s="26" t="s">
        <v>59</v>
      </c>
      <c r="G110" s="48">
        <f t="shared" si="1"/>
        <v>180</v>
      </c>
      <c r="H110" s="26" t="s">
        <v>59</v>
      </c>
      <c r="I110" s="26" t="s">
        <v>59</v>
      </c>
      <c r="J110" s="48" t="s">
        <v>59</v>
      </c>
      <c r="K110" s="26" t="s">
        <v>59</v>
      </c>
      <c r="L110" s="26" t="s">
        <v>59</v>
      </c>
      <c r="M110" s="26" t="s">
        <v>59</v>
      </c>
      <c r="N110" s="26" t="s">
        <v>59</v>
      </c>
      <c r="O110" s="26" t="s">
        <v>59</v>
      </c>
      <c r="P110" s="26" t="s">
        <v>59</v>
      </c>
      <c r="Q110" s="48" t="s">
        <v>59</v>
      </c>
      <c r="R110" s="48" t="s">
        <v>59</v>
      </c>
      <c r="S110" s="48" t="s">
        <v>59</v>
      </c>
      <c r="T110" s="48" t="s">
        <v>59</v>
      </c>
      <c r="U110" s="48">
        <v>88</v>
      </c>
      <c r="V110" s="48">
        <v>92</v>
      </c>
      <c r="W110" s="48" t="s">
        <v>59</v>
      </c>
      <c r="X110" s="48" t="s">
        <v>59</v>
      </c>
      <c r="Y110" s="48">
        <v>7</v>
      </c>
      <c r="Z110" s="48">
        <v>1.9</v>
      </c>
      <c r="AA110" s="48" t="s">
        <v>61</v>
      </c>
      <c r="AB110" s="48" t="s">
        <v>61</v>
      </c>
      <c r="AC110" s="48" t="s">
        <v>61</v>
      </c>
      <c r="AD110" s="48">
        <v>7.2</v>
      </c>
      <c r="AE110" s="48">
        <v>1.8</v>
      </c>
      <c r="AF110" s="48" t="s">
        <v>61</v>
      </c>
      <c r="AG110" s="48" t="s">
        <v>61</v>
      </c>
      <c r="AH110" s="48" t="s">
        <v>61</v>
      </c>
      <c r="AI110" s="48" t="s">
        <v>59</v>
      </c>
      <c r="AJ110" s="48" t="s">
        <v>59</v>
      </c>
      <c r="AK110" s="48" t="s">
        <v>59</v>
      </c>
      <c r="AL110" s="48" t="s">
        <v>59</v>
      </c>
      <c r="AM110" s="48" t="s">
        <v>59</v>
      </c>
      <c r="AN110" s="48" t="s">
        <v>59</v>
      </c>
      <c r="AO110" s="48" t="s">
        <v>59</v>
      </c>
      <c r="AP110" s="48" t="s">
        <v>59</v>
      </c>
      <c r="AQ110" s="48" t="s">
        <v>59</v>
      </c>
      <c r="AR110" s="48" t="s">
        <v>59</v>
      </c>
      <c r="AS110" s="48">
        <v>0.51</v>
      </c>
      <c r="AT110" s="48" t="s">
        <v>64</v>
      </c>
      <c r="AU110" s="48" t="s">
        <v>59</v>
      </c>
      <c r="AV110" s="48" t="s">
        <v>59</v>
      </c>
      <c r="AW110" s="48" t="s">
        <v>59</v>
      </c>
      <c r="AX110" s="48" t="s">
        <v>59</v>
      </c>
      <c r="AY110" s="73">
        <v>88</v>
      </c>
      <c r="AZ110" s="73">
        <v>92</v>
      </c>
      <c r="BA110" s="73" t="s">
        <v>59</v>
      </c>
      <c r="BB110" s="73" t="s">
        <v>59</v>
      </c>
      <c r="BC110" s="48">
        <v>7.5</v>
      </c>
      <c r="BD110" s="48" t="s">
        <v>61</v>
      </c>
      <c r="BE110" s="48" t="s">
        <v>61</v>
      </c>
      <c r="BF110" s="26">
        <v>9</v>
      </c>
      <c r="BG110" s="48">
        <v>1</v>
      </c>
      <c r="BH110" s="48" t="s">
        <v>61</v>
      </c>
      <c r="BI110" s="48" t="s">
        <v>61</v>
      </c>
      <c r="BJ110" s="48">
        <v>0.5</v>
      </c>
      <c r="BK110" s="48">
        <v>1.1100000000000001</v>
      </c>
      <c r="BL110" s="48" t="s">
        <v>61</v>
      </c>
      <c r="BM110" s="48" t="s">
        <v>61</v>
      </c>
      <c r="BN110" s="48" t="s">
        <v>61</v>
      </c>
      <c r="BO110" s="48" t="s">
        <v>61</v>
      </c>
      <c r="BP110" s="48">
        <v>6.5</v>
      </c>
      <c r="BQ110" s="48" t="s">
        <v>61</v>
      </c>
      <c r="BR110" s="48" t="s">
        <v>61</v>
      </c>
      <c r="BS110" s="26">
        <v>9</v>
      </c>
      <c r="BT110" s="26">
        <v>1</v>
      </c>
      <c r="BU110" s="48" t="s">
        <v>61</v>
      </c>
      <c r="BV110" s="48" t="s">
        <v>61</v>
      </c>
      <c r="BW110" s="48">
        <v>-0.7</v>
      </c>
      <c r="BX110" s="48">
        <v>1.32</v>
      </c>
      <c r="BY110" s="48" t="s">
        <v>61</v>
      </c>
      <c r="BZ110" s="48" t="s">
        <v>61</v>
      </c>
      <c r="CA110" s="48" t="s">
        <v>61</v>
      </c>
      <c r="CB110" s="48" t="s">
        <v>61</v>
      </c>
      <c r="CC110" s="48" t="s">
        <v>59</v>
      </c>
      <c r="CD110" s="48" t="s">
        <v>59</v>
      </c>
      <c r="CE110" s="48" t="s">
        <v>59</v>
      </c>
      <c r="CF110" s="48"/>
      <c r="CG110" s="48"/>
      <c r="CH110" s="48" t="s">
        <v>59</v>
      </c>
      <c r="CI110" s="48" t="s">
        <v>59</v>
      </c>
      <c r="CJ110" s="48" t="s">
        <v>59</v>
      </c>
      <c r="CK110" s="48" t="s">
        <v>59</v>
      </c>
      <c r="CL110" s="48" t="s">
        <v>59</v>
      </c>
      <c r="CM110" s="48" t="s">
        <v>59</v>
      </c>
      <c r="CN110" s="48" t="s">
        <v>59</v>
      </c>
      <c r="CO110" s="48" t="s">
        <v>59</v>
      </c>
      <c r="CP110" s="48" t="s">
        <v>59</v>
      </c>
      <c r="CQ110" s="48" t="s">
        <v>59</v>
      </c>
      <c r="CR110" s="48" t="s">
        <v>59</v>
      </c>
      <c r="CS110" s="48"/>
      <c r="CT110" s="48"/>
      <c r="CU110" s="48" t="s">
        <v>59</v>
      </c>
      <c r="CV110" s="48" t="s">
        <v>59</v>
      </c>
      <c r="CW110" s="48" t="s">
        <v>59</v>
      </c>
      <c r="CX110" s="48" t="s">
        <v>59</v>
      </c>
      <c r="CY110" s="48" t="s">
        <v>59</v>
      </c>
      <c r="CZ110" s="48" t="s">
        <v>59</v>
      </c>
      <c r="DA110" s="48" t="s">
        <v>59</v>
      </c>
      <c r="DB110" s="48" t="s">
        <v>59</v>
      </c>
      <c r="DC110" s="48">
        <v>3</v>
      </c>
      <c r="DD110" s="55"/>
      <c r="DE110" s="43"/>
      <c r="DF110" s="43"/>
      <c r="DG110" s="43"/>
      <c r="DH110" s="43"/>
      <c r="DI110" s="43"/>
      <c r="DJ110" s="43"/>
    </row>
    <row r="111" spans="1:114" ht="14">
      <c r="A111" s="34" t="s">
        <v>175</v>
      </c>
      <c r="B111" s="22">
        <v>2915</v>
      </c>
      <c r="C111" s="34">
        <v>2</v>
      </c>
      <c r="D111" s="43">
        <v>1</v>
      </c>
      <c r="E111" s="26" t="s">
        <v>139</v>
      </c>
      <c r="F111" s="26" t="s">
        <v>59</v>
      </c>
      <c r="G111" s="48">
        <f t="shared" si="1"/>
        <v>17</v>
      </c>
      <c r="H111" s="26" t="s">
        <v>59</v>
      </c>
      <c r="I111" s="26" t="s">
        <v>60</v>
      </c>
      <c r="J111" s="26" t="s">
        <v>59</v>
      </c>
      <c r="K111" s="26" t="s">
        <v>59</v>
      </c>
      <c r="L111" s="26" t="s">
        <v>59</v>
      </c>
      <c r="M111" s="26" t="s">
        <v>59</v>
      </c>
      <c r="N111" s="26" t="s">
        <v>59</v>
      </c>
      <c r="O111" s="26" t="s">
        <v>59</v>
      </c>
      <c r="P111" s="26" t="s">
        <v>59</v>
      </c>
      <c r="Q111" s="26" t="s">
        <v>60</v>
      </c>
      <c r="R111" s="26" t="s">
        <v>60</v>
      </c>
      <c r="S111" s="26" t="s">
        <v>60</v>
      </c>
      <c r="T111" s="26" t="s">
        <v>60</v>
      </c>
      <c r="U111" s="26">
        <v>8</v>
      </c>
      <c r="V111" s="26">
        <v>9</v>
      </c>
      <c r="W111" s="26" t="s">
        <v>60</v>
      </c>
      <c r="X111" s="26" t="s">
        <v>60</v>
      </c>
      <c r="Y111" s="26">
        <v>7</v>
      </c>
      <c r="Z111" s="33" t="s">
        <v>61</v>
      </c>
      <c r="AA111" s="26">
        <v>0.2</v>
      </c>
      <c r="AB111" s="26" t="s">
        <v>61</v>
      </c>
      <c r="AC111" s="27" t="s">
        <v>61</v>
      </c>
      <c r="AD111" s="26">
        <v>6.8</v>
      </c>
      <c r="AE111" s="33" t="s">
        <v>61</v>
      </c>
      <c r="AF111" s="26">
        <v>0.3</v>
      </c>
      <c r="AG111" s="26" t="s">
        <v>61</v>
      </c>
      <c r="AH111" s="27" t="s">
        <v>61</v>
      </c>
      <c r="AI111" s="26" t="s">
        <v>60</v>
      </c>
      <c r="AJ111" s="26" t="s">
        <v>60</v>
      </c>
      <c r="AK111" s="26" t="s">
        <v>59</v>
      </c>
      <c r="AL111" s="26" t="s">
        <v>59</v>
      </c>
      <c r="AM111" s="26" t="s">
        <v>59</v>
      </c>
      <c r="AN111" s="26" t="s">
        <v>60</v>
      </c>
      <c r="AO111" s="26" t="s">
        <v>60</v>
      </c>
      <c r="AP111" s="26" t="s">
        <v>59</v>
      </c>
      <c r="AQ111" s="26" t="s">
        <v>59</v>
      </c>
      <c r="AR111" s="26" t="s">
        <v>59</v>
      </c>
      <c r="AS111" s="26" t="s">
        <v>61</v>
      </c>
      <c r="AT111" s="26" t="s">
        <v>64</v>
      </c>
      <c r="AU111" s="26" t="s">
        <v>59</v>
      </c>
      <c r="AV111" s="26" t="s">
        <v>59</v>
      </c>
      <c r="AW111" s="26" t="s">
        <v>59</v>
      </c>
      <c r="AX111" s="26" t="s">
        <v>59</v>
      </c>
      <c r="AY111" s="186">
        <v>8</v>
      </c>
      <c r="AZ111" s="186">
        <v>9</v>
      </c>
      <c r="BA111" s="186" t="s">
        <v>60</v>
      </c>
      <c r="BB111" s="186" t="s">
        <v>60</v>
      </c>
      <c r="BC111" s="26">
        <v>6.7</v>
      </c>
      <c r="BD111" s="33" t="s">
        <v>61</v>
      </c>
      <c r="BE111" s="26">
        <v>0.3</v>
      </c>
      <c r="BF111" s="26">
        <v>0</v>
      </c>
      <c r="BG111" s="48">
        <v>1</v>
      </c>
      <c r="BH111" s="27" t="s">
        <v>61</v>
      </c>
      <c r="BI111" s="27" t="s">
        <v>61</v>
      </c>
      <c r="BJ111" s="26" t="s">
        <v>61</v>
      </c>
      <c r="BK111" s="26" t="s">
        <v>61</v>
      </c>
      <c r="BL111" s="26" t="s">
        <v>61</v>
      </c>
      <c r="BM111" s="26" t="s">
        <v>61</v>
      </c>
      <c r="BN111" s="26" t="s">
        <v>61</v>
      </c>
      <c r="BO111" s="26" t="s">
        <v>167</v>
      </c>
      <c r="BP111" s="26">
        <v>6.3</v>
      </c>
      <c r="BQ111" s="33" t="s">
        <v>61</v>
      </c>
      <c r="BR111" s="26">
        <v>0.3</v>
      </c>
      <c r="BS111" s="26">
        <v>0</v>
      </c>
      <c r="BT111" s="26">
        <v>1</v>
      </c>
      <c r="BU111" s="27" t="s">
        <v>61</v>
      </c>
      <c r="BV111" s="27" t="s">
        <v>61</v>
      </c>
      <c r="BW111" s="26" t="s">
        <v>61</v>
      </c>
      <c r="BX111" s="26" t="s">
        <v>61</v>
      </c>
      <c r="BY111" s="27" t="s">
        <v>61</v>
      </c>
      <c r="BZ111" s="26" t="s">
        <v>61</v>
      </c>
      <c r="CA111" s="27" t="s">
        <v>61</v>
      </c>
      <c r="CB111" s="26" t="s">
        <v>167</v>
      </c>
      <c r="CC111" s="26" t="s">
        <v>60</v>
      </c>
      <c r="CD111" s="26" t="s">
        <v>60</v>
      </c>
      <c r="CE111" s="26" t="s">
        <v>59</v>
      </c>
      <c r="CF111" s="26"/>
      <c r="CG111" s="26"/>
      <c r="CH111" s="26" t="s">
        <v>59</v>
      </c>
      <c r="CI111" s="26" t="s">
        <v>59</v>
      </c>
      <c r="CJ111" s="26" t="s">
        <v>59</v>
      </c>
      <c r="CK111" s="26" t="s">
        <v>59</v>
      </c>
      <c r="CL111" s="26" t="s">
        <v>59</v>
      </c>
      <c r="CM111" s="26" t="s">
        <v>59</v>
      </c>
      <c r="CN111" s="26" t="s">
        <v>59</v>
      </c>
      <c r="CO111" s="26" t="s">
        <v>59</v>
      </c>
      <c r="CP111" s="26" t="s">
        <v>59</v>
      </c>
      <c r="CQ111" s="26" t="s">
        <v>60</v>
      </c>
      <c r="CR111" s="26" t="s">
        <v>59</v>
      </c>
      <c r="CS111" s="26"/>
      <c r="CT111" s="26"/>
      <c r="CU111" s="26" t="s">
        <v>59</v>
      </c>
      <c r="CV111" s="26" t="s">
        <v>59</v>
      </c>
      <c r="CW111" s="26" t="s">
        <v>59</v>
      </c>
      <c r="CX111" s="26" t="s">
        <v>59</v>
      </c>
      <c r="CY111" s="26" t="s">
        <v>59</v>
      </c>
      <c r="CZ111" s="26" t="s">
        <v>59</v>
      </c>
      <c r="DA111" s="26" t="s">
        <v>59</v>
      </c>
      <c r="DB111" s="26" t="s">
        <v>59</v>
      </c>
      <c r="DC111" s="26">
        <v>3</v>
      </c>
    </row>
    <row r="112" spans="1:114" ht="14">
      <c r="A112" s="49" t="s">
        <v>411</v>
      </c>
      <c r="B112" s="43">
        <v>12341</v>
      </c>
      <c r="C112" s="34">
        <v>2</v>
      </c>
      <c r="D112" s="43">
        <v>1</v>
      </c>
      <c r="E112" s="48" t="s">
        <v>139</v>
      </c>
      <c r="F112" s="26" t="s">
        <v>59</v>
      </c>
      <c r="G112" s="48">
        <f t="shared" si="1"/>
        <v>47</v>
      </c>
      <c r="H112" s="26" t="s">
        <v>59</v>
      </c>
      <c r="I112" s="26" t="s">
        <v>59</v>
      </c>
      <c r="J112" s="48" t="s">
        <v>59</v>
      </c>
      <c r="K112" s="26" t="s">
        <v>59</v>
      </c>
      <c r="L112" s="26" t="s">
        <v>59</v>
      </c>
      <c r="M112" s="26" t="s">
        <v>59</v>
      </c>
      <c r="N112" s="26" t="s">
        <v>59</v>
      </c>
      <c r="O112" s="26" t="s">
        <v>59</v>
      </c>
      <c r="P112" s="26" t="s">
        <v>59</v>
      </c>
      <c r="Q112" s="48" t="s">
        <v>59</v>
      </c>
      <c r="R112" s="48" t="s">
        <v>59</v>
      </c>
      <c r="S112" s="48" t="s">
        <v>59</v>
      </c>
      <c r="T112" s="48" t="s">
        <v>59</v>
      </c>
      <c r="U112" s="48">
        <v>24</v>
      </c>
      <c r="V112" s="48">
        <v>24</v>
      </c>
      <c r="W112" s="48" t="s">
        <v>59</v>
      </c>
      <c r="X112" s="48" t="s">
        <v>59</v>
      </c>
      <c r="Y112" s="69">
        <v>7.09</v>
      </c>
      <c r="Z112" s="69">
        <v>1.51</v>
      </c>
      <c r="AA112" s="69" t="s">
        <v>61</v>
      </c>
      <c r="AB112" s="69" t="s">
        <v>61</v>
      </c>
      <c r="AC112" s="69" t="s">
        <v>61</v>
      </c>
      <c r="AD112" s="69">
        <v>6.86</v>
      </c>
      <c r="AE112" s="69">
        <v>1.56</v>
      </c>
      <c r="AF112" s="69" t="s">
        <v>61</v>
      </c>
      <c r="AG112" s="69" t="s">
        <v>61</v>
      </c>
      <c r="AH112" s="69" t="s">
        <v>61</v>
      </c>
      <c r="AI112" s="69" t="s">
        <v>59</v>
      </c>
      <c r="AJ112" s="69" t="s">
        <v>59</v>
      </c>
      <c r="AK112" s="69" t="s">
        <v>59</v>
      </c>
      <c r="AL112" s="69" t="s">
        <v>59</v>
      </c>
      <c r="AM112" s="69" t="s">
        <v>59</v>
      </c>
      <c r="AN112" s="69" t="s">
        <v>59</v>
      </c>
      <c r="AO112" s="69" t="s">
        <v>59</v>
      </c>
      <c r="AP112" s="69" t="s">
        <v>59</v>
      </c>
      <c r="AQ112" s="69" t="s">
        <v>59</v>
      </c>
      <c r="AR112" s="69" t="s">
        <v>59</v>
      </c>
      <c r="AS112" s="69">
        <v>0.60899999999999999</v>
      </c>
      <c r="AT112" s="69" t="s">
        <v>64</v>
      </c>
      <c r="AU112" s="69" t="s">
        <v>59</v>
      </c>
      <c r="AV112" s="69" t="s">
        <v>59</v>
      </c>
      <c r="AW112" s="69" t="s">
        <v>59</v>
      </c>
      <c r="AX112" s="69" t="s">
        <v>59</v>
      </c>
      <c r="AY112" s="215">
        <v>24</v>
      </c>
      <c r="AZ112" s="215">
        <v>23</v>
      </c>
      <c r="BA112" s="215" t="s">
        <v>59</v>
      </c>
      <c r="BB112" s="215" t="s">
        <v>59</v>
      </c>
      <c r="BC112" s="69">
        <v>7.09</v>
      </c>
      <c r="BD112" s="69" t="s">
        <v>61</v>
      </c>
      <c r="BE112" s="69" t="s">
        <v>61</v>
      </c>
      <c r="BF112" s="26">
        <v>9</v>
      </c>
      <c r="BG112" s="48">
        <v>1</v>
      </c>
      <c r="BH112" s="69" t="s">
        <v>61</v>
      </c>
      <c r="BI112" s="69" t="s">
        <v>61</v>
      </c>
      <c r="BJ112" s="69">
        <v>4.0000000000000001E-3</v>
      </c>
      <c r="BK112" s="69" t="s">
        <v>61</v>
      </c>
      <c r="BL112" s="69" t="s">
        <v>61</v>
      </c>
      <c r="BM112" s="69">
        <v>-0.35</v>
      </c>
      <c r="BN112" s="69">
        <v>0.36</v>
      </c>
      <c r="BO112" s="69">
        <v>0.98499999999999999</v>
      </c>
      <c r="BP112" s="69">
        <v>6.49</v>
      </c>
      <c r="BQ112" s="69" t="s">
        <v>61</v>
      </c>
      <c r="BR112" s="69" t="s">
        <v>61</v>
      </c>
      <c r="BS112" s="26">
        <v>9</v>
      </c>
      <c r="BT112" s="26">
        <v>1</v>
      </c>
      <c r="BU112" s="69" t="s">
        <v>61</v>
      </c>
      <c r="BV112" s="69" t="s">
        <v>61</v>
      </c>
      <c r="BW112" s="69">
        <v>-0.37</v>
      </c>
      <c r="BX112" s="69" t="s">
        <v>61</v>
      </c>
      <c r="BY112" s="69">
        <v>-0.73</v>
      </c>
      <c r="BZ112" s="69">
        <v>-0.01</v>
      </c>
      <c r="CA112" s="69" t="s">
        <v>61</v>
      </c>
      <c r="CB112" s="69">
        <v>2.5000000000000001E-2</v>
      </c>
      <c r="CC112" s="69" t="s">
        <v>59</v>
      </c>
      <c r="CD112" s="69" t="s">
        <v>59</v>
      </c>
      <c r="CE112" s="69" t="s">
        <v>59</v>
      </c>
      <c r="CF112" s="69"/>
      <c r="CG112" s="69"/>
      <c r="CH112" s="69" t="s">
        <v>59</v>
      </c>
      <c r="CI112" s="69" t="s">
        <v>59</v>
      </c>
      <c r="CJ112" s="69" t="s">
        <v>59</v>
      </c>
      <c r="CK112" s="69" t="s">
        <v>59</v>
      </c>
      <c r="CL112" s="69" t="s">
        <v>59</v>
      </c>
      <c r="CM112" s="69" t="s">
        <v>59</v>
      </c>
      <c r="CN112" s="69" t="s">
        <v>59</v>
      </c>
      <c r="CO112" s="69" t="s">
        <v>59</v>
      </c>
      <c r="CP112" s="69" t="s">
        <v>59</v>
      </c>
      <c r="CQ112" s="69" t="s">
        <v>59</v>
      </c>
      <c r="CR112" s="69" t="s">
        <v>59</v>
      </c>
      <c r="CS112" s="69"/>
      <c r="CT112" s="69"/>
      <c r="CU112" s="69" t="s">
        <v>59</v>
      </c>
      <c r="CV112" s="69" t="s">
        <v>59</v>
      </c>
      <c r="CW112" s="69" t="s">
        <v>59</v>
      </c>
      <c r="CX112" s="69" t="s">
        <v>59</v>
      </c>
      <c r="CY112" s="69" t="s">
        <v>59</v>
      </c>
      <c r="CZ112" s="69" t="s">
        <v>59</v>
      </c>
      <c r="DA112" s="69" t="s">
        <v>59</v>
      </c>
      <c r="DB112" s="69" t="s">
        <v>59</v>
      </c>
      <c r="DC112" s="69">
        <v>10</v>
      </c>
      <c r="DD112" s="55"/>
      <c r="DE112" s="43"/>
      <c r="DF112" s="43"/>
      <c r="DG112" s="43"/>
      <c r="DH112" s="43"/>
      <c r="DI112" s="43"/>
      <c r="DJ112" s="43"/>
    </row>
    <row r="113" spans="1:114">
      <c r="A113" s="34" t="s">
        <v>235</v>
      </c>
      <c r="B113" s="34">
        <v>6366</v>
      </c>
      <c r="C113" s="34">
        <v>2</v>
      </c>
      <c r="D113" s="43">
        <v>1</v>
      </c>
      <c r="E113" s="26" t="s">
        <v>139</v>
      </c>
      <c r="F113" s="26" t="s">
        <v>59</v>
      </c>
      <c r="G113" s="48">
        <f t="shared" si="1"/>
        <v>180</v>
      </c>
      <c r="H113" s="26" t="s">
        <v>59</v>
      </c>
      <c r="I113" s="26" t="s">
        <v>59</v>
      </c>
      <c r="J113" s="26" t="s">
        <v>59</v>
      </c>
      <c r="K113" s="26" t="s">
        <v>59</v>
      </c>
      <c r="L113" s="26" t="s">
        <v>59</v>
      </c>
      <c r="M113" s="26" t="s">
        <v>59</v>
      </c>
      <c r="N113" s="26" t="s">
        <v>59</v>
      </c>
      <c r="O113" s="26" t="s">
        <v>59</v>
      </c>
      <c r="P113" s="26" t="s">
        <v>59</v>
      </c>
      <c r="Q113" s="26" t="s">
        <v>59</v>
      </c>
      <c r="R113" s="26" t="s">
        <v>59</v>
      </c>
      <c r="S113" s="26" t="s">
        <v>60</v>
      </c>
      <c r="T113" s="26" t="s">
        <v>60</v>
      </c>
      <c r="U113" s="26">
        <v>88</v>
      </c>
      <c r="V113" s="26">
        <v>92</v>
      </c>
      <c r="W113" s="26" t="s">
        <v>60</v>
      </c>
      <c r="X113" s="26" t="s">
        <v>60</v>
      </c>
      <c r="Y113" s="26">
        <v>7.1</v>
      </c>
      <c r="Z113" s="222">
        <v>1.1100000000000001</v>
      </c>
      <c r="AA113" s="26" t="s">
        <v>61</v>
      </c>
      <c r="AB113" s="26">
        <v>7.1</v>
      </c>
      <c r="AC113" s="26" t="s">
        <v>236</v>
      </c>
      <c r="AD113" s="26">
        <v>7.5</v>
      </c>
      <c r="AE113" s="229">
        <v>0.89</v>
      </c>
      <c r="AF113" s="26" t="s">
        <v>61</v>
      </c>
      <c r="AG113" s="26">
        <v>7.5</v>
      </c>
      <c r="AH113" s="26" t="s">
        <v>237</v>
      </c>
      <c r="AI113" s="26" t="s">
        <v>60</v>
      </c>
      <c r="AJ113" s="26" t="s">
        <v>60</v>
      </c>
      <c r="AK113" s="26" t="s">
        <v>59</v>
      </c>
      <c r="AL113" s="26" t="s">
        <v>59</v>
      </c>
      <c r="AM113" s="26" t="s">
        <v>59</v>
      </c>
      <c r="AN113" s="26" t="s">
        <v>60</v>
      </c>
      <c r="AO113" s="26" t="s">
        <v>60</v>
      </c>
      <c r="AP113" s="26" t="s">
        <v>59</v>
      </c>
      <c r="AQ113" s="26" t="s">
        <v>59</v>
      </c>
      <c r="AR113" s="26" t="s">
        <v>59</v>
      </c>
      <c r="AS113" s="26">
        <v>4.5999999999999999E-2</v>
      </c>
      <c r="AT113" s="26" t="s">
        <v>64</v>
      </c>
      <c r="AU113" s="26" t="s">
        <v>59</v>
      </c>
      <c r="AV113" s="26" t="s">
        <v>59</v>
      </c>
      <c r="AW113" s="26" t="s">
        <v>59</v>
      </c>
      <c r="AX113" s="26" t="s">
        <v>59</v>
      </c>
      <c r="AY113" s="186">
        <v>88</v>
      </c>
      <c r="AZ113" s="186">
        <v>92</v>
      </c>
      <c r="BA113" s="186" t="s">
        <v>60</v>
      </c>
      <c r="BB113" s="186" t="s">
        <v>60</v>
      </c>
      <c r="BC113" s="26">
        <v>7.1</v>
      </c>
      <c r="BD113" s="26" t="s">
        <v>61</v>
      </c>
      <c r="BE113" s="26" t="s">
        <v>61</v>
      </c>
      <c r="BF113" s="26">
        <v>9</v>
      </c>
      <c r="BG113" s="48">
        <v>1</v>
      </c>
      <c r="BH113" s="27" t="s">
        <v>61</v>
      </c>
      <c r="BI113" s="27" t="s">
        <v>61</v>
      </c>
      <c r="BJ113" s="26">
        <v>0</v>
      </c>
      <c r="BK113" s="26" t="s">
        <v>61</v>
      </c>
      <c r="BL113" s="26" t="s">
        <v>61</v>
      </c>
      <c r="BM113" s="26">
        <v>-0.2</v>
      </c>
      <c r="BN113" s="26">
        <v>0.2</v>
      </c>
      <c r="BO113" s="26" t="s">
        <v>61</v>
      </c>
      <c r="BP113" s="26">
        <v>7</v>
      </c>
      <c r="BQ113" s="26" t="s">
        <v>61</v>
      </c>
      <c r="BR113" s="26" t="s">
        <v>61</v>
      </c>
      <c r="BS113" s="26">
        <v>9</v>
      </c>
      <c r="BT113" s="26">
        <v>1</v>
      </c>
      <c r="BU113" s="27" t="s">
        <v>61</v>
      </c>
      <c r="BV113" s="27" t="s">
        <v>61</v>
      </c>
      <c r="BW113" s="26">
        <v>-0.5</v>
      </c>
      <c r="BX113" s="26" t="s">
        <v>61</v>
      </c>
      <c r="BY113" s="27" t="s">
        <v>61</v>
      </c>
      <c r="BZ113" s="26">
        <v>-0.7</v>
      </c>
      <c r="CA113" s="27">
        <v>-0.3</v>
      </c>
      <c r="CB113" s="26" t="s">
        <v>61</v>
      </c>
      <c r="CC113" s="26" t="s">
        <v>60</v>
      </c>
      <c r="CD113" s="26" t="s">
        <v>60</v>
      </c>
      <c r="CE113" s="26" t="s">
        <v>59</v>
      </c>
      <c r="CF113" s="26"/>
      <c r="CG113" s="26"/>
      <c r="CH113" s="26" t="s">
        <v>59</v>
      </c>
      <c r="CI113" s="26" t="s">
        <v>59</v>
      </c>
      <c r="CJ113" s="26" t="s">
        <v>59</v>
      </c>
      <c r="CK113" s="26" t="s">
        <v>59</v>
      </c>
      <c r="CL113" s="26" t="s">
        <v>59</v>
      </c>
      <c r="CM113" s="26" t="s">
        <v>59</v>
      </c>
      <c r="CN113" s="26" t="s">
        <v>59</v>
      </c>
      <c r="CO113" s="26" t="s">
        <v>59</v>
      </c>
      <c r="CP113" s="26" t="s">
        <v>60</v>
      </c>
      <c r="CQ113" s="26" t="s">
        <v>60</v>
      </c>
      <c r="CR113" s="26" t="s">
        <v>59</v>
      </c>
      <c r="CS113" s="26"/>
      <c r="CT113" s="26"/>
      <c r="CU113" s="26" t="s">
        <v>59</v>
      </c>
      <c r="CV113" s="26" t="s">
        <v>59</v>
      </c>
      <c r="CW113" s="26" t="s">
        <v>59</v>
      </c>
      <c r="CX113" s="26" t="s">
        <v>59</v>
      </c>
      <c r="CY113" s="26" t="s">
        <v>59</v>
      </c>
      <c r="CZ113" s="26" t="s">
        <v>59</v>
      </c>
      <c r="DA113" s="26" t="s">
        <v>59</v>
      </c>
      <c r="DB113" s="26" t="s">
        <v>59</v>
      </c>
      <c r="DC113" s="26">
        <v>12</v>
      </c>
    </row>
    <row r="114" spans="1:114">
      <c r="A114" s="34" t="s">
        <v>226</v>
      </c>
      <c r="B114" s="34">
        <v>6140</v>
      </c>
      <c r="C114" s="34">
        <v>2</v>
      </c>
      <c r="D114" s="43">
        <v>1</v>
      </c>
      <c r="E114" s="26" t="s">
        <v>139</v>
      </c>
      <c r="F114" s="26" t="s">
        <v>59</v>
      </c>
      <c r="G114" s="48">
        <f t="shared" si="1"/>
        <v>101</v>
      </c>
      <c r="H114" s="26" t="s">
        <v>59</v>
      </c>
      <c r="I114" s="26" t="s">
        <v>60</v>
      </c>
      <c r="J114" s="26" t="s">
        <v>59</v>
      </c>
      <c r="K114" s="26" t="s">
        <v>59</v>
      </c>
      <c r="L114" s="26" t="s">
        <v>59</v>
      </c>
      <c r="M114" s="26" t="s">
        <v>59</v>
      </c>
      <c r="N114" s="26" t="s">
        <v>59</v>
      </c>
      <c r="O114" s="26" t="s">
        <v>59</v>
      </c>
      <c r="P114" s="26" t="s">
        <v>59</v>
      </c>
      <c r="Q114" s="26" t="s">
        <v>60</v>
      </c>
      <c r="R114" s="26" t="s">
        <v>60</v>
      </c>
      <c r="S114" s="26" t="s">
        <v>60</v>
      </c>
      <c r="T114" s="26" t="s">
        <v>60</v>
      </c>
      <c r="U114" s="26">
        <v>55</v>
      </c>
      <c r="V114" s="26">
        <v>55</v>
      </c>
      <c r="W114" s="26" t="s">
        <v>60</v>
      </c>
      <c r="X114" s="26" t="s">
        <v>60</v>
      </c>
      <c r="Y114" s="26">
        <v>7.19</v>
      </c>
      <c r="Z114" s="26">
        <v>1.17</v>
      </c>
      <c r="AA114" s="26" t="s">
        <v>61</v>
      </c>
      <c r="AB114" s="26" t="s">
        <v>61</v>
      </c>
      <c r="AC114" s="27" t="s">
        <v>61</v>
      </c>
      <c r="AD114" s="26">
        <v>7.59</v>
      </c>
      <c r="AE114" s="26">
        <v>1.43</v>
      </c>
      <c r="AF114" s="26" t="s">
        <v>61</v>
      </c>
      <c r="AG114" s="26" t="s">
        <v>61</v>
      </c>
      <c r="AH114" s="27" t="s">
        <v>61</v>
      </c>
      <c r="AI114" s="26" t="s">
        <v>60</v>
      </c>
      <c r="AJ114" s="26" t="s">
        <v>60</v>
      </c>
      <c r="AK114" s="26" t="s">
        <v>59</v>
      </c>
      <c r="AL114" s="26" t="s">
        <v>59</v>
      </c>
      <c r="AM114" s="26" t="s">
        <v>59</v>
      </c>
      <c r="AN114" s="26" t="s">
        <v>60</v>
      </c>
      <c r="AO114" s="26" t="s">
        <v>60</v>
      </c>
      <c r="AP114" s="26" t="s">
        <v>59</v>
      </c>
      <c r="AQ114" s="26" t="s">
        <v>59</v>
      </c>
      <c r="AR114" s="26" t="s">
        <v>59</v>
      </c>
      <c r="AS114" s="26">
        <v>0.13300000000000001</v>
      </c>
      <c r="AT114" s="26" t="s">
        <v>64</v>
      </c>
      <c r="AU114" s="26" t="s">
        <v>59</v>
      </c>
      <c r="AV114" s="26" t="s">
        <v>59</v>
      </c>
      <c r="AW114" s="26" t="s">
        <v>59</v>
      </c>
      <c r="AX114" s="26" t="s">
        <v>59</v>
      </c>
      <c r="AY114" s="186">
        <v>50</v>
      </c>
      <c r="AZ114" s="186">
        <v>51</v>
      </c>
      <c r="BA114" s="186" t="s">
        <v>60</v>
      </c>
      <c r="BB114" s="186" t="s">
        <v>60</v>
      </c>
      <c r="BC114" s="26">
        <v>7.59</v>
      </c>
      <c r="BD114" s="26" t="s">
        <v>61</v>
      </c>
      <c r="BE114" s="26">
        <v>0.13</v>
      </c>
      <c r="BF114" s="48">
        <v>1</v>
      </c>
      <c r="BG114" s="48">
        <v>1</v>
      </c>
      <c r="BH114" s="27" t="s">
        <v>61</v>
      </c>
      <c r="BI114" s="27" t="s">
        <v>61</v>
      </c>
      <c r="BJ114" s="26">
        <v>0.33</v>
      </c>
      <c r="BK114" s="26" t="s">
        <v>61</v>
      </c>
      <c r="BL114" s="26" t="s">
        <v>61</v>
      </c>
      <c r="BM114" s="26" t="s">
        <v>61</v>
      </c>
      <c r="BN114" s="26" t="s">
        <v>61</v>
      </c>
      <c r="BO114" s="26" t="s">
        <v>61</v>
      </c>
      <c r="BP114" s="26">
        <v>6.94</v>
      </c>
      <c r="BQ114" s="26" t="s">
        <v>61</v>
      </c>
      <c r="BR114" s="26">
        <v>0.13</v>
      </c>
      <c r="BS114" s="69">
        <v>1</v>
      </c>
      <c r="BT114" s="26">
        <v>1</v>
      </c>
      <c r="BU114" s="27" t="s">
        <v>61</v>
      </c>
      <c r="BV114" s="27" t="s">
        <v>61</v>
      </c>
      <c r="BW114" s="26">
        <v>-0.54</v>
      </c>
      <c r="BX114" s="26" t="s">
        <v>61</v>
      </c>
      <c r="BY114" s="27" t="s">
        <v>61</v>
      </c>
      <c r="BZ114" s="26" t="s">
        <v>61</v>
      </c>
      <c r="CA114" s="27" t="s">
        <v>61</v>
      </c>
      <c r="CB114" s="26" t="s">
        <v>119</v>
      </c>
      <c r="CC114" s="26" t="s">
        <v>60</v>
      </c>
      <c r="CD114" s="26" t="s">
        <v>60</v>
      </c>
      <c r="CE114" s="26" t="s">
        <v>59</v>
      </c>
      <c r="CF114" s="26"/>
      <c r="CG114" s="26"/>
      <c r="CH114" s="26" t="s">
        <v>59</v>
      </c>
      <c r="CI114" s="26" t="s">
        <v>59</v>
      </c>
      <c r="CJ114" s="26" t="s">
        <v>59</v>
      </c>
      <c r="CK114" s="26" t="s">
        <v>59</v>
      </c>
      <c r="CL114" s="26" t="s">
        <v>59</v>
      </c>
      <c r="CM114" s="26" t="s">
        <v>59</v>
      </c>
      <c r="CN114" s="26" t="s">
        <v>59</v>
      </c>
      <c r="CO114" s="26" t="s">
        <v>59</v>
      </c>
      <c r="CP114" s="26" t="s">
        <v>60</v>
      </c>
      <c r="CQ114" s="26" t="s">
        <v>60</v>
      </c>
      <c r="CR114" s="26" t="s">
        <v>59</v>
      </c>
      <c r="CS114" s="26"/>
      <c r="CT114" s="26"/>
      <c r="CU114" s="26" t="s">
        <v>59</v>
      </c>
      <c r="CV114" s="26" t="s">
        <v>59</v>
      </c>
      <c r="CW114" s="26" t="s">
        <v>59</v>
      </c>
      <c r="CX114" s="26" t="s">
        <v>59</v>
      </c>
      <c r="CY114" s="26" t="s">
        <v>59</v>
      </c>
      <c r="CZ114" s="26" t="s">
        <v>59</v>
      </c>
      <c r="DA114" s="26" t="s">
        <v>59</v>
      </c>
      <c r="DB114" s="26" t="s">
        <v>59</v>
      </c>
      <c r="DC114" s="26">
        <v>3</v>
      </c>
    </row>
    <row r="115" spans="1:114" ht="14">
      <c r="A115" s="49" t="s">
        <v>368</v>
      </c>
      <c r="B115" s="43">
        <v>10343</v>
      </c>
      <c r="C115" s="34">
        <v>2</v>
      </c>
      <c r="D115" s="43">
        <v>1</v>
      </c>
      <c r="E115" s="48" t="s">
        <v>139</v>
      </c>
      <c r="F115" s="26" t="s">
        <v>59</v>
      </c>
      <c r="G115" s="48">
        <f t="shared" si="1"/>
        <v>37</v>
      </c>
      <c r="H115" s="26" t="s">
        <v>59</v>
      </c>
      <c r="I115" s="26" t="s">
        <v>59</v>
      </c>
      <c r="J115" s="48" t="s">
        <v>59</v>
      </c>
      <c r="K115" s="26" t="s">
        <v>59</v>
      </c>
      <c r="L115" s="26" t="s">
        <v>59</v>
      </c>
      <c r="M115" s="26" t="s">
        <v>59</v>
      </c>
      <c r="N115" s="26" t="s">
        <v>59</v>
      </c>
      <c r="O115" s="26" t="s">
        <v>59</v>
      </c>
      <c r="P115" s="26" t="s">
        <v>59</v>
      </c>
      <c r="Q115" s="48" t="s">
        <v>59</v>
      </c>
      <c r="R115" s="48" t="s">
        <v>59</v>
      </c>
      <c r="S115" s="48" t="s">
        <v>59</v>
      </c>
      <c r="T115" s="48" t="s">
        <v>59</v>
      </c>
      <c r="U115" s="48">
        <v>37</v>
      </c>
      <c r="V115" s="48">
        <v>33</v>
      </c>
      <c r="W115" s="48" t="s">
        <v>59</v>
      </c>
      <c r="X115" s="48" t="s">
        <v>59</v>
      </c>
      <c r="Y115" s="69">
        <v>7.2</v>
      </c>
      <c r="Z115" s="69">
        <v>1.4</v>
      </c>
      <c r="AA115" s="69" t="s">
        <v>61</v>
      </c>
      <c r="AB115" s="69" t="s">
        <v>61</v>
      </c>
      <c r="AC115" s="69" t="s">
        <v>61</v>
      </c>
      <c r="AD115" s="69">
        <v>7.5</v>
      </c>
      <c r="AE115" s="69">
        <v>1.2</v>
      </c>
      <c r="AF115" s="69" t="s">
        <v>61</v>
      </c>
      <c r="AG115" s="69" t="s">
        <v>61</v>
      </c>
      <c r="AH115" s="69" t="s">
        <v>61</v>
      </c>
      <c r="AI115" s="69" t="s">
        <v>59</v>
      </c>
      <c r="AJ115" s="69" t="s">
        <v>59</v>
      </c>
      <c r="AK115" s="69" t="s">
        <v>59</v>
      </c>
      <c r="AL115" s="69" t="s">
        <v>59</v>
      </c>
      <c r="AM115" s="69" t="s">
        <v>59</v>
      </c>
      <c r="AN115" s="69" t="s">
        <v>59</v>
      </c>
      <c r="AO115" s="69" t="s">
        <v>59</v>
      </c>
      <c r="AP115" s="69" t="s">
        <v>59</v>
      </c>
      <c r="AQ115" s="69" t="s">
        <v>59</v>
      </c>
      <c r="AR115" s="69" t="s">
        <v>59</v>
      </c>
      <c r="AS115" s="69">
        <v>0.36</v>
      </c>
      <c r="AT115" s="69" t="s">
        <v>64</v>
      </c>
      <c r="AU115" s="69" t="s">
        <v>59</v>
      </c>
      <c r="AV115" s="69" t="s">
        <v>59</v>
      </c>
      <c r="AW115" s="69" t="s">
        <v>59</v>
      </c>
      <c r="AX115" s="69" t="s">
        <v>59</v>
      </c>
      <c r="AY115" s="215">
        <v>17</v>
      </c>
      <c r="AZ115" s="215">
        <v>20</v>
      </c>
      <c r="BA115" s="215" t="s">
        <v>59</v>
      </c>
      <c r="BB115" s="215" t="s">
        <v>59</v>
      </c>
      <c r="BC115" s="69">
        <v>7.8</v>
      </c>
      <c r="BD115" s="48" t="s">
        <v>61</v>
      </c>
      <c r="BE115" s="69">
        <v>0.2</v>
      </c>
      <c r="BF115" s="48">
        <v>1</v>
      </c>
      <c r="BG115" s="48">
        <v>1</v>
      </c>
      <c r="BH115" s="69" t="s">
        <v>61</v>
      </c>
      <c r="BI115" s="69" t="s">
        <v>61</v>
      </c>
      <c r="BJ115" s="69" t="s">
        <v>61</v>
      </c>
      <c r="BK115" s="69" t="s">
        <v>61</v>
      </c>
      <c r="BL115" s="69" t="s">
        <v>61</v>
      </c>
      <c r="BM115" s="69" t="s">
        <v>61</v>
      </c>
      <c r="BN115" s="69" t="s">
        <v>61</v>
      </c>
      <c r="BO115" s="69" t="s">
        <v>61</v>
      </c>
      <c r="BP115" s="69">
        <v>7.3</v>
      </c>
      <c r="BQ115" s="26" t="s">
        <v>61</v>
      </c>
      <c r="BR115" s="69">
        <v>0.2</v>
      </c>
      <c r="BS115" s="69">
        <v>1</v>
      </c>
      <c r="BT115" s="26">
        <v>1</v>
      </c>
      <c r="BU115" s="69" t="s">
        <v>61</v>
      </c>
      <c r="BV115" s="69" t="s">
        <v>61</v>
      </c>
      <c r="BW115" s="69" t="s">
        <v>61</v>
      </c>
      <c r="BX115" s="69" t="s">
        <v>61</v>
      </c>
      <c r="BY115" s="69" t="s">
        <v>61</v>
      </c>
      <c r="BZ115" s="69" t="s">
        <v>61</v>
      </c>
      <c r="CA115" s="69" t="s">
        <v>61</v>
      </c>
      <c r="CB115" s="69" t="s">
        <v>61</v>
      </c>
      <c r="CC115" s="69" t="s">
        <v>59</v>
      </c>
      <c r="CD115" s="69" t="s">
        <v>59</v>
      </c>
      <c r="CE115" s="69" t="s">
        <v>59</v>
      </c>
      <c r="CF115" s="69"/>
      <c r="CG115" s="69"/>
      <c r="CH115" s="69" t="s">
        <v>59</v>
      </c>
      <c r="CI115" s="69" t="s">
        <v>59</v>
      </c>
      <c r="CJ115" s="69" t="s">
        <v>59</v>
      </c>
      <c r="CK115" s="69" t="s">
        <v>59</v>
      </c>
      <c r="CL115" s="69" t="s">
        <v>59</v>
      </c>
      <c r="CM115" s="69" t="s">
        <v>59</v>
      </c>
      <c r="CN115" s="69" t="s">
        <v>59</v>
      </c>
      <c r="CO115" s="69" t="s">
        <v>59</v>
      </c>
      <c r="CP115" s="69" t="s">
        <v>59</v>
      </c>
      <c r="CQ115" s="69" t="s">
        <v>59</v>
      </c>
      <c r="CR115" s="69" t="s">
        <v>59</v>
      </c>
      <c r="CS115" s="69"/>
      <c r="CT115" s="69"/>
      <c r="CU115" s="69" t="s">
        <v>59</v>
      </c>
      <c r="CV115" s="69" t="s">
        <v>59</v>
      </c>
      <c r="CW115" s="69" t="s">
        <v>59</v>
      </c>
      <c r="CX115" s="69" t="s">
        <v>59</v>
      </c>
      <c r="CY115" s="69" t="s">
        <v>59</v>
      </c>
      <c r="CZ115" s="69" t="s">
        <v>59</v>
      </c>
      <c r="DA115" s="69" t="s">
        <v>59</v>
      </c>
      <c r="DB115" s="69" t="s">
        <v>59</v>
      </c>
      <c r="DC115" s="69">
        <v>9</v>
      </c>
      <c r="DD115" s="55"/>
      <c r="DE115" s="43"/>
      <c r="DF115" s="43"/>
      <c r="DG115" s="43"/>
      <c r="DH115" s="43"/>
      <c r="DI115" s="43"/>
      <c r="DJ115" s="43"/>
    </row>
    <row r="116" spans="1:114">
      <c r="A116" s="34" t="s">
        <v>186</v>
      </c>
      <c r="B116" s="22">
        <v>5055</v>
      </c>
      <c r="C116" s="34">
        <v>2</v>
      </c>
      <c r="D116" s="43">
        <v>1</v>
      </c>
      <c r="E116" s="26" t="s">
        <v>139</v>
      </c>
      <c r="F116" s="26" t="s">
        <v>59</v>
      </c>
      <c r="G116" s="48">
        <f t="shared" si="1"/>
        <v>216</v>
      </c>
      <c r="H116" s="26" t="s">
        <v>59</v>
      </c>
      <c r="I116" s="19" t="s">
        <v>59</v>
      </c>
      <c r="J116" s="26" t="s">
        <v>59</v>
      </c>
      <c r="K116" s="26" t="s">
        <v>59</v>
      </c>
      <c r="L116" s="26" t="s">
        <v>59</v>
      </c>
      <c r="M116" s="26" t="s">
        <v>59</v>
      </c>
      <c r="N116" s="26" t="s">
        <v>59</v>
      </c>
      <c r="O116" s="26" t="s">
        <v>59</v>
      </c>
      <c r="P116" s="26" t="s">
        <v>59</v>
      </c>
      <c r="Q116" s="26" t="s">
        <v>59</v>
      </c>
      <c r="R116" s="26" t="s">
        <v>59</v>
      </c>
      <c r="S116" s="26" t="s">
        <v>60</v>
      </c>
      <c r="T116" s="26" t="s">
        <v>60</v>
      </c>
      <c r="U116" s="19">
        <v>114</v>
      </c>
      <c r="V116" s="19">
        <v>102</v>
      </c>
      <c r="W116" s="26" t="s">
        <v>80</v>
      </c>
      <c r="X116" s="26" t="s">
        <v>80</v>
      </c>
      <c r="Y116" s="19">
        <v>7.2</v>
      </c>
      <c r="Z116" s="27" t="s">
        <v>61</v>
      </c>
      <c r="AA116" s="19">
        <v>0.15</v>
      </c>
      <c r="AB116" s="19" t="s">
        <v>61</v>
      </c>
      <c r="AC116" s="21" t="s">
        <v>61</v>
      </c>
      <c r="AD116" s="19">
        <v>7.54</v>
      </c>
      <c r="AE116" s="27" t="s">
        <v>61</v>
      </c>
      <c r="AF116" s="19">
        <v>0.15</v>
      </c>
      <c r="AG116" s="19" t="s">
        <v>61</v>
      </c>
      <c r="AH116" s="19" t="s">
        <v>61</v>
      </c>
      <c r="AI116" s="26" t="s">
        <v>59</v>
      </c>
      <c r="AJ116" s="26" t="s">
        <v>80</v>
      </c>
      <c r="AK116" s="26" t="s">
        <v>59</v>
      </c>
      <c r="AL116" s="26" t="s">
        <v>59</v>
      </c>
      <c r="AM116" s="26" t="s">
        <v>59</v>
      </c>
      <c r="AN116" s="26" t="s">
        <v>80</v>
      </c>
      <c r="AO116" s="26" t="s">
        <v>80</v>
      </c>
      <c r="AP116" s="26" t="s">
        <v>59</v>
      </c>
      <c r="AQ116" s="26" t="s">
        <v>59</v>
      </c>
      <c r="AR116" s="26" t="s">
        <v>59</v>
      </c>
      <c r="AS116" s="26" t="s">
        <v>61</v>
      </c>
      <c r="AT116" s="26" t="s">
        <v>64</v>
      </c>
      <c r="AU116" s="26" t="s">
        <v>59</v>
      </c>
      <c r="AV116" s="26" t="s">
        <v>59</v>
      </c>
      <c r="AW116" s="26" t="s">
        <v>59</v>
      </c>
      <c r="AX116" s="26" t="s">
        <v>59</v>
      </c>
      <c r="AY116" s="23">
        <v>114</v>
      </c>
      <c r="AZ116" s="23">
        <v>102</v>
      </c>
      <c r="BA116" s="186" t="s">
        <v>80</v>
      </c>
      <c r="BB116" s="186" t="s">
        <v>80</v>
      </c>
      <c r="BC116" s="19">
        <v>7.38</v>
      </c>
      <c r="BD116" s="26" t="s">
        <v>61</v>
      </c>
      <c r="BE116" s="19">
        <v>0.16</v>
      </c>
      <c r="BF116" s="48">
        <v>1</v>
      </c>
      <c r="BG116" s="48">
        <v>1</v>
      </c>
      <c r="BH116" s="19" t="s">
        <v>61</v>
      </c>
      <c r="BI116" s="19" t="s">
        <v>61</v>
      </c>
      <c r="BJ116" s="19">
        <v>0.18</v>
      </c>
      <c r="BK116" s="19" t="s">
        <v>61</v>
      </c>
      <c r="BL116" s="19" t="s">
        <v>61</v>
      </c>
      <c r="BM116" s="19">
        <v>-0.11</v>
      </c>
      <c r="BN116" s="19">
        <v>0.47</v>
      </c>
      <c r="BO116" s="19">
        <v>0.21</v>
      </c>
      <c r="BP116" s="19">
        <v>7.26</v>
      </c>
      <c r="BQ116" s="26" t="s">
        <v>61</v>
      </c>
      <c r="BR116" s="19">
        <v>0.17</v>
      </c>
      <c r="BS116" s="69">
        <v>1</v>
      </c>
      <c r="BT116" s="26">
        <v>1</v>
      </c>
      <c r="BU116" s="19" t="s">
        <v>61</v>
      </c>
      <c r="BV116" s="19" t="s">
        <v>61</v>
      </c>
      <c r="BW116" s="19">
        <v>-0.28000000000000003</v>
      </c>
      <c r="BX116" s="19" t="s">
        <v>61</v>
      </c>
      <c r="BY116" s="19" t="s">
        <v>61</v>
      </c>
      <c r="BZ116" s="19">
        <v>-0.59</v>
      </c>
      <c r="CA116" s="19">
        <v>0.04</v>
      </c>
      <c r="CB116" s="19">
        <v>0.08</v>
      </c>
      <c r="CC116" s="26" t="s">
        <v>80</v>
      </c>
      <c r="CD116" s="26" t="s">
        <v>80</v>
      </c>
      <c r="CE116" s="26" t="s">
        <v>59</v>
      </c>
      <c r="CF116" s="26"/>
      <c r="CG116" s="26"/>
      <c r="CH116" s="26" t="s">
        <v>59</v>
      </c>
      <c r="CI116" s="26" t="s">
        <v>59</v>
      </c>
      <c r="CJ116" s="26" t="s">
        <v>59</v>
      </c>
      <c r="CK116" s="26" t="s">
        <v>59</v>
      </c>
      <c r="CL116" s="26" t="s">
        <v>59</v>
      </c>
      <c r="CM116" s="26" t="s">
        <v>59</v>
      </c>
      <c r="CN116" s="26" t="s">
        <v>59</v>
      </c>
      <c r="CO116" s="26" t="s">
        <v>59</v>
      </c>
      <c r="CP116" s="26" t="s">
        <v>80</v>
      </c>
      <c r="CQ116" s="26" t="s">
        <v>80</v>
      </c>
      <c r="CR116" s="26" t="s">
        <v>59</v>
      </c>
      <c r="CS116" s="26"/>
      <c r="CT116" s="26"/>
      <c r="CU116" s="26" t="s">
        <v>59</v>
      </c>
      <c r="CV116" s="26" t="s">
        <v>59</v>
      </c>
      <c r="CW116" s="26" t="s">
        <v>59</v>
      </c>
      <c r="CX116" s="26" t="s">
        <v>59</v>
      </c>
      <c r="CY116" s="26" t="s">
        <v>59</v>
      </c>
      <c r="CZ116" s="26" t="s">
        <v>59</v>
      </c>
      <c r="DA116" s="26" t="s">
        <v>59</v>
      </c>
      <c r="DB116" s="26" t="s">
        <v>59</v>
      </c>
      <c r="DC116" s="19">
        <v>24</v>
      </c>
      <c r="DE116" s="29" t="s">
        <v>109</v>
      </c>
      <c r="DF116" s="29" t="s">
        <v>109</v>
      </c>
      <c r="DG116" s="26" t="s">
        <v>109</v>
      </c>
      <c r="DH116" s="27" t="s">
        <v>109</v>
      </c>
      <c r="DI116" s="29" t="s">
        <v>109</v>
      </c>
      <c r="DJ116" s="26" t="s">
        <v>109</v>
      </c>
    </row>
    <row r="117" spans="1:114" ht="14">
      <c r="A117" s="49" t="s">
        <v>361</v>
      </c>
      <c r="B117" s="43">
        <v>10278</v>
      </c>
      <c r="C117" s="43">
        <v>3</v>
      </c>
      <c r="D117" s="43">
        <v>1</v>
      </c>
      <c r="E117" s="48" t="s">
        <v>139</v>
      </c>
      <c r="F117" s="26" t="s">
        <v>59</v>
      </c>
      <c r="G117" s="48">
        <f t="shared" si="1"/>
        <v>302</v>
      </c>
      <c r="H117" s="26" t="s">
        <v>59</v>
      </c>
      <c r="I117" s="26" t="s">
        <v>59</v>
      </c>
      <c r="J117" s="48" t="s">
        <v>59</v>
      </c>
      <c r="K117" s="26" t="s">
        <v>59</v>
      </c>
      <c r="L117" s="26" t="s">
        <v>59</v>
      </c>
      <c r="M117" s="26" t="s">
        <v>59</v>
      </c>
      <c r="N117" s="26" t="s">
        <v>59</v>
      </c>
      <c r="O117" s="26" t="s">
        <v>59</v>
      </c>
      <c r="P117" s="26" t="s">
        <v>59</v>
      </c>
      <c r="Q117" s="48" t="s">
        <v>59</v>
      </c>
      <c r="R117" s="48" t="s">
        <v>59</v>
      </c>
      <c r="S117" s="48" t="s">
        <v>59</v>
      </c>
      <c r="T117" s="48" t="s">
        <v>59</v>
      </c>
      <c r="U117" s="48">
        <v>107</v>
      </c>
      <c r="V117" s="48">
        <v>102</v>
      </c>
      <c r="W117" s="48">
        <v>93</v>
      </c>
      <c r="X117" s="48" t="s">
        <v>59</v>
      </c>
      <c r="Y117" s="69">
        <v>7.2</v>
      </c>
      <c r="Z117" s="69" t="s">
        <v>61</v>
      </c>
      <c r="AA117" s="69" t="s">
        <v>61</v>
      </c>
      <c r="AB117" s="69" t="s">
        <v>61</v>
      </c>
      <c r="AC117" s="69" t="s">
        <v>61</v>
      </c>
      <c r="AD117" s="69">
        <v>7.2</v>
      </c>
      <c r="AE117" s="69" t="s">
        <v>61</v>
      </c>
      <c r="AF117" s="69" t="s">
        <v>61</v>
      </c>
      <c r="AG117" s="69" t="s">
        <v>61</v>
      </c>
      <c r="AH117" s="69" t="s">
        <v>61</v>
      </c>
      <c r="AI117" s="69">
        <v>7.1</v>
      </c>
      <c r="AJ117" s="69" t="s">
        <v>61</v>
      </c>
      <c r="AK117" s="69" t="s">
        <v>61</v>
      </c>
      <c r="AL117" s="69" t="s">
        <v>61</v>
      </c>
      <c r="AM117" s="69" t="s">
        <v>61</v>
      </c>
      <c r="AN117" s="69" t="s">
        <v>59</v>
      </c>
      <c r="AO117" s="69" t="s">
        <v>59</v>
      </c>
      <c r="AP117" s="69" t="s">
        <v>59</v>
      </c>
      <c r="AQ117" s="69" t="s">
        <v>59</v>
      </c>
      <c r="AR117" s="69" t="s">
        <v>59</v>
      </c>
      <c r="AS117" s="69">
        <v>0.71</v>
      </c>
      <c r="AT117" s="69" t="s">
        <v>64</v>
      </c>
      <c r="AU117" s="69" t="s">
        <v>59</v>
      </c>
      <c r="AV117" s="69" t="s">
        <v>59</v>
      </c>
      <c r="AW117" s="69" t="s">
        <v>59</v>
      </c>
      <c r="AX117" s="69" t="s">
        <v>59</v>
      </c>
      <c r="AY117" s="215">
        <v>107</v>
      </c>
      <c r="AZ117" s="215">
        <v>102</v>
      </c>
      <c r="BA117" s="215">
        <v>93</v>
      </c>
      <c r="BB117" s="215" t="s">
        <v>59</v>
      </c>
      <c r="BC117" s="69">
        <v>6.87</v>
      </c>
      <c r="BD117" s="69" t="s">
        <v>61</v>
      </c>
      <c r="BE117" s="69" t="s">
        <v>61</v>
      </c>
      <c r="BF117" s="26">
        <v>9</v>
      </c>
      <c r="BG117" s="48">
        <v>1</v>
      </c>
      <c r="BH117" s="69" t="s">
        <v>61</v>
      </c>
      <c r="BI117" s="69" t="s">
        <v>61</v>
      </c>
      <c r="BJ117" s="69">
        <v>-0.33</v>
      </c>
      <c r="BK117" s="69" t="s">
        <v>61</v>
      </c>
      <c r="BL117" s="69" t="s">
        <v>61</v>
      </c>
      <c r="BM117" s="69" t="s">
        <v>61</v>
      </c>
      <c r="BN117" s="69" t="s">
        <v>61</v>
      </c>
      <c r="BO117" s="69">
        <v>0.01</v>
      </c>
      <c r="BP117" s="69">
        <v>7.03</v>
      </c>
      <c r="BQ117" s="69" t="s">
        <v>61</v>
      </c>
      <c r="BR117" s="69" t="s">
        <v>61</v>
      </c>
      <c r="BS117" s="26">
        <v>9</v>
      </c>
      <c r="BT117" s="26">
        <v>1</v>
      </c>
      <c r="BU117" s="69" t="s">
        <v>61</v>
      </c>
      <c r="BV117" s="69" t="s">
        <v>61</v>
      </c>
      <c r="BW117" s="69">
        <v>-0.17</v>
      </c>
      <c r="BX117" s="69" t="s">
        <v>61</v>
      </c>
      <c r="BY117" s="69" t="s">
        <v>61</v>
      </c>
      <c r="BZ117" s="69" t="s">
        <v>61</v>
      </c>
      <c r="CA117" s="69" t="s">
        <v>61</v>
      </c>
      <c r="CB117" s="69">
        <v>0.22</v>
      </c>
      <c r="CC117" s="69">
        <v>6.91</v>
      </c>
      <c r="CD117" s="69" t="s">
        <v>61</v>
      </c>
      <c r="CE117" s="69" t="s">
        <v>61</v>
      </c>
      <c r="CF117" s="69">
        <v>9</v>
      </c>
      <c r="CG117" s="69">
        <v>1</v>
      </c>
      <c r="CH117" s="69" t="s">
        <v>61</v>
      </c>
      <c r="CI117" s="69" t="s">
        <v>61</v>
      </c>
      <c r="CJ117" s="69">
        <v>-0.19</v>
      </c>
      <c r="CK117" s="69" t="s">
        <v>61</v>
      </c>
      <c r="CL117" s="69" t="s">
        <v>61</v>
      </c>
      <c r="CM117" s="69" t="s">
        <v>61</v>
      </c>
      <c r="CN117" s="69" t="s">
        <v>61</v>
      </c>
      <c r="CO117" s="69">
        <v>0.19</v>
      </c>
      <c r="CP117" s="69" t="s">
        <v>59</v>
      </c>
      <c r="CQ117" s="69" t="s">
        <v>59</v>
      </c>
      <c r="CR117" s="69" t="s">
        <v>59</v>
      </c>
      <c r="CS117" s="69"/>
      <c r="CT117" s="69"/>
      <c r="CU117" s="69" t="s">
        <v>59</v>
      </c>
      <c r="CV117" s="69" t="s">
        <v>59</v>
      </c>
      <c r="CW117" s="69" t="s">
        <v>59</v>
      </c>
      <c r="CX117" s="69" t="s">
        <v>59</v>
      </c>
      <c r="CY117" s="69" t="s">
        <v>59</v>
      </c>
      <c r="CZ117" s="69" t="s">
        <v>59</v>
      </c>
      <c r="DA117" s="69" t="s">
        <v>59</v>
      </c>
      <c r="DB117" s="69" t="s">
        <v>59</v>
      </c>
      <c r="DC117" s="69">
        <v>12</v>
      </c>
      <c r="DD117" s="55"/>
      <c r="DE117" s="43"/>
      <c r="DF117" s="43"/>
      <c r="DG117" s="43"/>
      <c r="DH117" s="43"/>
      <c r="DI117" s="43"/>
      <c r="DJ117" s="43"/>
    </row>
    <row r="118" spans="1:114" ht="14">
      <c r="A118" s="49" t="s">
        <v>419</v>
      </c>
      <c r="B118" s="43">
        <v>12443</v>
      </c>
      <c r="C118" s="34">
        <v>2</v>
      </c>
      <c r="D118" s="43">
        <v>1</v>
      </c>
      <c r="E118" s="48" t="s">
        <v>139</v>
      </c>
      <c r="F118" s="26" t="s">
        <v>59</v>
      </c>
      <c r="G118" s="48">
        <f t="shared" si="1"/>
        <v>70</v>
      </c>
      <c r="H118" s="26" t="s">
        <v>59</v>
      </c>
      <c r="I118" s="26" t="s">
        <v>59</v>
      </c>
      <c r="J118" s="48" t="s">
        <v>59</v>
      </c>
      <c r="K118" s="26" t="s">
        <v>59</v>
      </c>
      <c r="L118" s="26" t="s">
        <v>59</v>
      </c>
      <c r="M118" s="26" t="s">
        <v>59</v>
      </c>
      <c r="N118" s="26" t="s">
        <v>59</v>
      </c>
      <c r="O118" s="26" t="s">
        <v>59</v>
      </c>
      <c r="P118" s="26" t="s">
        <v>59</v>
      </c>
      <c r="Q118" s="48" t="s">
        <v>59</v>
      </c>
      <c r="R118" s="48" t="s">
        <v>59</v>
      </c>
      <c r="S118" s="48" t="s">
        <v>59</v>
      </c>
      <c r="T118" s="48" t="s">
        <v>59</v>
      </c>
      <c r="U118" s="48">
        <v>49</v>
      </c>
      <c r="V118" s="48">
        <v>49</v>
      </c>
      <c r="W118" s="48" t="s">
        <v>59</v>
      </c>
      <c r="X118" s="48" t="s">
        <v>59</v>
      </c>
      <c r="Y118" s="69">
        <v>7.3</v>
      </c>
      <c r="Z118" s="69">
        <v>1.2</v>
      </c>
      <c r="AA118" s="69" t="s">
        <v>61</v>
      </c>
      <c r="AB118" s="69" t="s">
        <v>61</v>
      </c>
      <c r="AC118" s="69" t="s">
        <v>61</v>
      </c>
      <c r="AD118" s="69">
        <v>7.7</v>
      </c>
      <c r="AE118" s="69">
        <v>1.5</v>
      </c>
      <c r="AF118" s="69" t="s">
        <v>61</v>
      </c>
      <c r="AG118" s="69" t="s">
        <v>61</v>
      </c>
      <c r="AH118" s="69" t="s">
        <v>61</v>
      </c>
      <c r="AI118" s="69" t="s">
        <v>59</v>
      </c>
      <c r="AJ118" s="69" t="s">
        <v>59</v>
      </c>
      <c r="AK118" s="69" t="s">
        <v>59</v>
      </c>
      <c r="AL118" s="69" t="s">
        <v>59</v>
      </c>
      <c r="AM118" s="69" t="s">
        <v>59</v>
      </c>
      <c r="AN118" s="69" t="s">
        <v>59</v>
      </c>
      <c r="AO118" s="69" t="s">
        <v>59</v>
      </c>
      <c r="AP118" s="69" t="s">
        <v>59</v>
      </c>
      <c r="AQ118" s="69" t="s">
        <v>59</v>
      </c>
      <c r="AR118" s="69" t="s">
        <v>59</v>
      </c>
      <c r="AS118" s="69">
        <v>0.19</v>
      </c>
      <c r="AT118" s="69" t="s">
        <v>64</v>
      </c>
      <c r="AU118" s="69" t="s">
        <v>59</v>
      </c>
      <c r="AV118" s="69" t="s">
        <v>59</v>
      </c>
      <c r="AW118" s="69" t="s">
        <v>59</v>
      </c>
      <c r="AX118" s="69" t="s">
        <v>59</v>
      </c>
      <c r="AY118" s="215">
        <v>37</v>
      </c>
      <c r="AZ118" s="215">
        <v>33</v>
      </c>
      <c r="BA118" s="215" t="s">
        <v>59</v>
      </c>
      <c r="BB118" s="215" t="s">
        <v>59</v>
      </c>
      <c r="BC118" s="69">
        <v>7.1</v>
      </c>
      <c r="BD118" s="48" t="s">
        <v>61</v>
      </c>
      <c r="BE118" s="69">
        <v>0.2</v>
      </c>
      <c r="BF118" s="48">
        <v>1</v>
      </c>
      <c r="BG118" s="48">
        <v>1</v>
      </c>
      <c r="BH118" s="69" t="s">
        <v>61</v>
      </c>
      <c r="BI118" s="69" t="s">
        <v>61</v>
      </c>
      <c r="BJ118" s="69" t="s">
        <v>61</v>
      </c>
      <c r="BK118" s="69" t="s">
        <v>61</v>
      </c>
      <c r="BL118" s="69" t="s">
        <v>61</v>
      </c>
      <c r="BM118" s="69" t="s">
        <v>61</v>
      </c>
      <c r="BN118" s="69" t="s">
        <v>61</v>
      </c>
      <c r="BO118" s="69" t="s">
        <v>61</v>
      </c>
      <c r="BP118" s="69">
        <v>7.4</v>
      </c>
      <c r="BQ118" s="26" t="s">
        <v>61</v>
      </c>
      <c r="BR118" s="69">
        <v>0.2</v>
      </c>
      <c r="BS118" s="69">
        <v>1</v>
      </c>
      <c r="BT118" s="26">
        <v>1</v>
      </c>
      <c r="BU118" s="69" t="s">
        <v>61</v>
      </c>
      <c r="BV118" s="69" t="s">
        <v>61</v>
      </c>
      <c r="BW118" s="69" t="s">
        <v>61</v>
      </c>
      <c r="BX118" s="69" t="s">
        <v>61</v>
      </c>
      <c r="BY118" s="69" t="s">
        <v>61</v>
      </c>
      <c r="BZ118" s="69" t="s">
        <v>61</v>
      </c>
      <c r="CA118" s="69" t="s">
        <v>61</v>
      </c>
      <c r="CB118" s="69" t="s">
        <v>61</v>
      </c>
      <c r="CC118" s="69" t="s">
        <v>59</v>
      </c>
      <c r="CD118" s="69" t="s">
        <v>59</v>
      </c>
      <c r="CE118" s="69" t="s">
        <v>59</v>
      </c>
      <c r="CF118" s="69"/>
      <c r="CG118" s="69"/>
      <c r="CH118" s="69" t="s">
        <v>59</v>
      </c>
      <c r="CI118" s="69" t="s">
        <v>59</v>
      </c>
      <c r="CJ118" s="69" t="s">
        <v>59</v>
      </c>
      <c r="CK118" s="69" t="s">
        <v>59</v>
      </c>
      <c r="CL118" s="69" t="s">
        <v>59</v>
      </c>
      <c r="CM118" s="69" t="s">
        <v>59</v>
      </c>
      <c r="CN118" s="69" t="s">
        <v>59</v>
      </c>
      <c r="CO118" s="69" t="s">
        <v>59</v>
      </c>
      <c r="CP118" s="69" t="s">
        <v>59</v>
      </c>
      <c r="CQ118" s="69" t="s">
        <v>59</v>
      </c>
      <c r="CR118" s="69" t="s">
        <v>59</v>
      </c>
      <c r="CS118" s="69"/>
      <c r="CT118" s="69"/>
      <c r="CU118" s="69" t="s">
        <v>59</v>
      </c>
      <c r="CV118" s="69" t="s">
        <v>59</v>
      </c>
      <c r="CW118" s="69" t="s">
        <v>59</v>
      </c>
      <c r="CX118" s="69" t="s">
        <v>59</v>
      </c>
      <c r="CY118" s="69" t="s">
        <v>59</v>
      </c>
      <c r="CZ118" s="69" t="s">
        <v>59</v>
      </c>
      <c r="DA118" s="69" t="s">
        <v>59</v>
      </c>
      <c r="DB118" s="69" t="s">
        <v>59</v>
      </c>
      <c r="DC118" s="69">
        <v>12</v>
      </c>
      <c r="DD118" s="55"/>
      <c r="DE118" s="43"/>
      <c r="DF118" s="43"/>
      <c r="DG118" s="43"/>
      <c r="DH118" s="43"/>
      <c r="DI118" s="43"/>
      <c r="DJ118" s="43"/>
    </row>
    <row r="119" spans="1:114">
      <c r="A119" s="49" t="s">
        <v>373</v>
      </c>
      <c r="B119" s="43">
        <v>10379</v>
      </c>
      <c r="C119" s="34">
        <v>2</v>
      </c>
      <c r="D119" s="43">
        <v>1</v>
      </c>
      <c r="E119" s="48" t="s">
        <v>139</v>
      </c>
      <c r="F119" s="26" t="s">
        <v>59</v>
      </c>
      <c r="G119" s="48">
        <f t="shared" si="1"/>
        <v>260</v>
      </c>
      <c r="H119" s="26" t="s">
        <v>59</v>
      </c>
      <c r="I119" s="26" t="s">
        <v>59</v>
      </c>
      <c r="J119" s="48" t="s">
        <v>59</v>
      </c>
      <c r="K119" s="26" t="s">
        <v>59</v>
      </c>
      <c r="L119" s="26" t="s">
        <v>59</v>
      </c>
      <c r="M119" s="26" t="s">
        <v>59</v>
      </c>
      <c r="N119" s="26" t="s">
        <v>59</v>
      </c>
      <c r="O119" s="26" t="s">
        <v>59</v>
      </c>
      <c r="P119" s="26" t="s">
        <v>59</v>
      </c>
      <c r="Q119" s="48" t="s">
        <v>59</v>
      </c>
      <c r="R119" s="48" t="s">
        <v>59</v>
      </c>
      <c r="S119" s="48" t="s">
        <v>59</v>
      </c>
      <c r="T119" s="48" t="s">
        <v>59</v>
      </c>
      <c r="U119" s="48">
        <v>129</v>
      </c>
      <c r="V119" s="48">
        <v>131</v>
      </c>
      <c r="W119" s="48" t="s">
        <v>59</v>
      </c>
      <c r="X119" s="48" t="s">
        <v>59</v>
      </c>
      <c r="Y119" s="48">
        <v>7.3</v>
      </c>
      <c r="Z119" s="48">
        <v>1.3</v>
      </c>
      <c r="AA119" s="48" t="s">
        <v>61</v>
      </c>
      <c r="AB119" s="48" t="s">
        <v>61</v>
      </c>
      <c r="AC119" s="48" t="s">
        <v>61</v>
      </c>
      <c r="AD119" s="48">
        <v>7.5</v>
      </c>
      <c r="AE119" s="48">
        <v>1.6</v>
      </c>
      <c r="AF119" s="48" t="s">
        <v>61</v>
      </c>
      <c r="AG119" s="48" t="s">
        <v>61</v>
      </c>
      <c r="AH119" s="48" t="s">
        <v>61</v>
      </c>
      <c r="AI119" s="48" t="s">
        <v>59</v>
      </c>
      <c r="AJ119" s="48" t="s">
        <v>59</v>
      </c>
      <c r="AK119" s="48" t="s">
        <v>59</v>
      </c>
      <c r="AL119" s="48" t="s">
        <v>59</v>
      </c>
      <c r="AM119" s="48" t="s">
        <v>59</v>
      </c>
      <c r="AN119" s="48" t="s">
        <v>59</v>
      </c>
      <c r="AO119" s="48" t="s">
        <v>59</v>
      </c>
      <c r="AP119" s="48" t="s">
        <v>59</v>
      </c>
      <c r="AQ119" s="48" t="s">
        <v>59</v>
      </c>
      <c r="AR119" s="48" t="s">
        <v>59</v>
      </c>
      <c r="AS119" s="48" t="s">
        <v>61</v>
      </c>
      <c r="AT119" s="48" t="s">
        <v>64</v>
      </c>
      <c r="AU119" s="48" t="s">
        <v>59</v>
      </c>
      <c r="AV119" s="48" t="s">
        <v>59</v>
      </c>
      <c r="AW119" s="48" t="s">
        <v>59</v>
      </c>
      <c r="AX119" s="48" t="s">
        <v>59</v>
      </c>
      <c r="AY119" s="73">
        <v>129</v>
      </c>
      <c r="AZ119" s="73">
        <v>131</v>
      </c>
      <c r="BA119" s="73" t="s">
        <v>59</v>
      </c>
      <c r="BB119" s="73" t="s">
        <v>59</v>
      </c>
      <c r="BC119" s="48">
        <v>7.33</v>
      </c>
      <c r="BD119" s="48" t="s">
        <v>61</v>
      </c>
      <c r="BE119" s="48" t="s">
        <v>61</v>
      </c>
      <c r="BF119" s="26">
        <v>9</v>
      </c>
      <c r="BG119" s="48">
        <v>1</v>
      </c>
      <c r="BH119" s="48" t="s">
        <v>61</v>
      </c>
      <c r="BI119" s="48" t="s">
        <v>61</v>
      </c>
      <c r="BJ119" s="48">
        <v>0.03</v>
      </c>
      <c r="BK119" s="48" t="s">
        <v>61</v>
      </c>
      <c r="BL119" s="48" t="s">
        <v>61</v>
      </c>
      <c r="BM119" s="48">
        <v>-0.22</v>
      </c>
      <c r="BN119" s="48">
        <v>0.28000000000000003</v>
      </c>
      <c r="BO119" s="48" t="s">
        <v>61</v>
      </c>
      <c r="BP119" s="48">
        <v>7.35</v>
      </c>
      <c r="BQ119" s="48" t="s">
        <v>61</v>
      </c>
      <c r="BR119" s="48" t="s">
        <v>61</v>
      </c>
      <c r="BS119" s="26">
        <v>9</v>
      </c>
      <c r="BT119" s="26">
        <v>1</v>
      </c>
      <c r="BU119" s="48" t="s">
        <v>61</v>
      </c>
      <c r="BV119" s="48" t="s">
        <v>61</v>
      </c>
      <c r="BW119" s="48">
        <v>-0.15</v>
      </c>
      <c r="BX119" s="48" t="s">
        <v>61</v>
      </c>
      <c r="BY119" s="48" t="s">
        <v>61</v>
      </c>
      <c r="BZ119" s="48">
        <v>-0.36</v>
      </c>
      <c r="CA119" s="48">
        <v>0.05</v>
      </c>
      <c r="CB119" s="48" t="s">
        <v>61</v>
      </c>
      <c r="CC119" s="48" t="s">
        <v>59</v>
      </c>
      <c r="CD119" s="48" t="s">
        <v>59</v>
      </c>
      <c r="CE119" s="48" t="s">
        <v>59</v>
      </c>
      <c r="CF119" s="48"/>
      <c r="CG119" s="48"/>
      <c r="CH119" s="48" t="s">
        <v>59</v>
      </c>
      <c r="CI119" s="48" t="s">
        <v>59</v>
      </c>
      <c r="CJ119" s="48" t="s">
        <v>59</v>
      </c>
      <c r="CK119" s="48" t="s">
        <v>59</v>
      </c>
      <c r="CL119" s="48" t="s">
        <v>59</v>
      </c>
      <c r="CM119" s="48" t="s">
        <v>59</v>
      </c>
      <c r="CN119" s="48" t="s">
        <v>59</v>
      </c>
      <c r="CO119" s="48" t="s">
        <v>59</v>
      </c>
      <c r="CP119" s="48" t="s">
        <v>59</v>
      </c>
      <c r="CQ119" s="48" t="s">
        <v>59</v>
      </c>
      <c r="CR119" s="48" t="s">
        <v>59</v>
      </c>
      <c r="CS119" s="48"/>
      <c r="CT119" s="48"/>
      <c r="CU119" s="48" t="s">
        <v>59</v>
      </c>
      <c r="CV119" s="48" t="s">
        <v>59</v>
      </c>
      <c r="CW119" s="48" t="s">
        <v>59</v>
      </c>
      <c r="CX119" s="48" t="s">
        <v>59</v>
      </c>
      <c r="CY119" s="48" t="s">
        <v>59</v>
      </c>
      <c r="CZ119" s="48" t="s">
        <v>59</v>
      </c>
      <c r="DA119" s="48" t="s">
        <v>59</v>
      </c>
      <c r="DB119" s="48" t="s">
        <v>59</v>
      </c>
      <c r="DC119" s="48">
        <v>12</v>
      </c>
      <c r="DD119" s="55"/>
      <c r="DE119" s="43"/>
      <c r="DF119" s="43"/>
      <c r="DG119" s="43"/>
      <c r="DH119" s="43"/>
      <c r="DI119" s="43"/>
      <c r="DJ119" s="43"/>
    </row>
    <row r="120" spans="1:114">
      <c r="A120" s="34" t="s">
        <v>205</v>
      </c>
      <c r="B120" s="34">
        <v>5573</v>
      </c>
      <c r="C120" s="34">
        <v>2</v>
      </c>
      <c r="D120" s="43">
        <v>1</v>
      </c>
      <c r="E120" s="26" t="s">
        <v>139</v>
      </c>
      <c r="F120" s="26" t="s">
        <v>59</v>
      </c>
      <c r="G120" s="48">
        <f t="shared" si="1"/>
        <v>61</v>
      </c>
      <c r="H120" s="26" t="s">
        <v>59</v>
      </c>
      <c r="I120" s="26" t="s">
        <v>60</v>
      </c>
      <c r="J120" s="26" t="s">
        <v>59</v>
      </c>
      <c r="K120" s="26" t="s">
        <v>59</v>
      </c>
      <c r="L120" s="26" t="s">
        <v>59</v>
      </c>
      <c r="M120" s="26" t="s">
        <v>59</v>
      </c>
      <c r="N120" s="26" t="s">
        <v>59</v>
      </c>
      <c r="O120" s="26" t="s">
        <v>59</v>
      </c>
      <c r="P120" s="26" t="s">
        <v>59</v>
      </c>
      <c r="Q120" s="26" t="s">
        <v>60</v>
      </c>
      <c r="R120" s="26" t="s">
        <v>60</v>
      </c>
      <c r="S120" s="26" t="s">
        <v>60</v>
      </c>
      <c r="T120" s="26" t="s">
        <v>60</v>
      </c>
      <c r="U120" s="26">
        <v>36</v>
      </c>
      <c r="V120" s="26">
        <v>25</v>
      </c>
      <c r="W120" s="26" t="s">
        <v>60</v>
      </c>
      <c r="X120" s="26" t="s">
        <v>60</v>
      </c>
      <c r="Y120" s="26">
        <v>7.38</v>
      </c>
      <c r="Z120" s="26" t="s">
        <v>61</v>
      </c>
      <c r="AA120" s="26">
        <v>0.27</v>
      </c>
      <c r="AB120" s="26" t="s">
        <v>61</v>
      </c>
      <c r="AC120" s="27" t="s">
        <v>61</v>
      </c>
      <c r="AD120" s="26">
        <v>7.36</v>
      </c>
      <c r="AE120" s="27" t="s">
        <v>61</v>
      </c>
      <c r="AF120" s="26">
        <v>0.32</v>
      </c>
      <c r="AG120" s="26" t="s">
        <v>61</v>
      </c>
      <c r="AH120" s="27" t="s">
        <v>61</v>
      </c>
      <c r="AI120" s="26" t="s">
        <v>60</v>
      </c>
      <c r="AJ120" s="26" t="s">
        <v>60</v>
      </c>
      <c r="AK120" s="26" t="s">
        <v>59</v>
      </c>
      <c r="AL120" s="26" t="s">
        <v>59</v>
      </c>
      <c r="AM120" s="26" t="s">
        <v>59</v>
      </c>
      <c r="AN120" s="26" t="s">
        <v>60</v>
      </c>
      <c r="AO120" s="26" t="s">
        <v>60</v>
      </c>
      <c r="AP120" s="26" t="s">
        <v>59</v>
      </c>
      <c r="AQ120" s="26" t="s">
        <v>59</v>
      </c>
      <c r="AR120" s="26" t="s">
        <v>59</v>
      </c>
      <c r="AS120" s="26" t="s">
        <v>61</v>
      </c>
      <c r="AT120" s="26" t="s">
        <v>64</v>
      </c>
      <c r="AU120" s="26" t="s">
        <v>59</v>
      </c>
      <c r="AV120" s="26" t="s">
        <v>59</v>
      </c>
      <c r="AW120" s="26" t="s">
        <v>59</v>
      </c>
      <c r="AX120" s="26" t="s">
        <v>59</v>
      </c>
      <c r="AY120" s="186">
        <v>36</v>
      </c>
      <c r="AZ120" s="186">
        <v>25</v>
      </c>
      <c r="BA120" s="186" t="s">
        <v>60</v>
      </c>
      <c r="BB120" s="186" t="s">
        <v>60</v>
      </c>
      <c r="BC120" s="26">
        <v>6.88</v>
      </c>
      <c r="BD120" s="26" t="s">
        <v>61</v>
      </c>
      <c r="BE120" s="26">
        <v>0.23</v>
      </c>
      <c r="BF120" s="48">
        <v>1</v>
      </c>
      <c r="BG120" s="48">
        <v>1</v>
      </c>
      <c r="BH120" s="27" t="s">
        <v>61</v>
      </c>
      <c r="BI120" s="27" t="s">
        <v>61</v>
      </c>
      <c r="BJ120" s="26">
        <v>-0.49</v>
      </c>
      <c r="BK120" s="26" t="s">
        <v>61</v>
      </c>
      <c r="BL120" s="26">
        <v>0.15</v>
      </c>
      <c r="BM120" s="26" t="s">
        <v>61</v>
      </c>
      <c r="BN120" s="26" t="s">
        <v>61</v>
      </c>
      <c r="BO120" s="26" t="s">
        <v>119</v>
      </c>
      <c r="BP120" s="26">
        <v>6.8</v>
      </c>
      <c r="BQ120" s="26" t="s">
        <v>61</v>
      </c>
      <c r="BR120" s="26">
        <v>0.24</v>
      </c>
      <c r="BS120" s="69">
        <v>1</v>
      </c>
      <c r="BT120" s="26">
        <v>1</v>
      </c>
      <c r="BU120" s="27" t="s">
        <v>61</v>
      </c>
      <c r="BV120" s="27" t="s">
        <v>61</v>
      </c>
      <c r="BW120" s="26">
        <v>-0.54</v>
      </c>
      <c r="BX120" s="26" t="s">
        <v>61</v>
      </c>
      <c r="BY120" s="27">
        <v>0.19</v>
      </c>
      <c r="BZ120" s="26" t="s">
        <v>61</v>
      </c>
      <c r="CA120" s="27" t="s">
        <v>61</v>
      </c>
      <c r="CB120" s="26" t="s">
        <v>180</v>
      </c>
      <c r="CC120" s="26" t="s">
        <v>60</v>
      </c>
      <c r="CD120" s="26" t="s">
        <v>60</v>
      </c>
      <c r="CE120" s="26" t="s">
        <v>59</v>
      </c>
      <c r="CF120" s="26"/>
      <c r="CG120" s="26"/>
      <c r="CH120" s="26" t="s">
        <v>59</v>
      </c>
      <c r="CI120" s="26" t="s">
        <v>59</v>
      </c>
      <c r="CJ120" s="26" t="s">
        <v>59</v>
      </c>
      <c r="CK120" s="26" t="s">
        <v>59</v>
      </c>
      <c r="CL120" s="26" t="s">
        <v>59</v>
      </c>
      <c r="CM120" s="26" t="s">
        <v>59</v>
      </c>
      <c r="CN120" s="26" t="s">
        <v>59</v>
      </c>
      <c r="CO120" s="26" t="s">
        <v>59</v>
      </c>
      <c r="CP120" s="26" t="s">
        <v>60</v>
      </c>
      <c r="CQ120" s="26" t="s">
        <v>60</v>
      </c>
      <c r="CR120" s="26" t="s">
        <v>59</v>
      </c>
      <c r="CS120" s="26"/>
      <c r="CT120" s="26"/>
      <c r="CU120" s="26" t="s">
        <v>59</v>
      </c>
      <c r="CV120" s="26" t="s">
        <v>59</v>
      </c>
      <c r="CW120" s="26" t="s">
        <v>59</v>
      </c>
      <c r="CX120" s="26" t="s">
        <v>59</v>
      </c>
      <c r="CY120" s="26" t="s">
        <v>59</v>
      </c>
      <c r="CZ120" s="26" t="s">
        <v>59</v>
      </c>
      <c r="DA120" s="26" t="s">
        <v>59</v>
      </c>
      <c r="DB120" s="26" t="s">
        <v>59</v>
      </c>
      <c r="DC120" s="26">
        <v>3</v>
      </c>
    </row>
    <row r="121" spans="1:114" s="43" customFormat="1" ht="14">
      <c r="A121" s="49" t="s">
        <v>344</v>
      </c>
      <c r="B121" s="43">
        <v>10072</v>
      </c>
      <c r="C121" s="34">
        <v>2</v>
      </c>
      <c r="D121" s="43">
        <v>1</v>
      </c>
      <c r="E121" s="48" t="s">
        <v>139</v>
      </c>
      <c r="F121" s="26" t="s">
        <v>59</v>
      </c>
      <c r="G121" s="48">
        <f t="shared" si="1"/>
        <v>65</v>
      </c>
      <c r="H121" s="26" t="s">
        <v>59</v>
      </c>
      <c r="I121" s="26" t="s">
        <v>59</v>
      </c>
      <c r="J121" s="48" t="s">
        <v>59</v>
      </c>
      <c r="K121" s="26" t="s">
        <v>59</v>
      </c>
      <c r="L121" s="26" t="s">
        <v>59</v>
      </c>
      <c r="M121" s="26" t="s">
        <v>59</v>
      </c>
      <c r="N121" s="26" t="s">
        <v>59</v>
      </c>
      <c r="O121" s="26" t="s">
        <v>59</v>
      </c>
      <c r="P121" s="26" t="s">
        <v>59</v>
      </c>
      <c r="Q121" s="48" t="s">
        <v>59</v>
      </c>
      <c r="R121" s="48" t="s">
        <v>59</v>
      </c>
      <c r="S121" s="48" t="s">
        <v>59</v>
      </c>
      <c r="T121" s="48" t="s">
        <v>59</v>
      </c>
      <c r="U121" s="48">
        <v>29</v>
      </c>
      <c r="V121" s="48">
        <v>36</v>
      </c>
      <c r="W121" s="48" t="s">
        <v>59</v>
      </c>
      <c r="X121" s="48" t="s">
        <v>59</v>
      </c>
      <c r="Y121" s="69">
        <v>7.38</v>
      </c>
      <c r="Z121" s="69" t="s">
        <v>61</v>
      </c>
      <c r="AA121" s="69" t="s">
        <v>61</v>
      </c>
      <c r="AB121" s="69" t="s">
        <v>61</v>
      </c>
      <c r="AC121" s="69" t="s">
        <v>61</v>
      </c>
      <c r="AD121" s="69">
        <v>7.28</v>
      </c>
      <c r="AE121" s="69" t="s">
        <v>61</v>
      </c>
      <c r="AF121" s="69" t="s">
        <v>61</v>
      </c>
      <c r="AG121" s="69" t="s">
        <v>61</v>
      </c>
      <c r="AH121" s="69" t="s">
        <v>61</v>
      </c>
      <c r="AI121" s="69" t="s">
        <v>59</v>
      </c>
      <c r="AJ121" s="69" t="s">
        <v>59</v>
      </c>
      <c r="AK121" s="69" t="s">
        <v>59</v>
      </c>
      <c r="AL121" s="69" t="s">
        <v>59</v>
      </c>
      <c r="AM121" s="69" t="s">
        <v>59</v>
      </c>
      <c r="AN121" s="69" t="s">
        <v>59</v>
      </c>
      <c r="AO121" s="69" t="s">
        <v>59</v>
      </c>
      <c r="AP121" s="69" t="s">
        <v>59</v>
      </c>
      <c r="AQ121" s="69" t="s">
        <v>59</v>
      </c>
      <c r="AR121" s="69" t="s">
        <v>59</v>
      </c>
      <c r="AS121" s="69" t="s">
        <v>61</v>
      </c>
      <c r="AT121" s="69" t="s">
        <v>64</v>
      </c>
      <c r="AU121" s="69" t="s">
        <v>59</v>
      </c>
      <c r="AV121" s="69" t="s">
        <v>59</v>
      </c>
      <c r="AW121" s="69" t="s">
        <v>59</v>
      </c>
      <c r="AX121" s="69" t="s">
        <v>59</v>
      </c>
      <c r="AY121" s="215">
        <v>29</v>
      </c>
      <c r="AZ121" s="215">
        <v>36</v>
      </c>
      <c r="BA121" s="215" t="s">
        <v>59</v>
      </c>
      <c r="BB121" s="215" t="s">
        <v>59</v>
      </c>
      <c r="BC121" s="69">
        <v>7.22</v>
      </c>
      <c r="BD121" s="69" t="s">
        <v>61</v>
      </c>
      <c r="BE121" s="69" t="s">
        <v>61</v>
      </c>
      <c r="BF121" s="26">
        <v>9</v>
      </c>
      <c r="BG121" s="48">
        <v>1</v>
      </c>
      <c r="BH121" s="69" t="s">
        <v>61</v>
      </c>
      <c r="BI121" s="69" t="s">
        <v>61</v>
      </c>
      <c r="BJ121" s="69">
        <v>-0.16</v>
      </c>
      <c r="BK121" s="69" t="s">
        <v>61</v>
      </c>
      <c r="BL121" s="69" t="s">
        <v>61</v>
      </c>
      <c r="BM121" s="69">
        <v>-0.59</v>
      </c>
      <c r="BN121" s="69">
        <v>0.26</v>
      </c>
      <c r="BO121" s="69">
        <v>0.46410000000000001</v>
      </c>
      <c r="BP121" s="69">
        <v>6.78</v>
      </c>
      <c r="BQ121" s="69" t="s">
        <v>61</v>
      </c>
      <c r="BR121" s="69" t="s">
        <v>61</v>
      </c>
      <c r="BS121" s="26">
        <v>9</v>
      </c>
      <c r="BT121" s="26">
        <v>1</v>
      </c>
      <c r="BU121" s="69" t="s">
        <v>61</v>
      </c>
      <c r="BV121" s="69" t="s">
        <v>61</v>
      </c>
      <c r="BW121" s="69">
        <v>-0.5</v>
      </c>
      <c r="BX121" s="69" t="s">
        <v>61</v>
      </c>
      <c r="BY121" s="69" t="s">
        <v>61</v>
      </c>
      <c r="BZ121" s="69">
        <v>-0.8</v>
      </c>
      <c r="CA121" s="69">
        <v>-0.2</v>
      </c>
      <c r="CB121" s="69">
        <v>8.0000000000000004E-4</v>
      </c>
      <c r="CC121" s="69" t="s">
        <v>59</v>
      </c>
      <c r="CD121" s="69" t="s">
        <v>59</v>
      </c>
      <c r="CE121" s="69" t="s">
        <v>59</v>
      </c>
      <c r="CF121" s="69"/>
      <c r="CG121" s="69"/>
      <c r="CH121" s="69" t="s">
        <v>59</v>
      </c>
      <c r="CI121" s="69" t="s">
        <v>59</v>
      </c>
      <c r="CJ121" s="69" t="s">
        <v>59</v>
      </c>
      <c r="CK121" s="69" t="s">
        <v>59</v>
      </c>
      <c r="CL121" s="69" t="s">
        <v>59</v>
      </c>
      <c r="CM121" s="69" t="s">
        <v>59</v>
      </c>
      <c r="CN121" s="69" t="s">
        <v>59</v>
      </c>
      <c r="CO121" s="69" t="s">
        <v>59</v>
      </c>
      <c r="CP121" s="69" t="s">
        <v>59</v>
      </c>
      <c r="CQ121" s="69" t="s">
        <v>59</v>
      </c>
      <c r="CR121" s="69" t="s">
        <v>59</v>
      </c>
      <c r="CS121" s="69"/>
      <c r="CT121" s="69"/>
      <c r="CU121" s="69" t="s">
        <v>59</v>
      </c>
      <c r="CV121" s="69" t="s">
        <v>59</v>
      </c>
      <c r="CW121" s="69" t="s">
        <v>59</v>
      </c>
      <c r="CX121" s="69" t="s">
        <v>59</v>
      </c>
      <c r="CY121" s="69" t="s">
        <v>59</v>
      </c>
      <c r="CZ121" s="69" t="s">
        <v>59</v>
      </c>
      <c r="DA121" s="69" t="s">
        <v>59</v>
      </c>
      <c r="DB121" s="69" t="s">
        <v>59</v>
      </c>
      <c r="DC121" s="69">
        <v>12</v>
      </c>
      <c r="DD121" s="55"/>
    </row>
    <row r="122" spans="1:114" s="43" customFormat="1">
      <c r="A122" s="34" t="s">
        <v>202</v>
      </c>
      <c r="B122" s="34">
        <v>5515</v>
      </c>
      <c r="C122" s="34">
        <v>2</v>
      </c>
      <c r="D122" s="43">
        <v>1</v>
      </c>
      <c r="E122" s="26" t="s">
        <v>139</v>
      </c>
      <c r="F122" s="26" t="s">
        <v>59</v>
      </c>
      <c r="G122" s="48">
        <f t="shared" si="1"/>
        <v>164</v>
      </c>
      <c r="H122" s="26" t="s">
        <v>59</v>
      </c>
      <c r="I122" s="26" t="s">
        <v>60</v>
      </c>
      <c r="J122" s="26" t="s">
        <v>59</v>
      </c>
      <c r="K122" s="26" t="s">
        <v>59</v>
      </c>
      <c r="L122" s="26" t="s">
        <v>59</v>
      </c>
      <c r="M122" s="26" t="s">
        <v>59</v>
      </c>
      <c r="N122" s="26" t="s">
        <v>59</v>
      </c>
      <c r="O122" s="26" t="s">
        <v>59</v>
      </c>
      <c r="P122" s="26" t="s">
        <v>59</v>
      </c>
      <c r="Q122" s="26" t="s">
        <v>60</v>
      </c>
      <c r="R122" s="26" t="s">
        <v>60</v>
      </c>
      <c r="S122" s="26" t="s">
        <v>60</v>
      </c>
      <c r="T122" s="26" t="s">
        <v>60</v>
      </c>
      <c r="U122" s="26">
        <v>83</v>
      </c>
      <c r="V122" s="26">
        <v>81</v>
      </c>
      <c r="W122" s="26" t="s">
        <v>60</v>
      </c>
      <c r="X122" s="26" t="s">
        <v>60</v>
      </c>
      <c r="Y122" s="26">
        <v>7.4</v>
      </c>
      <c r="Z122" s="26" t="s">
        <v>61</v>
      </c>
      <c r="AA122" s="26">
        <v>0.18</v>
      </c>
      <c r="AB122" s="26" t="s">
        <v>61</v>
      </c>
      <c r="AC122" s="27" t="s">
        <v>61</v>
      </c>
      <c r="AD122" s="26">
        <v>7.7</v>
      </c>
      <c r="AE122" s="27" t="s">
        <v>61</v>
      </c>
      <c r="AF122" s="26">
        <v>0.18</v>
      </c>
      <c r="AG122" s="26" t="s">
        <v>61</v>
      </c>
      <c r="AH122" s="27" t="s">
        <v>61</v>
      </c>
      <c r="AI122" s="26" t="s">
        <v>60</v>
      </c>
      <c r="AJ122" s="26" t="s">
        <v>60</v>
      </c>
      <c r="AK122" s="26" t="s">
        <v>59</v>
      </c>
      <c r="AL122" s="26" t="s">
        <v>59</v>
      </c>
      <c r="AM122" s="26" t="s">
        <v>59</v>
      </c>
      <c r="AN122" s="26" t="s">
        <v>60</v>
      </c>
      <c r="AO122" s="26" t="s">
        <v>60</v>
      </c>
      <c r="AP122" s="26" t="s">
        <v>59</v>
      </c>
      <c r="AQ122" s="26" t="s">
        <v>59</v>
      </c>
      <c r="AR122" s="26" t="s">
        <v>59</v>
      </c>
      <c r="AS122" s="26" t="s">
        <v>61</v>
      </c>
      <c r="AT122" s="26" t="s">
        <v>64</v>
      </c>
      <c r="AU122" s="26" t="s">
        <v>59</v>
      </c>
      <c r="AV122" s="26" t="s">
        <v>59</v>
      </c>
      <c r="AW122" s="26" t="s">
        <v>59</v>
      </c>
      <c r="AX122" s="26" t="s">
        <v>59</v>
      </c>
      <c r="AY122" s="186">
        <v>83</v>
      </c>
      <c r="AZ122" s="186">
        <v>81</v>
      </c>
      <c r="BA122" s="186" t="s">
        <v>60</v>
      </c>
      <c r="BB122" s="186" t="s">
        <v>60</v>
      </c>
      <c r="BC122" s="26">
        <v>7.18</v>
      </c>
      <c r="BD122" s="26" t="s">
        <v>61</v>
      </c>
      <c r="BE122" s="26" t="s">
        <v>61</v>
      </c>
      <c r="BF122" s="26">
        <v>9</v>
      </c>
      <c r="BG122" s="48">
        <v>1</v>
      </c>
      <c r="BH122" s="27" t="s">
        <v>61</v>
      </c>
      <c r="BI122" s="27" t="s">
        <v>61</v>
      </c>
      <c r="BJ122" s="26">
        <v>-0.22</v>
      </c>
      <c r="BK122" s="26" t="s">
        <v>61</v>
      </c>
      <c r="BL122" s="26">
        <v>0.17</v>
      </c>
      <c r="BM122" s="26" t="s">
        <v>61</v>
      </c>
      <c r="BN122" s="26" t="s">
        <v>61</v>
      </c>
      <c r="BO122" s="26">
        <v>0.2</v>
      </c>
      <c r="BP122" s="26">
        <v>7.28</v>
      </c>
      <c r="BQ122" s="26" t="s">
        <v>61</v>
      </c>
      <c r="BR122" s="26" t="s">
        <v>61</v>
      </c>
      <c r="BS122" s="26">
        <v>9</v>
      </c>
      <c r="BT122" s="26">
        <v>1</v>
      </c>
      <c r="BU122" s="27" t="s">
        <v>61</v>
      </c>
      <c r="BV122" s="27" t="s">
        <v>61</v>
      </c>
      <c r="BW122" s="26">
        <v>-0.42</v>
      </c>
      <c r="BX122" s="26" t="s">
        <v>61</v>
      </c>
      <c r="BY122" s="27">
        <v>0.15</v>
      </c>
      <c r="BZ122" s="26" t="s">
        <v>61</v>
      </c>
      <c r="CA122" s="27" t="s">
        <v>61</v>
      </c>
      <c r="CB122" s="26">
        <v>6.3E-3</v>
      </c>
      <c r="CC122" s="26" t="s">
        <v>60</v>
      </c>
      <c r="CD122" s="26" t="s">
        <v>60</v>
      </c>
      <c r="CE122" s="26" t="s">
        <v>59</v>
      </c>
      <c r="CF122" s="26"/>
      <c r="CG122" s="26"/>
      <c r="CH122" s="26" t="s">
        <v>59</v>
      </c>
      <c r="CI122" s="26" t="s">
        <v>59</v>
      </c>
      <c r="CJ122" s="26" t="s">
        <v>59</v>
      </c>
      <c r="CK122" s="26" t="s">
        <v>59</v>
      </c>
      <c r="CL122" s="26" t="s">
        <v>59</v>
      </c>
      <c r="CM122" s="26" t="s">
        <v>59</v>
      </c>
      <c r="CN122" s="26" t="s">
        <v>59</v>
      </c>
      <c r="CO122" s="26" t="s">
        <v>59</v>
      </c>
      <c r="CP122" s="26" t="s">
        <v>60</v>
      </c>
      <c r="CQ122" s="26" t="s">
        <v>60</v>
      </c>
      <c r="CR122" s="26" t="s">
        <v>59</v>
      </c>
      <c r="CS122" s="26"/>
      <c r="CT122" s="26"/>
      <c r="CU122" s="26" t="s">
        <v>59</v>
      </c>
      <c r="CV122" s="26" t="s">
        <v>59</v>
      </c>
      <c r="CW122" s="26" t="s">
        <v>59</v>
      </c>
      <c r="CX122" s="26" t="s">
        <v>59</v>
      </c>
      <c r="CY122" s="26" t="s">
        <v>59</v>
      </c>
      <c r="CZ122" s="26" t="s">
        <v>59</v>
      </c>
      <c r="DA122" s="26" t="s">
        <v>59</v>
      </c>
      <c r="DB122" s="26" t="s">
        <v>59</v>
      </c>
      <c r="DC122" s="26">
        <v>6</v>
      </c>
      <c r="DD122" s="29"/>
      <c r="DE122" s="22"/>
      <c r="DF122" s="22"/>
      <c r="DG122" s="26"/>
      <c r="DH122" s="27"/>
      <c r="DI122" s="22"/>
      <c r="DJ122" s="26"/>
    </row>
    <row r="123" spans="1:114" s="43" customFormat="1">
      <c r="A123" s="51" t="s">
        <v>333</v>
      </c>
      <c r="B123" s="52">
        <v>9126</v>
      </c>
      <c r="C123" s="34">
        <v>2</v>
      </c>
      <c r="D123" s="43">
        <v>1</v>
      </c>
      <c r="E123" s="48" t="s">
        <v>139</v>
      </c>
      <c r="F123" s="26" t="s">
        <v>59</v>
      </c>
      <c r="G123" s="48">
        <f t="shared" si="1"/>
        <v>61</v>
      </c>
      <c r="H123" s="26" t="s">
        <v>59</v>
      </c>
      <c r="I123" s="26" t="s">
        <v>59</v>
      </c>
      <c r="J123" s="48" t="s">
        <v>59</v>
      </c>
      <c r="K123" s="26" t="s">
        <v>59</v>
      </c>
      <c r="L123" s="26" t="s">
        <v>59</v>
      </c>
      <c r="M123" s="26" t="s">
        <v>59</v>
      </c>
      <c r="N123" s="26" t="s">
        <v>59</v>
      </c>
      <c r="O123" s="26" t="s">
        <v>59</v>
      </c>
      <c r="P123" s="26" t="s">
        <v>59</v>
      </c>
      <c r="Q123" s="48" t="s">
        <v>59</v>
      </c>
      <c r="R123" s="48" t="s">
        <v>59</v>
      </c>
      <c r="S123" s="48" t="s">
        <v>59</v>
      </c>
      <c r="T123" s="48" t="s">
        <v>59</v>
      </c>
      <c r="U123" s="48">
        <v>29</v>
      </c>
      <c r="V123" s="48">
        <v>32</v>
      </c>
      <c r="W123" s="48" t="s">
        <v>59</v>
      </c>
      <c r="X123" s="48" t="s">
        <v>59</v>
      </c>
      <c r="Y123" s="48">
        <v>7.6</v>
      </c>
      <c r="Z123" s="48" t="s">
        <v>61</v>
      </c>
      <c r="AA123" s="48">
        <v>0.2</v>
      </c>
      <c r="AB123" s="48" t="s">
        <v>61</v>
      </c>
      <c r="AC123" s="48" t="s">
        <v>61</v>
      </c>
      <c r="AD123" s="48">
        <v>7.6</v>
      </c>
      <c r="AE123" s="48" t="s">
        <v>61</v>
      </c>
      <c r="AF123" s="48">
        <v>0.2</v>
      </c>
      <c r="AG123" s="48" t="s">
        <v>61</v>
      </c>
      <c r="AH123" s="48" t="s">
        <v>61</v>
      </c>
      <c r="AI123" s="48" t="s">
        <v>59</v>
      </c>
      <c r="AJ123" s="48" t="s">
        <v>59</v>
      </c>
      <c r="AK123" s="48" t="s">
        <v>59</v>
      </c>
      <c r="AL123" s="48" t="s">
        <v>59</v>
      </c>
      <c r="AM123" s="48" t="s">
        <v>59</v>
      </c>
      <c r="AN123" s="48" t="s">
        <v>59</v>
      </c>
      <c r="AO123" s="48" t="s">
        <v>59</v>
      </c>
      <c r="AP123" s="48" t="s">
        <v>59</v>
      </c>
      <c r="AQ123" s="48" t="s">
        <v>59</v>
      </c>
      <c r="AR123" s="48" t="s">
        <v>59</v>
      </c>
      <c r="AS123" s="48">
        <v>0.999</v>
      </c>
      <c r="AT123" s="48" t="s">
        <v>64</v>
      </c>
      <c r="AU123" s="48" t="s">
        <v>59</v>
      </c>
      <c r="AV123" s="48" t="s">
        <v>59</v>
      </c>
      <c r="AW123" s="48" t="s">
        <v>59</v>
      </c>
      <c r="AX123" s="48" t="s">
        <v>59</v>
      </c>
      <c r="AY123" s="73">
        <v>29</v>
      </c>
      <c r="AZ123" s="73">
        <v>32</v>
      </c>
      <c r="BA123" s="73" t="s">
        <v>59</v>
      </c>
      <c r="BB123" s="73" t="s">
        <v>59</v>
      </c>
      <c r="BC123" s="48">
        <v>7.9</v>
      </c>
      <c r="BD123" s="48" t="s">
        <v>61</v>
      </c>
      <c r="BE123" s="48">
        <v>0.3</v>
      </c>
      <c r="BF123" s="48">
        <v>1</v>
      </c>
      <c r="BG123" s="48">
        <v>1</v>
      </c>
      <c r="BH123" s="48" t="s">
        <v>61</v>
      </c>
      <c r="BI123" s="48" t="s">
        <v>61</v>
      </c>
      <c r="BJ123" s="48" t="s">
        <v>61</v>
      </c>
      <c r="BK123" s="48" t="s">
        <v>61</v>
      </c>
      <c r="BL123" s="48" t="s">
        <v>61</v>
      </c>
      <c r="BM123" s="48" t="s">
        <v>61</v>
      </c>
      <c r="BN123" s="48" t="s">
        <v>61</v>
      </c>
      <c r="BO123" s="48" t="s">
        <v>61</v>
      </c>
      <c r="BP123" s="48">
        <v>7.6</v>
      </c>
      <c r="BQ123" s="26" t="s">
        <v>61</v>
      </c>
      <c r="BR123" s="48">
        <v>0.2</v>
      </c>
      <c r="BS123" s="69">
        <v>1</v>
      </c>
      <c r="BT123" s="26">
        <v>1</v>
      </c>
      <c r="BU123" s="48" t="s">
        <v>61</v>
      </c>
      <c r="BV123" s="48" t="s">
        <v>61</v>
      </c>
      <c r="BW123" s="48" t="s">
        <v>61</v>
      </c>
      <c r="BX123" s="48" t="s">
        <v>61</v>
      </c>
      <c r="BY123" s="48" t="s">
        <v>61</v>
      </c>
      <c r="BZ123" s="48" t="s">
        <v>61</v>
      </c>
      <c r="CA123" s="48" t="s">
        <v>61</v>
      </c>
      <c r="CB123" s="48" t="s">
        <v>61</v>
      </c>
      <c r="CC123" s="48" t="s">
        <v>59</v>
      </c>
      <c r="CD123" s="48" t="s">
        <v>59</v>
      </c>
      <c r="CE123" s="48" t="s">
        <v>59</v>
      </c>
      <c r="CF123" s="48"/>
      <c r="CG123" s="48"/>
      <c r="CH123" s="48" t="s">
        <v>59</v>
      </c>
      <c r="CI123" s="48" t="s">
        <v>59</v>
      </c>
      <c r="CJ123" s="48" t="s">
        <v>59</v>
      </c>
      <c r="CK123" s="48" t="s">
        <v>59</v>
      </c>
      <c r="CL123" s="48" t="s">
        <v>59</v>
      </c>
      <c r="CM123" s="48" t="s">
        <v>59</v>
      </c>
      <c r="CN123" s="48" t="s">
        <v>59</v>
      </c>
      <c r="CO123" s="48" t="s">
        <v>59</v>
      </c>
      <c r="CP123" s="48" t="s">
        <v>59</v>
      </c>
      <c r="CQ123" s="48" t="s">
        <v>59</v>
      </c>
      <c r="CR123" s="48" t="s">
        <v>59</v>
      </c>
      <c r="CS123" s="48"/>
      <c r="CT123" s="48"/>
      <c r="CU123" s="48" t="s">
        <v>59</v>
      </c>
      <c r="CV123" s="48" t="s">
        <v>59</v>
      </c>
      <c r="CW123" s="48" t="s">
        <v>59</v>
      </c>
      <c r="CX123" s="48" t="s">
        <v>59</v>
      </c>
      <c r="CY123" s="48" t="s">
        <v>59</v>
      </c>
      <c r="CZ123" s="48" t="s">
        <v>59</v>
      </c>
      <c r="DA123" s="48" t="s">
        <v>59</v>
      </c>
      <c r="DB123" s="48" t="s">
        <v>59</v>
      </c>
      <c r="DC123" s="48">
        <v>24</v>
      </c>
      <c r="DD123" s="55"/>
    </row>
    <row r="124" spans="1:114" s="43" customFormat="1" ht="14">
      <c r="A124" s="49" t="s">
        <v>366</v>
      </c>
      <c r="B124" s="43">
        <v>10314</v>
      </c>
      <c r="C124" s="34">
        <v>2</v>
      </c>
      <c r="D124" s="43">
        <v>1</v>
      </c>
      <c r="E124" s="48" t="s">
        <v>139</v>
      </c>
      <c r="F124" s="26" t="s">
        <v>59</v>
      </c>
      <c r="G124" s="48">
        <f t="shared" si="1"/>
        <v>68</v>
      </c>
      <c r="H124" s="26" t="s">
        <v>59</v>
      </c>
      <c r="I124" s="26" t="s">
        <v>59</v>
      </c>
      <c r="J124" s="48" t="s">
        <v>59</v>
      </c>
      <c r="K124" s="26" t="s">
        <v>59</v>
      </c>
      <c r="L124" s="26" t="s">
        <v>59</v>
      </c>
      <c r="M124" s="26" t="s">
        <v>59</v>
      </c>
      <c r="N124" s="26" t="s">
        <v>59</v>
      </c>
      <c r="O124" s="26" t="s">
        <v>59</v>
      </c>
      <c r="P124" s="26" t="s">
        <v>59</v>
      </c>
      <c r="Q124" s="48" t="s">
        <v>59</v>
      </c>
      <c r="R124" s="48" t="s">
        <v>59</v>
      </c>
      <c r="S124" s="48" t="s">
        <v>59</v>
      </c>
      <c r="T124" s="48" t="s">
        <v>59</v>
      </c>
      <c r="U124" s="48">
        <v>35</v>
      </c>
      <c r="V124" s="48">
        <v>33</v>
      </c>
      <c r="W124" s="48" t="s">
        <v>59</v>
      </c>
      <c r="X124" s="48" t="s">
        <v>59</v>
      </c>
      <c r="Y124" s="69">
        <v>7.6</v>
      </c>
      <c r="Z124" s="48" t="s">
        <v>61</v>
      </c>
      <c r="AA124" s="69">
        <v>1.1000000000000001</v>
      </c>
      <c r="AB124" s="69" t="s">
        <v>61</v>
      </c>
      <c r="AC124" s="69" t="s">
        <v>61</v>
      </c>
      <c r="AD124" s="69">
        <v>7.5</v>
      </c>
      <c r="AE124" s="69" t="s">
        <v>61</v>
      </c>
      <c r="AF124" s="69">
        <v>1.1000000000000001</v>
      </c>
      <c r="AG124" s="69" t="s">
        <v>61</v>
      </c>
      <c r="AH124" s="69" t="s">
        <v>61</v>
      </c>
      <c r="AI124" s="69" t="s">
        <v>59</v>
      </c>
      <c r="AJ124" s="69" t="s">
        <v>59</v>
      </c>
      <c r="AK124" s="69" t="s">
        <v>59</v>
      </c>
      <c r="AL124" s="69" t="s">
        <v>59</v>
      </c>
      <c r="AM124" s="69" t="s">
        <v>59</v>
      </c>
      <c r="AN124" s="69" t="s">
        <v>59</v>
      </c>
      <c r="AO124" s="69" t="s">
        <v>59</v>
      </c>
      <c r="AP124" s="69" t="s">
        <v>59</v>
      </c>
      <c r="AQ124" s="69" t="s">
        <v>59</v>
      </c>
      <c r="AR124" s="69" t="s">
        <v>59</v>
      </c>
      <c r="AS124" s="69" t="s">
        <v>61</v>
      </c>
      <c r="AT124" s="69" t="s">
        <v>64</v>
      </c>
      <c r="AU124" s="69" t="s">
        <v>59</v>
      </c>
      <c r="AV124" s="69" t="s">
        <v>59</v>
      </c>
      <c r="AW124" s="69" t="s">
        <v>59</v>
      </c>
      <c r="AX124" s="69" t="s">
        <v>59</v>
      </c>
      <c r="AY124" s="215">
        <v>35</v>
      </c>
      <c r="AZ124" s="215">
        <v>33</v>
      </c>
      <c r="BA124" s="215" t="s">
        <v>59</v>
      </c>
      <c r="BB124" s="215" t="s">
        <v>59</v>
      </c>
      <c r="BC124" s="69">
        <v>7.8</v>
      </c>
      <c r="BD124" s="69" t="s">
        <v>61</v>
      </c>
      <c r="BE124" s="69" t="s">
        <v>61</v>
      </c>
      <c r="BF124" s="26">
        <v>9</v>
      </c>
      <c r="BG124" s="48">
        <v>1</v>
      </c>
      <c r="BH124" s="69" t="s">
        <v>61</v>
      </c>
      <c r="BI124" s="69" t="s">
        <v>61</v>
      </c>
      <c r="BJ124" s="69">
        <v>0.2</v>
      </c>
      <c r="BK124" s="69" t="s">
        <v>61</v>
      </c>
      <c r="BL124" s="69">
        <v>0.2</v>
      </c>
      <c r="BM124" s="69" t="s">
        <v>61</v>
      </c>
      <c r="BN124" s="69" t="s">
        <v>61</v>
      </c>
      <c r="BO124" s="69">
        <v>5.2999999999999999E-2</v>
      </c>
      <c r="BP124" s="69">
        <v>6.7</v>
      </c>
      <c r="BQ124" s="69" t="s">
        <v>61</v>
      </c>
      <c r="BR124" s="69" t="s">
        <v>61</v>
      </c>
      <c r="BS124" s="26">
        <v>9</v>
      </c>
      <c r="BT124" s="26">
        <v>1</v>
      </c>
      <c r="BU124" s="69" t="s">
        <v>61</v>
      </c>
      <c r="BV124" s="69" t="s">
        <v>61</v>
      </c>
      <c r="BW124" s="69">
        <v>-0.8</v>
      </c>
      <c r="BX124" s="69" t="s">
        <v>61</v>
      </c>
      <c r="BY124" s="69">
        <v>0.8</v>
      </c>
      <c r="BZ124" s="69" t="s">
        <v>61</v>
      </c>
      <c r="CA124" s="69" t="s">
        <v>61</v>
      </c>
      <c r="CB124" s="69">
        <v>0</v>
      </c>
      <c r="CC124" s="69" t="s">
        <v>59</v>
      </c>
      <c r="CD124" s="69" t="s">
        <v>59</v>
      </c>
      <c r="CE124" s="69" t="s">
        <v>59</v>
      </c>
      <c r="CF124" s="69"/>
      <c r="CG124" s="69"/>
      <c r="CH124" s="69" t="s">
        <v>59</v>
      </c>
      <c r="CI124" s="69" t="s">
        <v>59</v>
      </c>
      <c r="CJ124" s="69" t="s">
        <v>59</v>
      </c>
      <c r="CK124" s="69" t="s">
        <v>59</v>
      </c>
      <c r="CL124" s="69" t="s">
        <v>59</v>
      </c>
      <c r="CM124" s="69" t="s">
        <v>59</v>
      </c>
      <c r="CN124" s="69" t="s">
        <v>59</v>
      </c>
      <c r="CO124" s="69" t="s">
        <v>59</v>
      </c>
      <c r="CP124" s="69" t="s">
        <v>59</v>
      </c>
      <c r="CQ124" s="69" t="s">
        <v>59</v>
      </c>
      <c r="CR124" s="69" t="s">
        <v>59</v>
      </c>
      <c r="CS124" s="69"/>
      <c r="CT124" s="69"/>
      <c r="CU124" s="69" t="s">
        <v>59</v>
      </c>
      <c r="CV124" s="69" t="s">
        <v>59</v>
      </c>
      <c r="CW124" s="69" t="s">
        <v>59</v>
      </c>
      <c r="CX124" s="69" t="s">
        <v>59</v>
      </c>
      <c r="CY124" s="69" t="s">
        <v>59</v>
      </c>
      <c r="CZ124" s="69" t="s">
        <v>59</v>
      </c>
      <c r="DA124" s="69" t="s">
        <v>59</v>
      </c>
      <c r="DB124" s="69" t="s">
        <v>59</v>
      </c>
      <c r="DC124" s="69">
        <v>6</v>
      </c>
      <c r="DD124" s="55"/>
    </row>
    <row r="125" spans="1:114" s="43" customFormat="1" ht="14">
      <c r="A125" s="49" t="s">
        <v>409</v>
      </c>
      <c r="B125" s="43">
        <v>12299</v>
      </c>
      <c r="C125" s="34">
        <v>2</v>
      </c>
      <c r="D125" s="43">
        <v>1</v>
      </c>
      <c r="E125" s="48" t="s">
        <v>139</v>
      </c>
      <c r="F125" s="26" t="s">
        <v>59</v>
      </c>
      <c r="G125" s="48">
        <f t="shared" si="1"/>
        <v>190</v>
      </c>
      <c r="H125" s="26" t="s">
        <v>59</v>
      </c>
      <c r="I125" s="26" t="s">
        <v>59</v>
      </c>
      <c r="J125" s="48" t="s">
        <v>59</v>
      </c>
      <c r="K125" s="26" t="s">
        <v>59</v>
      </c>
      <c r="L125" s="26" t="s">
        <v>59</v>
      </c>
      <c r="M125" s="26" t="s">
        <v>59</v>
      </c>
      <c r="N125" s="26" t="s">
        <v>59</v>
      </c>
      <c r="O125" s="26" t="s">
        <v>59</v>
      </c>
      <c r="P125" s="26" t="s">
        <v>59</v>
      </c>
      <c r="Q125" s="48" t="s">
        <v>59</v>
      </c>
      <c r="R125" s="48" t="s">
        <v>59</v>
      </c>
      <c r="S125" s="48" t="s">
        <v>59</v>
      </c>
      <c r="T125" s="48" t="s">
        <v>59</v>
      </c>
      <c r="U125" s="48">
        <v>62</v>
      </c>
      <c r="V125" s="48">
        <v>128</v>
      </c>
      <c r="W125" s="48" t="s">
        <v>59</v>
      </c>
      <c r="X125" s="48" t="s">
        <v>59</v>
      </c>
      <c r="Y125" s="69">
        <v>7.68</v>
      </c>
      <c r="Z125" s="69" t="s">
        <v>61</v>
      </c>
      <c r="AA125" s="69">
        <v>0.2</v>
      </c>
      <c r="AB125" s="69" t="s">
        <v>61</v>
      </c>
      <c r="AC125" s="69" t="s">
        <v>61</v>
      </c>
      <c r="AD125" s="69">
        <v>7.8</v>
      </c>
      <c r="AE125" s="48" t="s">
        <v>61</v>
      </c>
      <c r="AF125" s="69">
        <v>0.15</v>
      </c>
      <c r="AG125" s="69" t="s">
        <v>61</v>
      </c>
      <c r="AH125" s="69" t="s">
        <v>61</v>
      </c>
      <c r="AI125" s="69" t="s">
        <v>59</v>
      </c>
      <c r="AJ125" s="69" t="s">
        <v>59</v>
      </c>
      <c r="AK125" s="69" t="s">
        <v>59</v>
      </c>
      <c r="AL125" s="69" t="s">
        <v>59</v>
      </c>
      <c r="AM125" s="69" t="s">
        <v>59</v>
      </c>
      <c r="AN125" s="69" t="s">
        <v>59</v>
      </c>
      <c r="AO125" s="69" t="s">
        <v>59</v>
      </c>
      <c r="AP125" s="69" t="s">
        <v>59</v>
      </c>
      <c r="AQ125" s="69" t="s">
        <v>59</v>
      </c>
      <c r="AR125" s="69" t="s">
        <v>59</v>
      </c>
      <c r="AS125" s="69">
        <v>0.77</v>
      </c>
      <c r="AT125" s="69" t="s">
        <v>64</v>
      </c>
      <c r="AU125" s="69" t="s">
        <v>59</v>
      </c>
      <c r="AV125" s="69" t="s">
        <v>59</v>
      </c>
      <c r="AW125" s="69" t="s">
        <v>59</v>
      </c>
      <c r="AX125" s="69" t="s">
        <v>59</v>
      </c>
      <c r="AY125" s="215">
        <v>62</v>
      </c>
      <c r="AZ125" s="215">
        <v>128</v>
      </c>
      <c r="BA125" s="215" t="s">
        <v>59</v>
      </c>
      <c r="BB125" s="215" t="s">
        <v>59</v>
      </c>
      <c r="BC125" s="69">
        <v>7.76</v>
      </c>
      <c r="BD125" s="48" t="s">
        <v>61</v>
      </c>
      <c r="BE125" s="69">
        <v>0.14000000000000001</v>
      </c>
      <c r="BF125" s="48">
        <v>1</v>
      </c>
      <c r="BG125" s="48">
        <v>1</v>
      </c>
      <c r="BH125" s="69" t="s">
        <v>61</v>
      </c>
      <c r="BI125" s="69" t="s">
        <v>61</v>
      </c>
      <c r="BJ125" s="69" t="s">
        <v>61</v>
      </c>
      <c r="BK125" s="69" t="s">
        <v>61</v>
      </c>
      <c r="BL125" s="69" t="s">
        <v>61</v>
      </c>
      <c r="BM125" s="69" t="s">
        <v>61</v>
      </c>
      <c r="BN125" s="69" t="s">
        <v>61</v>
      </c>
      <c r="BO125" s="69" t="s">
        <v>61</v>
      </c>
      <c r="BP125" s="69">
        <v>7.64</v>
      </c>
      <c r="BQ125" s="26" t="s">
        <v>61</v>
      </c>
      <c r="BR125" s="69">
        <v>0.1</v>
      </c>
      <c r="BS125" s="69">
        <v>1</v>
      </c>
      <c r="BT125" s="26">
        <v>1</v>
      </c>
      <c r="BU125" s="69" t="s">
        <v>61</v>
      </c>
      <c r="BV125" s="69" t="s">
        <v>61</v>
      </c>
      <c r="BW125" s="69" t="s">
        <v>61</v>
      </c>
      <c r="BX125" s="69" t="s">
        <v>61</v>
      </c>
      <c r="BY125" s="69" t="s">
        <v>61</v>
      </c>
      <c r="BZ125" s="69" t="s">
        <v>61</v>
      </c>
      <c r="CA125" s="69" t="s">
        <v>61</v>
      </c>
      <c r="CB125" s="69" t="s">
        <v>61</v>
      </c>
      <c r="CC125" s="69" t="s">
        <v>59</v>
      </c>
      <c r="CD125" s="69" t="s">
        <v>59</v>
      </c>
      <c r="CE125" s="69" t="s">
        <v>59</v>
      </c>
      <c r="CF125" s="69"/>
      <c r="CG125" s="69"/>
      <c r="CH125" s="69" t="s">
        <v>59</v>
      </c>
      <c r="CI125" s="69" t="s">
        <v>59</v>
      </c>
      <c r="CJ125" s="69" t="s">
        <v>59</v>
      </c>
      <c r="CK125" s="69" t="s">
        <v>59</v>
      </c>
      <c r="CL125" s="69" t="s">
        <v>59</v>
      </c>
      <c r="CM125" s="69" t="s">
        <v>59</v>
      </c>
      <c r="CN125" s="69" t="s">
        <v>59</v>
      </c>
      <c r="CO125" s="69" t="s">
        <v>59</v>
      </c>
      <c r="CP125" s="69" t="s">
        <v>59</v>
      </c>
      <c r="CQ125" s="69" t="s">
        <v>59</v>
      </c>
      <c r="CR125" s="69" t="s">
        <v>59</v>
      </c>
      <c r="CS125" s="69"/>
      <c r="CT125" s="69"/>
      <c r="CU125" s="69" t="s">
        <v>59</v>
      </c>
      <c r="CV125" s="69" t="s">
        <v>59</v>
      </c>
      <c r="CW125" s="69" t="s">
        <v>59</v>
      </c>
      <c r="CX125" s="69" t="s">
        <v>59</v>
      </c>
      <c r="CY125" s="69" t="s">
        <v>59</v>
      </c>
      <c r="CZ125" s="69" t="s">
        <v>59</v>
      </c>
      <c r="DA125" s="69" t="s">
        <v>59</v>
      </c>
      <c r="DB125" s="69" t="s">
        <v>59</v>
      </c>
      <c r="DC125" s="69">
        <v>12</v>
      </c>
      <c r="DD125" s="55"/>
    </row>
    <row r="126" spans="1:114" s="43" customFormat="1">
      <c r="A126" s="34" t="s">
        <v>221</v>
      </c>
      <c r="B126" s="34">
        <v>6006</v>
      </c>
      <c r="C126" s="34">
        <v>2</v>
      </c>
      <c r="D126" s="43">
        <v>1</v>
      </c>
      <c r="E126" s="26" t="s">
        <v>139</v>
      </c>
      <c r="F126" s="26" t="s">
        <v>59</v>
      </c>
      <c r="G126" s="48">
        <f t="shared" si="1"/>
        <v>39</v>
      </c>
      <c r="H126" s="26" t="s">
        <v>59</v>
      </c>
      <c r="I126" s="26" t="s">
        <v>60</v>
      </c>
      <c r="J126" s="26" t="s">
        <v>59</v>
      </c>
      <c r="K126" s="26" t="s">
        <v>59</v>
      </c>
      <c r="L126" s="26" t="s">
        <v>59</v>
      </c>
      <c r="M126" s="26" t="s">
        <v>59</v>
      </c>
      <c r="N126" s="26" t="s">
        <v>59</v>
      </c>
      <c r="O126" s="26" t="s">
        <v>59</v>
      </c>
      <c r="P126" s="26" t="s">
        <v>59</v>
      </c>
      <c r="Q126" s="26" t="s">
        <v>60</v>
      </c>
      <c r="R126" s="26" t="s">
        <v>60</v>
      </c>
      <c r="S126" s="26" t="s">
        <v>60</v>
      </c>
      <c r="T126" s="26" t="s">
        <v>60</v>
      </c>
      <c r="U126" s="26">
        <v>19</v>
      </c>
      <c r="V126" s="26">
        <v>20</v>
      </c>
      <c r="W126" s="26" t="s">
        <v>60</v>
      </c>
      <c r="X126" s="26" t="s">
        <v>60</v>
      </c>
      <c r="Y126" s="26">
        <v>7.69</v>
      </c>
      <c r="Z126" s="26" t="s">
        <v>61</v>
      </c>
      <c r="AA126" s="26" t="s">
        <v>61</v>
      </c>
      <c r="AB126" s="26" t="s">
        <v>61</v>
      </c>
      <c r="AC126" s="27" t="s">
        <v>61</v>
      </c>
      <c r="AD126" s="26">
        <v>7.69</v>
      </c>
      <c r="AE126" s="26" t="s">
        <v>61</v>
      </c>
      <c r="AF126" s="26" t="s">
        <v>61</v>
      </c>
      <c r="AG126" s="26" t="s">
        <v>61</v>
      </c>
      <c r="AH126" s="27" t="s">
        <v>61</v>
      </c>
      <c r="AI126" s="26" t="s">
        <v>60</v>
      </c>
      <c r="AJ126" s="26" t="s">
        <v>60</v>
      </c>
      <c r="AK126" s="26" t="s">
        <v>59</v>
      </c>
      <c r="AL126" s="26" t="s">
        <v>59</v>
      </c>
      <c r="AM126" s="26" t="s">
        <v>59</v>
      </c>
      <c r="AN126" s="26" t="s">
        <v>60</v>
      </c>
      <c r="AO126" s="26" t="s">
        <v>60</v>
      </c>
      <c r="AP126" s="26" t="s">
        <v>59</v>
      </c>
      <c r="AQ126" s="26" t="s">
        <v>59</v>
      </c>
      <c r="AR126" s="26" t="s">
        <v>59</v>
      </c>
      <c r="AS126" s="26" t="s">
        <v>61</v>
      </c>
      <c r="AT126" s="26" t="s">
        <v>64</v>
      </c>
      <c r="AU126" s="26" t="s">
        <v>59</v>
      </c>
      <c r="AV126" s="26" t="s">
        <v>59</v>
      </c>
      <c r="AW126" s="26" t="s">
        <v>59</v>
      </c>
      <c r="AX126" s="26" t="s">
        <v>59</v>
      </c>
      <c r="AY126" s="186">
        <v>19</v>
      </c>
      <c r="AZ126" s="186">
        <v>20</v>
      </c>
      <c r="BA126" s="186" t="s">
        <v>60</v>
      </c>
      <c r="BB126" s="186" t="s">
        <v>60</v>
      </c>
      <c r="BC126" s="26">
        <v>8.41</v>
      </c>
      <c r="BD126" s="26" t="s">
        <v>61</v>
      </c>
      <c r="BE126" s="26" t="s">
        <v>61</v>
      </c>
      <c r="BF126" s="26">
        <v>9</v>
      </c>
      <c r="BG126" s="48">
        <v>1</v>
      </c>
      <c r="BH126" s="27" t="s">
        <v>61</v>
      </c>
      <c r="BI126" s="27" t="s">
        <v>61</v>
      </c>
      <c r="BJ126" s="26" t="s">
        <v>61</v>
      </c>
      <c r="BK126" s="26" t="s">
        <v>61</v>
      </c>
      <c r="BL126" s="26" t="s">
        <v>61</v>
      </c>
      <c r="BM126" s="26" t="s">
        <v>61</v>
      </c>
      <c r="BN126" s="26" t="s">
        <v>61</v>
      </c>
      <c r="BO126" s="26" t="s">
        <v>61</v>
      </c>
      <c r="BP126" s="26">
        <v>7.4</v>
      </c>
      <c r="BQ126" s="26" t="s">
        <v>61</v>
      </c>
      <c r="BR126" s="26" t="s">
        <v>61</v>
      </c>
      <c r="BS126" s="26">
        <v>9</v>
      </c>
      <c r="BT126" s="26">
        <v>1</v>
      </c>
      <c r="BU126" s="27" t="s">
        <v>61</v>
      </c>
      <c r="BV126" s="27" t="s">
        <v>61</v>
      </c>
      <c r="BW126" s="26" t="s">
        <v>61</v>
      </c>
      <c r="BX126" s="26" t="s">
        <v>61</v>
      </c>
      <c r="BY126" s="27" t="s">
        <v>61</v>
      </c>
      <c r="BZ126" s="26" t="s">
        <v>61</v>
      </c>
      <c r="CA126" s="27" t="s">
        <v>61</v>
      </c>
      <c r="CB126" s="26" t="s">
        <v>61</v>
      </c>
      <c r="CC126" s="26" t="s">
        <v>60</v>
      </c>
      <c r="CD126" s="26" t="s">
        <v>60</v>
      </c>
      <c r="CE126" s="26" t="s">
        <v>59</v>
      </c>
      <c r="CF126" s="26"/>
      <c r="CG126" s="26"/>
      <c r="CH126" s="26" t="s">
        <v>59</v>
      </c>
      <c r="CI126" s="26" t="s">
        <v>59</v>
      </c>
      <c r="CJ126" s="26" t="s">
        <v>59</v>
      </c>
      <c r="CK126" s="26" t="s">
        <v>59</v>
      </c>
      <c r="CL126" s="26" t="s">
        <v>59</v>
      </c>
      <c r="CM126" s="26" t="s">
        <v>59</v>
      </c>
      <c r="CN126" s="26" t="s">
        <v>59</v>
      </c>
      <c r="CO126" s="26" t="s">
        <v>59</v>
      </c>
      <c r="CP126" s="26" t="s">
        <v>60</v>
      </c>
      <c r="CQ126" s="26" t="s">
        <v>60</v>
      </c>
      <c r="CR126" s="26" t="s">
        <v>59</v>
      </c>
      <c r="CS126" s="26"/>
      <c r="CT126" s="26"/>
      <c r="CU126" s="26" t="s">
        <v>59</v>
      </c>
      <c r="CV126" s="26" t="s">
        <v>59</v>
      </c>
      <c r="CW126" s="26" t="s">
        <v>59</v>
      </c>
      <c r="CX126" s="26" t="s">
        <v>59</v>
      </c>
      <c r="CY126" s="26" t="s">
        <v>59</v>
      </c>
      <c r="CZ126" s="26" t="s">
        <v>59</v>
      </c>
      <c r="DA126" s="26" t="s">
        <v>59</v>
      </c>
      <c r="DB126" s="26" t="s">
        <v>59</v>
      </c>
      <c r="DC126" s="26">
        <v>4</v>
      </c>
      <c r="DD126" s="29" t="s">
        <v>222</v>
      </c>
      <c r="DE126" s="22"/>
      <c r="DF126" s="22"/>
      <c r="DG126" s="26"/>
      <c r="DH126" s="27"/>
      <c r="DI126" s="22"/>
      <c r="DJ126" s="26"/>
    </row>
    <row r="127" spans="1:114" s="43" customFormat="1" ht="14">
      <c r="A127" s="49" t="s">
        <v>353</v>
      </c>
      <c r="B127" s="43">
        <v>10203</v>
      </c>
      <c r="C127" s="34">
        <v>2</v>
      </c>
      <c r="D127" s="43">
        <v>1</v>
      </c>
      <c r="E127" s="48" t="s">
        <v>139</v>
      </c>
      <c r="F127" s="26" t="s">
        <v>59</v>
      </c>
      <c r="G127" s="48">
        <f t="shared" si="1"/>
        <v>35</v>
      </c>
      <c r="H127" s="26" t="s">
        <v>59</v>
      </c>
      <c r="I127" s="26" t="s">
        <v>59</v>
      </c>
      <c r="J127" s="48" t="s">
        <v>59</v>
      </c>
      <c r="K127" s="26" t="s">
        <v>59</v>
      </c>
      <c r="L127" s="26" t="s">
        <v>59</v>
      </c>
      <c r="M127" s="26" t="s">
        <v>59</v>
      </c>
      <c r="N127" s="26" t="s">
        <v>59</v>
      </c>
      <c r="O127" s="26" t="s">
        <v>59</v>
      </c>
      <c r="P127" s="26" t="s">
        <v>59</v>
      </c>
      <c r="Q127" s="48" t="s">
        <v>59</v>
      </c>
      <c r="R127" s="48" t="s">
        <v>59</v>
      </c>
      <c r="S127" s="48" t="s">
        <v>59</v>
      </c>
      <c r="T127" s="48" t="s">
        <v>59</v>
      </c>
      <c r="U127" s="48">
        <v>18</v>
      </c>
      <c r="V127" s="48">
        <v>17</v>
      </c>
      <c r="W127" s="48" t="s">
        <v>59</v>
      </c>
      <c r="X127" s="48" t="s">
        <v>59</v>
      </c>
      <c r="Y127" s="69">
        <v>7.7</v>
      </c>
      <c r="Z127" s="69">
        <v>0.5</v>
      </c>
      <c r="AA127" s="69" t="s">
        <v>61</v>
      </c>
      <c r="AB127" s="69" t="s">
        <v>61</v>
      </c>
      <c r="AC127" s="69" t="s">
        <v>61</v>
      </c>
      <c r="AD127" s="69">
        <v>7.7</v>
      </c>
      <c r="AE127" s="69">
        <v>0.5</v>
      </c>
      <c r="AF127" s="69" t="s">
        <v>61</v>
      </c>
      <c r="AG127" s="69" t="s">
        <v>61</v>
      </c>
      <c r="AH127" s="69" t="s">
        <v>61</v>
      </c>
      <c r="AI127" s="69" t="s">
        <v>59</v>
      </c>
      <c r="AJ127" s="69" t="s">
        <v>59</v>
      </c>
      <c r="AK127" s="69" t="s">
        <v>59</v>
      </c>
      <c r="AL127" s="69" t="s">
        <v>59</v>
      </c>
      <c r="AM127" s="69" t="s">
        <v>59</v>
      </c>
      <c r="AN127" s="69" t="s">
        <v>59</v>
      </c>
      <c r="AO127" s="69" t="s">
        <v>59</v>
      </c>
      <c r="AP127" s="69" t="s">
        <v>59</v>
      </c>
      <c r="AQ127" s="69" t="s">
        <v>59</v>
      </c>
      <c r="AR127" s="69" t="s">
        <v>59</v>
      </c>
      <c r="AS127" s="69">
        <v>0.69</v>
      </c>
      <c r="AT127" s="69" t="s">
        <v>64</v>
      </c>
      <c r="AU127" s="69" t="s">
        <v>59</v>
      </c>
      <c r="AV127" s="69" t="s">
        <v>59</v>
      </c>
      <c r="AW127" s="69" t="s">
        <v>59</v>
      </c>
      <c r="AX127" s="69" t="s">
        <v>59</v>
      </c>
      <c r="AY127" s="215">
        <v>18</v>
      </c>
      <c r="AZ127" s="215">
        <v>17</v>
      </c>
      <c r="BA127" s="215" t="s">
        <v>59</v>
      </c>
      <c r="BB127" s="215" t="s">
        <v>59</v>
      </c>
      <c r="BC127" s="69">
        <v>7.7</v>
      </c>
      <c r="BD127" s="69" t="s">
        <v>61</v>
      </c>
      <c r="BE127" s="69" t="s">
        <v>61</v>
      </c>
      <c r="BF127" s="26">
        <v>9</v>
      </c>
      <c r="BG127" s="48">
        <v>1</v>
      </c>
      <c r="BH127" s="69" t="s">
        <v>61</v>
      </c>
      <c r="BI127" s="69" t="s">
        <v>61</v>
      </c>
      <c r="BJ127" s="69">
        <v>0</v>
      </c>
      <c r="BK127" s="69" t="s">
        <v>61</v>
      </c>
      <c r="BL127" s="69" t="s">
        <v>61</v>
      </c>
      <c r="BM127" s="69">
        <v>-0.1</v>
      </c>
      <c r="BN127" s="69">
        <v>0.1</v>
      </c>
      <c r="BO127" s="69">
        <v>0.88500000000000001</v>
      </c>
      <c r="BP127" s="69">
        <v>7</v>
      </c>
      <c r="BQ127" s="69" t="s">
        <v>61</v>
      </c>
      <c r="BR127" s="69" t="s">
        <v>61</v>
      </c>
      <c r="BS127" s="26">
        <v>9</v>
      </c>
      <c r="BT127" s="26">
        <v>1</v>
      </c>
      <c r="BU127" s="69" t="s">
        <v>61</v>
      </c>
      <c r="BV127" s="69" t="s">
        <v>61</v>
      </c>
      <c r="BW127" s="69">
        <v>-0.7</v>
      </c>
      <c r="BX127" s="69" t="s">
        <v>61</v>
      </c>
      <c r="BY127" s="69" t="s">
        <v>61</v>
      </c>
      <c r="BZ127" s="69">
        <v>-0.9</v>
      </c>
      <c r="CA127" s="69">
        <v>0.6</v>
      </c>
      <c r="CB127" s="69" t="s">
        <v>119</v>
      </c>
      <c r="CC127" s="69" t="s">
        <v>59</v>
      </c>
      <c r="CD127" s="69" t="s">
        <v>59</v>
      </c>
      <c r="CE127" s="69" t="s">
        <v>59</v>
      </c>
      <c r="CF127" s="69"/>
      <c r="CG127" s="69"/>
      <c r="CH127" s="69" t="s">
        <v>59</v>
      </c>
      <c r="CI127" s="69" t="s">
        <v>59</v>
      </c>
      <c r="CJ127" s="69" t="s">
        <v>59</v>
      </c>
      <c r="CK127" s="69" t="s">
        <v>59</v>
      </c>
      <c r="CL127" s="69" t="s">
        <v>59</v>
      </c>
      <c r="CM127" s="69" t="s">
        <v>59</v>
      </c>
      <c r="CN127" s="69" t="s">
        <v>59</v>
      </c>
      <c r="CO127" s="69" t="s">
        <v>59</v>
      </c>
      <c r="CP127" s="69" t="s">
        <v>59</v>
      </c>
      <c r="CQ127" s="69" t="s">
        <v>59</v>
      </c>
      <c r="CR127" s="69" t="s">
        <v>59</v>
      </c>
      <c r="CS127" s="69"/>
      <c r="CT127" s="69"/>
      <c r="CU127" s="69" t="s">
        <v>59</v>
      </c>
      <c r="CV127" s="69" t="s">
        <v>59</v>
      </c>
      <c r="CW127" s="69" t="s">
        <v>59</v>
      </c>
      <c r="CX127" s="69" t="s">
        <v>59</v>
      </c>
      <c r="CY127" s="69" t="s">
        <v>59</v>
      </c>
      <c r="CZ127" s="69" t="s">
        <v>59</v>
      </c>
      <c r="DA127" s="69" t="s">
        <v>59</v>
      </c>
      <c r="DB127" s="69" t="s">
        <v>59</v>
      </c>
      <c r="DC127" s="69">
        <v>36</v>
      </c>
      <c r="DD127" s="55"/>
    </row>
    <row r="128" spans="1:114" s="43" customFormat="1">
      <c r="A128" s="34" t="s">
        <v>263</v>
      </c>
      <c r="B128" s="34">
        <v>8392</v>
      </c>
      <c r="C128" s="34">
        <v>2</v>
      </c>
      <c r="D128" s="43">
        <v>1</v>
      </c>
      <c r="E128" s="26" t="s">
        <v>139</v>
      </c>
      <c r="F128" s="26" t="s">
        <v>59</v>
      </c>
      <c r="G128" s="48">
        <f t="shared" si="1"/>
        <v>206</v>
      </c>
      <c r="H128" s="26" t="s">
        <v>59</v>
      </c>
      <c r="I128" s="26" t="s">
        <v>59</v>
      </c>
      <c r="J128" s="26" t="s">
        <v>59</v>
      </c>
      <c r="K128" s="26" t="s">
        <v>59</v>
      </c>
      <c r="L128" s="26" t="s">
        <v>59</v>
      </c>
      <c r="M128" s="26" t="s">
        <v>59</v>
      </c>
      <c r="N128" s="26" t="s">
        <v>59</v>
      </c>
      <c r="O128" s="26" t="s">
        <v>59</v>
      </c>
      <c r="P128" s="26" t="s">
        <v>59</v>
      </c>
      <c r="Q128" s="26" t="s">
        <v>59</v>
      </c>
      <c r="R128" s="26" t="s">
        <v>59</v>
      </c>
      <c r="S128" s="26" t="s">
        <v>60</v>
      </c>
      <c r="T128" s="26" t="s">
        <v>60</v>
      </c>
      <c r="U128" s="26">
        <v>207</v>
      </c>
      <c r="V128" s="26">
        <v>212</v>
      </c>
      <c r="W128" s="26" t="s">
        <v>60</v>
      </c>
      <c r="X128" s="26" t="s">
        <v>60</v>
      </c>
      <c r="Y128" s="26">
        <v>7.7</v>
      </c>
      <c r="Z128" s="26">
        <v>1.7</v>
      </c>
      <c r="AA128" s="26" t="s">
        <v>61</v>
      </c>
      <c r="AB128" s="26" t="s">
        <v>61</v>
      </c>
      <c r="AC128" s="27" t="s">
        <v>61</v>
      </c>
      <c r="AD128" s="26">
        <v>7.6</v>
      </c>
      <c r="AE128" s="26">
        <v>1.7</v>
      </c>
      <c r="AF128" s="26" t="s">
        <v>61</v>
      </c>
      <c r="AG128" s="26" t="s">
        <v>61</v>
      </c>
      <c r="AH128" s="27" t="s">
        <v>61</v>
      </c>
      <c r="AI128" s="26" t="s">
        <v>60</v>
      </c>
      <c r="AJ128" s="26" t="s">
        <v>60</v>
      </c>
      <c r="AK128" s="26" t="s">
        <v>59</v>
      </c>
      <c r="AL128" s="26" t="s">
        <v>59</v>
      </c>
      <c r="AM128" s="26" t="s">
        <v>59</v>
      </c>
      <c r="AN128" s="26" t="s">
        <v>60</v>
      </c>
      <c r="AO128" s="26" t="s">
        <v>60</v>
      </c>
      <c r="AP128" s="26" t="s">
        <v>59</v>
      </c>
      <c r="AQ128" s="26" t="s">
        <v>59</v>
      </c>
      <c r="AR128" s="26" t="s">
        <v>59</v>
      </c>
      <c r="AS128" s="26">
        <v>0.87</v>
      </c>
      <c r="AT128" s="26" t="s">
        <v>64</v>
      </c>
      <c r="AU128" s="26" t="s">
        <v>59</v>
      </c>
      <c r="AV128" s="26" t="s">
        <v>59</v>
      </c>
      <c r="AW128" s="26" t="s">
        <v>59</v>
      </c>
      <c r="AX128" s="26" t="s">
        <v>59</v>
      </c>
      <c r="AY128" s="186">
        <v>99</v>
      </c>
      <c r="AZ128" s="186">
        <v>107</v>
      </c>
      <c r="BA128" s="186" t="s">
        <v>60</v>
      </c>
      <c r="BB128" s="186" t="s">
        <v>60</v>
      </c>
      <c r="BC128" s="26">
        <f>7.7+0.3</f>
        <v>8</v>
      </c>
      <c r="BD128" s="26" t="s">
        <v>61</v>
      </c>
      <c r="BE128" s="26" t="s">
        <v>61</v>
      </c>
      <c r="BF128" s="26">
        <v>9</v>
      </c>
      <c r="BG128" s="48">
        <v>1</v>
      </c>
      <c r="BH128" s="27" t="s">
        <v>61</v>
      </c>
      <c r="BI128" s="27" t="s">
        <v>61</v>
      </c>
      <c r="BJ128" s="26">
        <v>0.3</v>
      </c>
      <c r="BK128" s="26">
        <v>1.5</v>
      </c>
      <c r="BL128" s="26" t="s">
        <v>61</v>
      </c>
      <c r="BM128" s="26" t="s">
        <v>61</v>
      </c>
      <c r="BN128" s="26" t="s">
        <v>61</v>
      </c>
      <c r="BO128" s="26" t="s">
        <v>61</v>
      </c>
      <c r="BP128" s="26">
        <v>7.58</v>
      </c>
      <c r="BQ128" s="26" t="s">
        <v>61</v>
      </c>
      <c r="BR128" s="26" t="s">
        <v>61</v>
      </c>
      <c r="BS128" s="26">
        <v>9</v>
      </c>
      <c r="BT128" s="26">
        <v>1</v>
      </c>
      <c r="BU128" s="27" t="s">
        <v>61</v>
      </c>
      <c r="BV128" s="27" t="s">
        <v>61</v>
      </c>
      <c r="BW128" s="26">
        <v>-0.02</v>
      </c>
      <c r="BX128" s="26">
        <v>1.6</v>
      </c>
      <c r="BY128" s="27" t="s">
        <v>61</v>
      </c>
      <c r="BZ128" s="26" t="s">
        <v>61</v>
      </c>
      <c r="CA128" s="27" t="s">
        <v>61</v>
      </c>
      <c r="CB128" s="26" t="s">
        <v>61</v>
      </c>
      <c r="CC128" s="26" t="s">
        <v>60</v>
      </c>
      <c r="CD128" s="26" t="s">
        <v>60</v>
      </c>
      <c r="CE128" s="26" t="s">
        <v>59</v>
      </c>
      <c r="CF128" s="26"/>
      <c r="CG128" s="26"/>
      <c r="CH128" s="26" t="s">
        <v>59</v>
      </c>
      <c r="CI128" s="26" t="s">
        <v>59</v>
      </c>
      <c r="CJ128" s="26" t="s">
        <v>59</v>
      </c>
      <c r="CK128" s="26" t="s">
        <v>59</v>
      </c>
      <c r="CL128" s="26" t="s">
        <v>59</v>
      </c>
      <c r="CM128" s="26" t="s">
        <v>59</v>
      </c>
      <c r="CN128" s="26" t="s">
        <v>59</v>
      </c>
      <c r="CO128" s="26" t="s">
        <v>59</v>
      </c>
      <c r="CP128" s="26" t="s">
        <v>60</v>
      </c>
      <c r="CQ128" s="26" t="s">
        <v>60</v>
      </c>
      <c r="CR128" s="26" t="s">
        <v>59</v>
      </c>
      <c r="CS128" s="26"/>
      <c r="CT128" s="26"/>
      <c r="CU128" s="26" t="s">
        <v>59</v>
      </c>
      <c r="CV128" s="26" t="s">
        <v>59</v>
      </c>
      <c r="CW128" s="26" t="s">
        <v>59</v>
      </c>
      <c r="CX128" s="26" t="s">
        <v>59</v>
      </c>
      <c r="CY128" s="26" t="s">
        <v>59</v>
      </c>
      <c r="CZ128" s="26" t="s">
        <v>59</v>
      </c>
      <c r="DA128" s="26" t="s">
        <v>59</v>
      </c>
      <c r="DB128" s="26" t="s">
        <v>59</v>
      </c>
      <c r="DC128" s="26">
        <v>16</v>
      </c>
      <c r="DD128" s="29"/>
      <c r="DE128" s="22"/>
      <c r="DF128" s="22"/>
      <c r="DG128" s="26"/>
      <c r="DH128" s="27"/>
      <c r="DI128" s="22"/>
      <c r="DJ128" s="26"/>
    </row>
    <row r="129" spans="1:114" s="43" customFormat="1" ht="14">
      <c r="A129" s="49" t="s">
        <v>359</v>
      </c>
      <c r="B129" s="43">
        <v>10239</v>
      </c>
      <c r="C129" s="34">
        <v>2</v>
      </c>
      <c r="D129" s="43">
        <v>1</v>
      </c>
      <c r="E129" s="48" t="s">
        <v>139</v>
      </c>
      <c r="F129" s="26" t="s">
        <v>59</v>
      </c>
      <c r="G129" s="48">
        <f t="shared" si="1"/>
        <v>117</v>
      </c>
      <c r="H129" s="26" t="s">
        <v>59</v>
      </c>
      <c r="I129" s="26" t="s">
        <v>59</v>
      </c>
      <c r="J129" s="48" t="s">
        <v>59</v>
      </c>
      <c r="K129" s="26" t="s">
        <v>59</v>
      </c>
      <c r="L129" s="26" t="s">
        <v>59</v>
      </c>
      <c r="M129" s="26" t="s">
        <v>59</v>
      </c>
      <c r="N129" s="26" t="s">
        <v>59</v>
      </c>
      <c r="O129" s="26" t="s">
        <v>59</v>
      </c>
      <c r="P129" s="26" t="s">
        <v>59</v>
      </c>
      <c r="Q129" s="48" t="s">
        <v>59</v>
      </c>
      <c r="R129" s="48" t="s">
        <v>59</v>
      </c>
      <c r="S129" s="48" t="s">
        <v>59</v>
      </c>
      <c r="T129" s="48" t="s">
        <v>59</v>
      </c>
      <c r="U129" s="48">
        <v>73</v>
      </c>
      <c r="V129" s="48">
        <v>70</v>
      </c>
      <c r="W129" s="48" t="s">
        <v>59</v>
      </c>
      <c r="X129" s="48" t="s">
        <v>59</v>
      </c>
      <c r="Y129" s="69">
        <v>7.8</v>
      </c>
      <c r="Z129" s="69">
        <v>0.9</v>
      </c>
      <c r="AA129" s="69" t="s">
        <v>61</v>
      </c>
      <c r="AB129" s="69" t="s">
        <v>61</v>
      </c>
      <c r="AC129" s="69" t="s">
        <v>61</v>
      </c>
      <c r="AD129" s="69">
        <v>7.9</v>
      </c>
      <c r="AE129" s="69">
        <v>0.8</v>
      </c>
      <c r="AF129" s="69" t="s">
        <v>61</v>
      </c>
      <c r="AG129" s="69" t="s">
        <v>61</v>
      </c>
      <c r="AH129" s="69" t="s">
        <v>61</v>
      </c>
      <c r="AI129" s="69" t="s">
        <v>59</v>
      </c>
      <c r="AJ129" s="69" t="s">
        <v>59</v>
      </c>
      <c r="AK129" s="69" t="s">
        <v>59</v>
      </c>
      <c r="AL129" s="69" t="s">
        <v>59</v>
      </c>
      <c r="AM129" s="69" t="s">
        <v>59</v>
      </c>
      <c r="AN129" s="69" t="s">
        <v>59</v>
      </c>
      <c r="AO129" s="69" t="s">
        <v>59</v>
      </c>
      <c r="AP129" s="69" t="s">
        <v>59</v>
      </c>
      <c r="AQ129" s="69" t="s">
        <v>59</v>
      </c>
      <c r="AR129" s="69" t="s">
        <v>59</v>
      </c>
      <c r="AS129" s="69" t="s">
        <v>61</v>
      </c>
      <c r="AT129" s="69" t="s">
        <v>64</v>
      </c>
      <c r="AU129" s="69" t="s">
        <v>59</v>
      </c>
      <c r="AV129" s="69" t="s">
        <v>59</v>
      </c>
      <c r="AW129" s="69" t="s">
        <v>59</v>
      </c>
      <c r="AX129" s="69" t="s">
        <v>59</v>
      </c>
      <c r="AY129" s="215">
        <v>58</v>
      </c>
      <c r="AZ129" s="215">
        <v>59</v>
      </c>
      <c r="BA129" s="215" t="s">
        <v>59</v>
      </c>
      <c r="BB129" s="215" t="s">
        <v>59</v>
      </c>
      <c r="BC129" s="69">
        <v>7.2</v>
      </c>
      <c r="BD129" s="69" t="s">
        <v>61</v>
      </c>
      <c r="BE129" s="69" t="s">
        <v>61</v>
      </c>
      <c r="BF129" s="26">
        <v>9</v>
      </c>
      <c r="BG129" s="48">
        <v>1</v>
      </c>
      <c r="BH129" s="69" t="s">
        <v>61</v>
      </c>
      <c r="BI129" s="69" t="s">
        <v>61</v>
      </c>
      <c r="BJ129" s="69">
        <v>-0.6</v>
      </c>
      <c r="BK129" s="69" t="s">
        <v>61</v>
      </c>
      <c r="BL129" s="69" t="s">
        <v>61</v>
      </c>
      <c r="BM129" s="69">
        <v>-0.8</v>
      </c>
      <c r="BN129" s="69">
        <v>-0.4</v>
      </c>
      <c r="BO129" s="69" t="s">
        <v>61</v>
      </c>
      <c r="BP129" s="69">
        <v>7.6</v>
      </c>
      <c r="BQ129" s="69" t="s">
        <v>61</v>
      </c>
      <c r="BR129" s="69" t="s">
        <v>61</v>
      </c>
      <c r="BS129" s="26">
        <v>9</v>
      </c>
      <c r="BT129" s="26">
        <v>1</v>
      </c>
      <c r="BU129" s="69" t="s">
        <v>61</v>
      </c>
      <c r="BV129" s="69" t="s">
        <v>61</v>
      </c>
      <c r="BW129" s="69">
        <v>-0.3</v>
      </c>
      <c r="BX129" s="69" t="s">
        <v>61</v>
      </c>
      <c r="BY129" s="69" t="s">
        <v>61</v>
      </c>
      <c r="BZ129" s="69">
        <v>-0.5</v>
      </c>
      <c r="CA129" s="69">
        <v>-0.1</v>
      </c>
      <c r="CB129" s="69" t="s">
        <v>61</v>
      </c>
      <c r="CC129" s="69" t="s">
        <v>59</v>
      </c>
      <c r="CD129" s="69" t="s">
        <v>59</v>
      </c>
      <c r="CE129" s="69" t="s">
        <v>59</v>
      </c>
      <c r="CF129" s="69"/>
      <c r="CG129" s="69"/>
      <c r="CH129" s="69" t="s">
        <v>59</v>
      </c>
      <c r="CI129" s="69" t="s">
        <v>59</v>
      </c>
      <c r="CJ129" s="69" t="s">
        <v>59</v>
      </c>
      <c r="CK129" s="69" t="s">
        <v>59</v>
      </c>
      <c r="CL129" s="69" t="s">
        <v>59</v>
      </c>
      <c r="CM129" s="69" t="s">
        <v>59</v>
      </c>
      <c r="CN129" s="69" t="s">
        <v>59</v>
      </c>
      <c r="CO129" s="69" t="s">
        <v>59</v>
      </c>
      <c r="CP129" s="69" t="s">
        <v>59</v>
      </c>
      <c r="CQ129" s="69" t="s">
        <v>59</v>
      </c>
      <c r="CR129" s="69" t="s">
        <v>59</v>
      </c>
      <c r="CS129" s="69"/>
      <c r="CT129" s="69"/>
      <c r="CU129" s="69" t="s">
        <v>59</v>
      </c>
      <c r="CV129" s="69" t="s">
        <v>59</v>
      </c>
      <c r="CW129" s="69" t="s">
        <v>59</v>
      </c>
      <c r="CX129" s="69" t="s">
        <v>59</v>
      </c>
      <c r="CY129" s="69" t="s">
        <v>59</v>
      </c>
      <c r="CZ129" s="69" t="s">
        <v>59</v>
      </c>
      <c r="DA129" s="69" t="s">
        <v>59</v>
      </c>
      <c r="DB129" s="69" t="s">
        <v>59</v>
      </c>
      <c r="DC129" s="69">
        <v>6</v>
      </c>
      <c r="DD129" s="55"/>
    </row>
    <row r="130" spans="1:114" s="43" customFormat="1">
      <c r="A130" s="51" t="s">
        <v>386</v>
      </c>
      <c r="B130" s="52">
        <v>11247</v>
      </c>
      <c r="C130" s="34">
        <v>2</v>
      </c>
      <c r="D130" s="43">
        <v>1</v>
      </c>
      <c r="E130" s="48" t="s">
        <v>139</v>
      </c>
      <c r="F130" s="26" t="s">
        <v>59</v>
      </c>
      <c r="G130" s="48">
        <f t="shared" ref="G130:G193" si="2">SUM(AY130:BB130)</f>
        <v>62</v>
      </c>
      <c r="H130" s="26" t="s">
        <v>59</v>
      </c>
      <c r="I130" s="26" t="s">
        <v>59</v>
      </c>
      <c r="J130" s="48" t="s">
        <v>59</v>
      </c>
      <c r="K130" s="26" t="s">
        <v>59</v>
      </c>
      <c r="L130" s="26" t="s">
        <v>59</v>
      </c>
      <c r="M130" s="26" t="s">
        <v>59</v>
      </c>
      <c r="N130" s="26" t="s">
        <v>59</v>
      </c>
      <c r="O130" s="26" t="s">
        <v>59</v>
      </c>
      <c r="P130" s="26" t="s">
        <v>59</v>
      </c>
      <c r="Q130" s="48" t="s">
        <v>59</v>
      </c>
      <c r="R130" s="48" t="s">
        <v>59</v>
      </c>
      <c r="S130" s="48" t="s">
        <v>59</v>
      </c>
      <c r="T130" s="48" t="s">
        <v>59</v>
      </c>
      <c r="U130" s="48">
        <v>16</v>
      </c>
      <c r="V130" s="48">
        <v>46</v>
      </c>
      <c r="W130" s="48" t="s">
        <v>59</v>
      </c>
      <c r="X130" s="48" t="s">
        <v>59</v>
      </c>
      <c r="Y130" s="48">
        <v>7.9</v>
      </c>
      <c r="Z130" s="48">
        <v>0.6</v>
      </c>
      <c r="AA130" s="48">
        <v>0.2</v>
      </c>
      <c r="AB130" s="48" t="s">
        <v>61</v>
      </c>
      <c r="AC130" s="48" t="s">
        <v>61</v>
      </c>
      <c r="AD130" s="48">
        <v>7.9</v>
      </c>
      <c r="AE130" s="48">
        <v>0.6</v>
      </c>
      <c r="AF130" s="48">
        <v>0.1</v>
      </c>
      <c r="AG130" s="48" t="s">
        <v>61</v>
      </c>
      <c r="AH130" s="48" t="s">
        <v>61</v>
      </c>
      <c r="AI130" s="48" t="s">
        <v>59</v>
      </c>
      <c r="AJ130" s="48" t="s">
        <v>59</v>
      </c>
      <c r="AK130" s="48" t="s">
        <v>59</v>
      </c>
      <c r="AL130" s="48" t="s">
        <v>59</v>
      </c>
      <c r="AM130" s="48" t="s">
        <v>59</v>
      </c>
      <c r="AN130" s="48" t="s">
        <v>59</v>
      </c>
      <c r="AO130" s="48" t="s">
        <v>59</v>
      </c>
      <c r="AP130" s="48" t="s">
        <v>59</v>
      </c>
      <c r="AQ130" s="48" t="s">
        <v>59</v>
      </c>
      <c r="AR130" s="48" t="s">
        <v>59</v>
      </c>
      <c r="AS130" s="48">
        <v>0.8</v>
      </c>
      <c r="AT130" s="48" t="s">
        <v>64</v>
      </c>
      <c r="AU130" s="48" t="s">
        <v>59</v>
      </c>
      <c r="AV130" s="48" t="s">
        <v>59</v>
      </c>
      <c r="AW130" s="48" t="s">
        <v>59</v>
      </c>
      <c r="AX130" s="48" t="s">
        <v>59</v>
      </c>
      <c r="AY130" s="73">
        <v>16</v>
      </c>
      <c r="AZ130" s="73">
        <v>46</v>
      </c>
      <c r="BA130" s="73" t="s">
        <v>59</v>
      </c>
      <c r="BB130" s="73" t="s">
        <v>59</v>
      </c>
      <c r="BC130" s="48">
        <v>7.2</v>
      </c>
      <c r="BD130" s="48" t="s">
        <v>61</v>
      </c>
      <c r="BE130" s="48">
        <v>0.2</v>
      </c>
      <c r="BF130" s="48">
        <v>1</v>
      </c>
      <c r="BG130" s="48">
        <v>1</v>
      </c>
      <c r="BH130" s="48" t="s">
        <v>61</v>
      </c>
      <c r="BI130" s="48" t="s">
        <v>61</v>
      </c>
      <c r="BJ130" s="48">
        <v>-0.7</v>
      </c>
      <c r="BK130" s="48">
        <v>0.2</v>
      </c>
      <c r="BL130" s="48" t="s">
        <v>61</v>
      </c>
      <c r="BM130" s="48">
        <v>-0.9</v>
      </c>
      <c r="BN130" s="48">
        <v>-0.4</v>
      </c>
      <c r="BO130" s="48" t="s">
        <v>61</v>
      </c>
      <c r="BP130" s="48">
        <v>6.7</v>
      </c>
      <c r="BQ130" s="26" t="s">
        <v>61</v>
      </c>
      <c r="BR130" s="48">
        <v>0.1</v>
      </c>
      <c r="BS130" s="69">
        <v>1</v>
      </c>
      <c r="BT130" s="26">
        <v>1</v>
      </c>
      <c r="BU130" s="48" t="s">
        <v>61</v>
      </c>
      <c r="BV130" s="48" t="s">
        <v>61</v>
      </c>
      <c r="BW130" s="48">
        <v>-1.2</v>
      </c>
      <c r="BX130" s="48">
        <v>0.1</v>
      </c>
      <c r="BY130" s="48" t="s">
        <v>61</v>
      </c>
      <c r="BZ130" s="48">
        <v>-1.3</v>
      </c>
      <c r="CA130" s="48">
        <v>-1</v>
      </c>
      <c r="CB130" s="48" t="s">
        <v>61</v>
      </c>
      <c r="CC130" s="48" t="s">
        <v>59</v>
      </c>
      <c r="CD130" s="48" t="s">
        <v>59</v>
      </c>
      <c r="CE130" s="48" t="s">
        <v>59</v>
      </c>
      <c r="CF130" s="48"/>
      <c r="CG130" s="48"/>
      <c r="CH130" s="48" t="s">
        <v>59</v>
      </c>
      <c r="CI130" s="48" t="s">
        <v>59</v>
      </c>
      <c r="CJ130" s="48" t="s">
        <v>59</v>
      </c>
      <c r="CK130" s="48" t="s">
        <v>59</v>
      </c>
      <c r="CL130" s="48" t="s">
        <v>59</v>
      </c>
      <c r="CM130" s="48" t="s">
        <v>59</v>
      </c>
      <c r="CN130" s="48" t="s">
        <v>59</v>
      </c>
      <c r="CO130" s="48" t="s">
        <v>59</v>
      </c>
      <c r="CP130" s="48" t="s">
        <v>59</v>
      </c>
      <c r="CQ130" s="48" t="s">
        <v>59</v>
      </c>
      <c r="CR130" s="48" t="s">
        <v>59</v>
      </c>
      <c r="CS130" s="48"/>
      <c r="CT130" s="48"/>
      <c r="CU130" s="48" t="s">
        <v>59</v>
      </c>
      <c r="CV130" s="48" t="s">
        <v>59</v>
      </c>
      <c r="CW130" s="48" t="s">
        <v>59</v>
      </c>
      <c r="CX130" s="48" t="s">
        <v>59</v>
      </c>
      <c r="CY130" s="48" t="s">
        <v>59</v>
      </c>
      <c r="CZ130" s="48" t="s">
        <v>59</v>
      </c>
      <c r="DA130" s="48" t="s">
        <v>59</v>
      </c>
      <c r="DB130" s="48" t="s">
        <v>59</v>
      </c>
      <c r="DC130" s="48">
        <v>6</v>
      </c>
      <c r="DD130" s="55"/>
    </row>
    <row r="131" spans="1:114" s="43" customFormat="1">
      <c r="A131" s="34" t="s">
        <v>255</v>
      </c>
      <c r="B131" s="34">
        <v>8196</v>
      </c>
      <c r="C131" s="34">
        <v>2</v>
      </c>
      <c r="D131" s="43">
        <v>1</v>
      </c>
      <c r="E131" s="26" t="s">
        <v>139</v>
      </c>
      <c r="F131" s="26" t="s">
        <v>59</v>
      </c>
      <c r="G131" s="48">
        <f t="shared" si="2"/>
        <v>109</v>
      </c>
      <c r="H131" s="26" t="s">
        <v>59</v>
      </c>
      <c r="I131" s="26" t="s">
        <v>59</v>
      </c>
      <c r="J131" s="26" t="s">
        <v>59</v>
      </c>
      <c r="K131" s="26" t="s">
        <v>59</v>
      </c>
      <c r="L131" s="26" t="s">
        <v>59</v>
      </c>
      <c r="M131" s="26" t="s">
        <v>59</v>
      </c>
      <c r="N131" s="26" t="s">
        <v>59</v>
      </c>
      <c r="O131" s="26" t="s">
        <v>59</v>
      </c>
      <c r="P131" s="26" t="s">
        <v>59</v>
      </c>
      <c r="Q131" s="26" t="s">
        <v>59</v>
      </c>
      <c r="R131" s="26" t="s">
        <v>59</v>
      </c>
      <c r="S131" s="26" t="s">
        <v>60</v>
      </c>
      <c r="T131" s="26" t="s">
        <v>60</v>
      </c>
      <c r="U131" s="26">
        <v>51</v>
      </c>
      <c r="V131" s="26">
        <v>58</v>
      </c>
      <c r="W131" s="26" t="s">
        <v>60</v>
      </c>
      <c r="X131" s="26" t="s">
        <v>60</v>
      </c>
      <c r="Y131" s="26">
        <v>7.9</v>
      </c>
      <c r="Z131" s="26">
        <v>1.1000000000000001</v>
      </c>
      <c r="AA131" s="26" t="s">
        <v>61</v>
      </c>
      <c r="AB131" s="26" t="s">
        <v>61</v>
      </c>
      <c r="AC131" s="27" t="s">
        <v>61</v>
      </c>
      <c r="AD131" s="26">
        <v>8.1</v>
      </c>
      <c r="AE131" s="26">
        <v>1.5</v>
      </c>
      <c r="AF131" s="26" t="s">
        <v>61</v>
      </c>
      <c r="AG131" s="26" t="s">
        <v>61</v>
      </c>
      <c r="AH131" s="27" t="s">
        <v>61</v>
      </c>
      <c r="AI131" s="26" t="s">
        <v>60</v>
      </c>
      <c r="AJ131" s="26" t="s">
        <v>60</v>
      </c>
      <c r="AK131" s="26" t="s">
        <v>59</v>
      </c>
      <c r="AL131" s="26" t="s">
        <v>59</v>
      </c>
      <c r="AM131" s="26" t="s">
        <v>59</v>
      </c>
      <c r="AN131" s="26" t="s">
        <v>60</v>
      </c>
      <c r="AO131" s="26" t="s">
        <v>60</v>
      </c>
      <c r="AP131" s="26" t="s">
        <v>59</v>
      </c>
      <c r="AQ131" s="26" t="s">
        <v>59</v>
      </c>
      <c r="AR131" s="26" t="s">
        <v>59</v>
      </c>
      <c r="AS131" s="26">
        <v>0.38</v>
      </c>
      <c r="AT131" s="26" t="s">
        <v>64</v>
      </c>
      <c r="AU131" s="26" t="s">
        <v>59</v>
      </c>
      <c r="AV131" s="26" t="s">
        <v>59</v>
      </c>
      <c r="AW131" s="26" t="s">
        <v>59</v>
      </c>
      <c r="AX131" s="26" t="s">
        <v>59</v>
      </c>
      <c r="AY131" s="186">
        <v>51</v>
      </c>
      <c r="AZ131" s="186">
        <v>58</v>
      </c>
      <c r="BA131" s="186" t="s">
        <v>60</v>
      </c>
      <c r="BB131" s="186" t="s">
        <v>60</v>
      </c>
      <c r="BC131" s="26">
        <v>7.9</v>
      </c>
      <c r="BD131" s="26" t="s">
        <v>61</v>
      </c>
      <c r="BE131" s="26" t="s">
        <v>61</v>
      </c>
      <c r="BF131" s="26">
        <v>9</v>
      </c>
      <c r="BG131" s="48">
        <v>1</v>
      </c>
      <c r="BH131" s="27" t="s">
        <v>61</v>
      </c>
      <c r="BI131" s="27" t="s">
        <v>61</v>
      </c>
      <c r="BJ131" s="26">
        <v>0</v>
      </c>
      <c r="BK131" s="26">
        <v>1.5</v>
      </c>
      <c r="BL131" s="26" t="s">
        <v>61</v>
      </c>
      <c r="BM131" s="26" t="s">
        <v>61</v>
      </c>
      <c r="BN131" s="26" t="s">
        <v>61</v>
      </c>
      <c r="BO131" s="26" t="s">
        <v>61</v>
      </c>
      <c r="BP131" s="26">
        <f>8.1-0.9</f>
        <v>7.1999999999999993</v>
      </c>
      <c r="BQ131" s="26" t="s">
        <v>61</v>
      </c>
      <c r="BR131" s="26" t="s">
        <v>61</v>
      </c>
      <c r="BS131" s="26">
        <v>9</v>
      </c>
      <c r="BT131" s="26">
        <v>1</v>
      </c>
      <c r="BU131" s="27" t="s">
        <v>61</v>
      </c>
      <c r="BV131" s="27" t="s">
        <v>61</v>
      </c>
      <c r="BW131" s="26">
        <v>-0.9</v>
      </c>
      <c r="BX131" s="26">
        <v>1.6</v>
      </c>
      <c r="BY131" s="27" t="s">
        <v>61</v>
      </c>
      <c r="BZ131" s="26" t="s">
        <v>61</v>
      </c>
      <c r="CA131" s="27" t="s">
        <v>61</v>
      </c>
      <c r="CB131" s="26" t="s">
        <v>162</v>
      </c>
      <c r="CC131" s="26" t="s">
        <v>60</v>
      </c>
      <c r="CD131" s="26" t="s">
        <v>60</v>
      </c>
      <c r="CE131" s="26" t="s">
        <v>59</v>
      </c>
      <c r="CF131" s="26"/>
      <c r="CG131" s="26"/>
      <c r="CH131" s="26" t="s">
        <v>59</v>
      </c>
      <c r="CI131" s="26" t="s">
        <v>59</v>
      </c>
      <c r="CJ131" s="26" t="s">
        <v>59</v>
      </c>
      <c r="CK131" s="26" t="s">
        <v>59</v>
      </c>
      <c r="CL131" s="26" t="s">
        <v>59</v>
      </c>
      <c r="CM131" s="26" t="s">
        <v>59</v>
      </c>
      <c r="CN131" s="26" t="s">
        <v>59</v>
      </c>
      <c r="CO131" s="26" t="s">
        <v>59</v>
      </c>
      <c r="CP131" s="26" t="s">
        <v>60</v>
      </c>
      <c r="CQ131" s="26" t="s">
        <v>60</v>
      </c>
      <c r="CR131" s="26" t="s">
        <v>59</v>
      </c>
      <c r="CS131" s="26"/>
      <c r="CT131" s="26"/>
      <c r="CU131" s="26" t="s">
        <v>59</v>
      </c>
      <c r="CV131" s="26" t="s">
        <v>59</v>
      </c>
      <c r="CW131" s="26" t="s">
        <v>59</v>
      </c>
      <c r="CX131" s="26" t="s">
        <v>59</v>
      </c>
      <c r="CY131" s="26" t="s">
        <v>59</v>
      </c>
      <c r="CZ131" s="26" t="s">
        <v>59</v>
      </c>
      <c r="DA131" s="26" t="s">
        <v>59</v>
      </c>
      <c r="DB131" s="26" t="s">
        <v>59</v>
      </c>
      <c r="DC131" s="26">
        <v>4</v>
      </c>
      <c r="DD131" s="29"/>
      <c r="DE131" s="22"/>
      <c r="DF131" s="22"/>
      <c r="DG131" s="26"/>
      <c r="DH131" s="27"/>
      <c r="DI131" s="22"/>
      <c r="DJ131" s="26"/>
    </row>
    <row r="132" spans="1:114" s="43" customFormat="1">
      <c r="A132" s="34" t="s">
        <v>269</v>
      </c>
      <c r="B132" s="34">
        <v>8500</v>
      </c>
      <c r="C132" s="34">
        <v>2</v>
      </c>
      <c r="D132" s="43">
        <v>1</v>
      </c>
      <c r="E132" s="26" t="s">
        <v>139</v>
      </c>
      <c r="F132" s="26" t="s">
        <v>59</v>
      </c>
      <c r="G132" s="48">
        <f t="shared" si="2"/>
        <v>47</v>
      </c>
      <c r="H132" s="26" t="s">
        <v>59</v>
      </c>
      <c r="I132" s="26" t="s">
        <v>59</v>
      </c>
      <c r="J132" s="26" t="s">
        <v>59</v>
      </c>
      <c r="K132" s="26" t="s">
        <v>59</v>
      </c>
      <c r="L132" s="26" t="s">
        <v>59</v>
      </c>
      <c r="M132" s="26" t="s">
        <v>59</v>
      </c>
      <c r="N132" s="26" t="s">
        <v>59</v>
      </c>
      <c r="O132" s="26" t="s">
        <v>59</v>
      </c>
      <c r="P132" s="26" t="s">
        <v>59</v>
      </c>
      <c r="Q132" s="26" t="s">
        <v>59</v>
      </c>
      <c r="R132" s="26" t="s">
        <v>59</v>
      </c>
      <c r="S132" s="26" t="s">
        <v>60</v>
      </c>
      <c r="T132" s="26" t="s">
        <v>60</v>
      </c>
      <c r="U132" s="26">
        <v>23</v>
      </c>
      <c r="V132" s="26">
        <v>24</v>
      </c>
      <c r="W132" s="26" t="s">
        <v>60</v>
      </c>
      <c r="X132" s="26" t="s">
        <v>60</v>
      </c>
      <c r="Y132" s="26">
        <v>7.9</v>
      </c>
      <c r="Z132" s="26">
        <v>1.3</v>
      </c>
      <c r="AA132" s="26" t="s">
        <v>61</v>
      </c>
      <c r="AB132" s="26" t="s">
        <v>61</v>
      </c>
      <c r="AC132" s="27" t="s">
        <v>61</v>
      </c>
      <c r="AD132" s="26">
        <v>7.9</v>
      </c>
      <c r="AE132" s="26">
        <v>2.2000000000000002</v>
      </c>
      <c r="AF132" s="26" t="s">
        <v>61</v>
      </c>
      <c r="AG132" s="26" t="s">
        <v>61</v>
      </c>
      <c r="AH132" s="27" t="s">
        <v>61</v>
      </c>
      <c r="AI132" s="26" t="s">
        <v>60</v>
      </c>
      <c r="AJ132" s="26" t="s">
        <v>60</v>
      </c>
      <c r="AK132" s="26" t="s">
        <v>59</v>
      </c>
      <c r="AL132" s="26" t="s">
        <v>59</v>
      </c>
      <c r="AM132" s="26" t="s">
        <v>59</v>
      </c>
      <c r="AN132" s="26" t="s">
        <v>60</v>
      </c>
      <c r="AO132" s="26" t="s">
        <v>60</v>
      </c>
      <c r="AP132" s="26" t="s">
        <v>59</v>
      </c>
      <c r="AQ132" s="26" t="s">
        <v>59</v>
      </c>
      <c r="AR132" s="26" t="s">
        <v>59</v>
      </c>
      <c r="AS132" s="26" t="s">
        <v>61</v>
      </c>
      <c r="AT132" s="26" t="s">
        <v>64</v>
      </c>
      <c r="AU132" s="26" t="s">
        <v>59</v>
      </c>
      <c r="AV132" s="26" t="s">
        <v>59</v>
      </c>
      <c r="AW132" s="26" t="s">
        <v>59</v>
      </c>
      <c r="AX132" s="26" t="s">
        <v>59</v>
      </c>
      <c r="AY132" s="186">
        <v>23</v>
      </c>
      <c r="AZ132" s="186">
        <v>24</v>
      </c>
      <c r="BA132" s="186" t="s">
        <v>60</v>
      </c>
      <c r="BB132" s="186" t="s">
        <v>60</v>
      </c>
      <c r="BC132" s="26">
        <v>7.1</v>
      </c>
      <c r="BD132" s="26" t="s">
        <v>61</v>
      </c>
      <c r="BE132" s="26" t="s">
        <v>61</v>
      </c>
      <c r="BF132" s="26">
        <v>9</v>
      </c>
      <c r="BG132" s="48">
        <v>1</v>
      </c>
      <c r="BH132" s="27" t="s">
        <v>61</v>
      </c>
      <c r="BI132" s="27" t="s">
        <v>61</v>
      </c>
      <c r="BJ132" s="26" t="s">
        <v>61</v>
      </c>
      <c r="BK132" s="26" t="s">
        <v>61</v>
      </c>
      <c r="BL132" s="26" t="s">
        <v>61</v>
      </c>
      <c r="BM132" s="26" t="s">
        <v>61</v>
      </c>
      <c r="BN132" s="26" t="s">
        <v>61</v>
      </c>
      <c r="BO132" s="26">
        <v>2.0999999999999999E-3</v>
      </c>
      <c r="BP132" s="26">
        <v>6.9</v>
      </c>
      <c r="BQ132" s="26" t="s">
        <v>61</v>
      </c>
      <c r="BR132" s="26" t="s">
        <v>61</v>
      </c>
      <c r="BS132" s="26">
        <v>9</v>
      </c>
      <c r="BT132" s="26">
        <v>1</v>
      </c>
      <c r="BU132" s="27" t="s">
        <v>61</v>
      </c>
      <c r="BV132" s="27" t="s">
        <v>61</v>
      </c>
      <c r="BW132" s="26">
        <v>-1</v>
      </c>
      <c r="BX132" s="26" t="s">
        <v>61</v>
      </c>
      <c r="BY132" s="27" t="s">
        <v>61</v>
      </c>
      <c r="BZ132" s="26" t="s">
        <v>61</v>
      </c>
      <c r="CA132" s="27" t="s">
        <v>61</v>
      </c>
      <c r="CB132" s="26">
        <v>9.4999999999999998E-3</v>
      </c>
      <c r="CC132" s="26" t="s">
        <v>60</v>
      </c>
      <c r="CD132" s="26" t="s">
        <v>60</v>
      </c>
      <c r="CE132" s="26" t="s">
        <v>59</v>
      </c>
      <c r="CF132" s="26"/>
      <c r="CG132" s="26"/>
      <c r="CH132" s="26" t="s">
        <v>59</v>
      </c>
      <c r="CI132" s="26" t="s">
        <v>59</v>
      </c>
      <c r="CJ132" s="26" t="s">
        <v>59</v>
      </c>
      <c r="CK132" s="26" t="s">
        <v>59</v>
      </c>
      <c r="CL132" s="26" t="s">
        <v>59</v>
      </c>
      <c r="CM132" s="26" t="s">
        <v>59</v>
      </c>
      <c r="CN132" s="26" t="s">
        <v>59</v>
      </c>
      <c r="CO132" s="26" t="s">
        <v>59</v>
      </c>
      <c r="CP132" s="26" t="s">
        <v>60</v>
      </c>
      <c r="CQ132" s="26" t="s">
        <v>60</v>
      </c>
      <c r="CR132" s="26" t="s">
        <v>59</v>
      </c>
      <c r="CS132" s="26"/>
      <c r="CT132" s="26"/>
      <c r="CU132" s="26" t="s">
        <v>59</v>
      </c>
      <c r="CV132" s="26" t="s">
        <v>59</v>
      </c>
      <c r="CW132" s="26" t="s">
        <v>59</v>
      </c>
      <c r="CX132" s="26" t="s">
        <v>59</v>
      </c>
      <c r="CY132" s="26" t="s">
        <v>59</v>
      </c>
      <c r="CZ132" s="26" t="s">
        <v>59</v>
      </c>
      <c r="DA132" s="26" t="s">
        <v>59</v>
      </c>
      <c r="DB132" s="26" t="s">
        <v>59</v>
      </c>
      <c r="DC132" s="26">
        <v>6</v>
      </c>
      <c r="DD132" s="29"/>
      <c r="DE132" s="22"/>
      <c r="DF132" s="22"/>
      <c r="DG132" s="26"/>
      <c r="DH132" s="27"/>
      <c r="DI132" s="22"/>
      <c r="DJ132" s="26"/>
    </row>
    <row r="133" spans="1:114" s="43" customFormat="1" ht="14">
      <c r="A133" s="34" t="s">
        <v>158</v>
      </c>
      <c r="B133" s="34">
        <v>1243</v>
      </c>
      <c r="C133" s="34">
        <v>2</v>
      </c>
      <c r="D133" s="43">
        <v>1</v>
      </c>
      <c r="E133" s="26" t="s">
        <v>139</v>
      </c>
      <c r="F133" s="26" t="s">
        <v>59</v>
      </c>
      <c r="G133" s="48">
        <f t="shared" si="2"/>
        <v>164.84</v>
      </c>
      <c r="H133" s="26" t="s">
        <v>59</v>
      </c>
      <c r="I133" s="26" t="s">
        <v>60</v>
      </c>
      <c r="J133" s="26" t="s">
        <v>59</v>
      </c>
      <c r="K133" s="26" t="s">
        <v>59</v>
      </c>
      <c r="L133" s="26" t="s">
        <v>59</v>
      </c>
      <c r="M133" s="26" t="s">
        <v>59</v>
      </c>
      <c r="N133" s="26" t="s">
        <v>59</v>
      </c>
      <c r="O133" s="26" t="s">
        <v>59</v>
      </c>
      <c r="P133" s="26" t="s">
        <v>59</v>
      </c>
      <c r="Q133" s="26" t="s">
        <v>60</v>
      </c>
      <c r="R133" s="26" t="s">
        <v>60</v>
      </c>
      <c r="S133" s="26" t="s">
        <v>60</v>
      </c>
      <c r="T133" s="26" t="s">
        <v>60</v>
      </c>
      <c r="U133" s="26">
        <v>83</v>
      </c>
      <c r="V133" s="26">
        <v>93</v>
      </c>
      <c r="W133" s="26" t="s">
        <v>60</v>
      </c>
      <c r="X133" s="26" t="s">
        <v>60</v>
      </c>
      <c r="Y133" s="26">
        <v>7.9</v>
      </c>
      <c r="Z133" s="26" t="s">
        <v>61</v>
      </c>
      <c r="AA133" s="26" t="s">
        <v>61</v>
      </c>
      <c r="AB133" s="26" t="s">
        <v>61</v>
      </c>
      <c r="AC133" s="27" t="s">
        <v>61</v>
      </c>
      <c r="AD133" s="26">
        <v>7.8</v>
      </c>
      <c r="AE133" s="26" t="s">
        <v>61</v>
      </c>
      <c r="AF133" s="26" t="s">
        <v>61</v>
      </c>
      <c r="AG133" s="26" t="s">
        <v>61</v>
      </c>
      <c r="AH133" s="27" t="s">
        <v>61</v>
      </c>
      <c r="AI133" s="26" t="s">
        <v>60</v>
      </c>
      <c r="AJ133" s="26" t="s">
        <v>60</v>
      </c>
      <c r="AK133" s="26" t="s">
        <v>59</v>
      </c>
      <c r="AL133" s="26" t="s">
        <v>59</v>
      </c>
      <c r="AM133" s="26" t="s">
        <v>59</v>
      </c>
      <c r="AN133" s="26" t="s">
        <v>60</v>
      </c>
      <c r="AO133" s="26" t="s">
        <v>60</v>
      </c>
      <c r="AP133" s="26" t="s">
        <v>59</v>
      </c>
      <c r="AQ133" s="26" t="s">
        <v>59</v>
      </c>
      <c r="AR133" s="26" t="s">
        <v>59</v>
      </c>
      <c r="AS133" s="26" t="s">
        <v>61</v>
      </c>
      <c r="AT133" s="26" t="s">
        <v>64</v>
      </c>
      <c r="AU133" s="26" t="s">
        <v>59</v>
      </c>
      <c r="AV133" s="26" t="s">
        <v>59</v>
      </c>
      <c r="AW133" s="26" t="s">
        <v>59</v>
      </c>
      <c r="AX133" s="26" t="s">
        <v>59</v>
      </c>
      <c r="AY133" s="186">
        <v>83</v>
      </c>
      <c r="AZ133" s="186">
        <f>0.88*V133</f>
        <v>81.84</v>
      </c>
      <c r="BA133" s="186" t="s">
        <v>60</v>
      </c>
      <c r="BB133" s="186" t="s">
        <v>60</v>
      </c>
      <c r="BC133" s="26">
        <v>7.7</v>
      </c>
      <c r="BD133" s="26" t="s">
        <v>61</v>
      </c>
      <c r="BE133" s="26" t="s">
        <v>61</v>
      </c>
      <c r="BF133" s="26">
        <v>9</v>
      </c>
      <c r="BG133" s="48">
        <v>1</v>
      </c>
      <c r="BH133" s="27" t="s">
        <v>61</v>
      </c>
      <c r="BI133" s="27" t="s">
        <v>61</v>
      </c>
      <c r="BJ133" s="26" t="s">
        <v>61</v>
      </c>
      <c r="BK133" s="26" t="s">
        <v>61</v>
      </c>
      <c r="BL133" s="26" t="s">
        <v>59</v>
      </c>
      <c r="BM133" s="26" t="s">
        <v>61</v>
      </c>
      <c r="BN133" s="26" t="s">
        <v>61</v>
      </c>
      <c r="BO133" s="26" t="s">
        <v>61</v>
      </c>
      <c r="BP133" s="26">
        <v>7.6</v>
      </c>
      <c r="BQ133" s="69" t="s">
        <v>61</v>
      </c>
      <c r="BR133" s="26" t="s">
        <v>61</v>
      </c>
      <c r="BS133" s="26">
        <v>9</v>
      </c>
      <c r="BT133" s="26">
        <v>1</v>
      </c>
      <c r="BU133" s="27" t="s">
        <v>61</v>
      </c>
      <c r="BV133" s="27" t="s">
        <v>61</v>
      </c>
      <c r="BW133" s="26" t="s">
        <v>61</v>
      </c>
      <c r="BX133" s="26" t="s">
        <v>61</v>
      </c>
      <c r="BY133" s="27" t="s">
        <v>61</v>
      </c>
      <c r="BZ133" s="26" t="s">
        <v>61</v>
      </c>
      <c r="CA133" s="27" t="s">
        <v>61</v>
      </c>
      <c r="CB133" s="26" t="s">
        <v>61</v>
      </c>
      <c r="CC133" s="26" t="s">
        <v>60</v>
      </c>
      <c r="CD133" s="26" t="s">
        <v>60</v>
      </c>
      <c r="CE133" s="26" t="s">
        <v>59</v>
      </c>
      <c r="CF133" s="26"/>
      <c r="CG133" s="26"/>
      <c r="CH133" s="26" t="s">
        <v>59</v>
      </c>
      <c r="CI133" s="26" t="s">
        <v>59</v>
      </c>
      <c r="CJ133" s="26" t="s">
        <v>59</v>
      </c>
      <c r="CK133" s="26" t="s">
        <v>59</v>
      </c>
      <c r="CL133" s="26" t="s">
        <v>59</v>
      </c>
      <c r="CM133" s="26" t="s">
        <v>59</v>
      </c>
      <c r="CN133" s="26" t="s">
        <v>59</v>
      </c>
      <c r="CO133" s="26" t="s">
        <v>59</v>
      </c>
      <c r="CP133" s="26" t="s">
        <v>60</v>
      </c>
      <c r="CQ133" s="26" t="s">
        <v>60</v>
      </c>
      <c r="CR133" s="26" t="s">
        <v>59</v>
      </c>
      <c r="CS133" s="26"/>
      <c r="CT133" s="26"/>
      <c r="CU133" s="26" t="s">
        <v>59</v>
      </c>
      <c r="CV133" s="26" t="s">
        <v>59</v>
      </c>
      <c r="CW133" s="26" t="s">
        <v>59</v>
      </c>
      <c r="CX133" s="26" t="s">
        <v>59</v>
      </c>
      <c r="CY133" s="26" t="s">
        <v>59</v>
      </c>
      <c r="CZ133" s="26" t="s">
        <v>59</v>
      </c>
      <c r="DA133" s="26" t="s">
        <v>59</v>
      </c>
      <c r="DB133" s="26" t="s">
        <v>59</v>
      </c>
      <c r="DC133" s="26">
        <v>3</v>
      </c>
      <c r="DD133" s="29" t="s">
        <v>159</v>
      </c>
      <c r="DE133" s="22"/>
      <c r="DF133" s="22"/>
      <c r="DG133" s="26"/>
      <c r="DH133" s="27"/>
      <c r="DI133" s="22"/>
      <c r="DJ133" s="26"/>
    </row>
    <row r="134" spans="1:114" s="43" customFormat="1">
      <c r="A134" s="34" t="s">
        <v>191</v>
      </c>
      <c r="B134" s="34">
        <v>5144</v>
      </c>
      <c r="C134" s="34">
        <v>2</v>
      </c>
      <c r="D134" s="43">
        <v>1</v>
      </c>
      <c r="E134" s="26" t="s">
        <v>139</v>
      </c>
      <c r="F134" s="26" t="s">
        <v>59</v>
      </c>
      <c r="G134" s="48">
        <f t="shared" si="2"/>
        <v>74</v>
      </c>
      <c r="H134" s="26" t="s">
        <v>59</v>
      </c>
      <c r="I134" s="26" t="s">
        <v>60</v>
      </c>
      <c r="J134" s="26" t="s">
        <v>59</v>
      </c>
      <c r="K134" s="26" t="s">
        <v>59</v>
      </c>
      <c r="L134" s="26" t="s">
        <v>59</v>
      </c>
      <c r="M134" s="26" t="s">
        <v>59</v>
      </c>
      <c r="N134" s="26" t="s">
        <v>59</v>
      </c>
      <c r="O134" s="26" t="s">
        <v>59</v>
      </c>
      <c r="P134" s="26" t="s">
        <v>59</v>
      </c>
      <c r="Q134" s="26" t="s">
        <v>60</v>
      </c>
      <c r="R134" s="26" t="s">
        <v>60</v>
      </c>
      <c r="S134" s="26" t="s">
        <v>60</v>
      </c>
      <c r="T134" s="26" t="s">
        <v>60</v>
      </c>
      <c r="U134" s="26">
        <v>41</v>
      </c>
      <c r="V134" s="26">
        <v>42</v>
      </c>
      <c r="W134" s="26" t="s">
        <v>60</v>
      </c>
      <c r="X134" s="26" t="s">
        <v>60</v>
      </c>
      <c r="Y134" s="26">
        <v>7.9</v>
      </c>
      <c r="Z134" s="26" t="s">
        <v>61</v>
      </c>
      <c r="AA134" s="26" t="s">
        <v>61</v>
      </c>
      <c r="AB134" s="26" t="s">
        <v>61</v>
      </c>
      <c r="AC134" s="27" t="s">
        <v>61</v>
      </c>
      <c r="AD134" s="26">
        <v>8.1999999999999993</v>
      </c>
      <c r="AE134" s="26" t="s">
        <v>61</v>
      </c>
      <c r="AF134" s="26" t="s">
        <v>61</v>
      </c>
      <c r="AG134" s="26" t="s">
        <v>61</v>
      </c>
      <c r="AH134" s="27" t="s">
        <v>61</v>
      </c>
      <c r="AI134" s="26" t="s">
        <v>60</v>
      </c>
      <c r="AJ134" s="26" t="s">
        <v>60</v>
      </c>
      <c r="AK134" s="26" t="s">
        <v>59</v>
      </c>
      <c r="AL134" s="26" t="s">
        <v>59</v>
      </c>
      <c r="AM134" s="26" t="s">
        <v>59</v>
      </c>
      <c r="AN134" s="26" t="s">
        <v>60</v>
      </c>
      <c r="AO134" s="26" t="s">
        <v>60</v>
      </c>
      <c r="AP134" s="26" t="s">
        <v>59</v>
      </c>
      <c r="AQ134" s="26" t="s">
        <v>59</v>
      </c>
      <c r="AR134" s="26" t="s">
        <v>59</v>
      </c>
      <c r="AS134" s="26">
        <v>0.12</v>
      </c>
      <c r="AT134" s="26" t="s">
        <v>64</v>
      </c>
      <c r="AU134" s="26" t="s">
        <v>59</v>
      </c>
      <c r="AV134" s="26" t="s">
        <v>59</v>
      </c>
      <c r="AW134" s="26" t="s">
        <v>59</v>
      </c>
      <c r="AX134" s="26" t="s">
        <v>59</v>
      </c>
      <c r="AY134" s="186">
        <v>35</v>
      </c>
      <c r="AZ134" s="186">
        <v>39</v>
      </c>
      <c r="BA134" s="186" t="s">
        <v>60</v>
      </c>
      <c r="BB134" s="186" t="s">
        <v>60</v>
      </c>
      <c r="BC134" s="26">
        <v>8.1</v>
      </c>
      <c r="BD134" s="26" t="s">
        <v>61</v>
      </c>
      <c r="BE134" s="26" t="s">
        <v>61</v>
      </c>
      <c r="BF134" s="26">
        <v>9</v>
      </c>
      <c r="BG134" s="48">
        <v>1</v>
      </c>
      <c r="BH134" s="27" t="s">
        <v>61</v>
      </c>
      <c r="BI134" s="27" t="s">
        <v>61</v>
      </c>
      <c r="BJ134" s="26">
        <v>0.2</v>
      </c>
      <c r="BK134" s="26" t="s">
        <v>61</v>
      </c>
      <c r="BL134" s="26" t="s">
        <v>61</v>
      </c>
      <c r="BM134" s="26" t="s">
        <v>61</v>
      </c>
      <c r="BN134" s="26" t="s">
        <v>61</v>
      </c>
      <c r="BO134" s="26" t="s">
        <v>61</v>
      </c>
      <c r="BP134" s="26">
        <v>7.3</v>
      </c>
      <c r="BQ134" s="26" t="s">
        <v>61</v>
      </c>
      <c r="BR134" s="26" t="s">
        <v>61</v>
      </c>
      <c r="BS134" s="26">
        <v>9</v>
      </c>
      <c r="BT134" s="26">
        <v>1</v>
      </c>
      <c r="BU134" s="27" t="s">
        <v>61</v>
      </c>
      <c r="BV134" s="27" t="s">
        <v>61</v>
      </c>
      <c r="BW134" s="26">
        <v>-0.9</v>
      </c>
      <c r="BX134" s="26" t="s">
        <v>61</v>
      </c>
      <c r="BY134" s="27" t="s">
        <v>61</v>
      </c>
      <c r="BZ134" s="26" t="s">
        <v>61</v>
      </c>
      <c r="CA134" s="27" t="s">
        <v>61</v>
      </c>
      <c r="CB134" s="26" t="s">
        <v>61</v>
      </c>
      <c r="CC134" s="26" t="s">
        <v>60</v>
      </c>
      <c r="CD134" s="26" t="s">
        <v>60</v>
      </c>
      <c r="CE134" s="26" t="s">
        <v>59</v>
      </c>
      <c r="CF134" s="26"/>
      <c r="CG134" s="26"/>
      <c r="CH134" s="26" t="s">
        <v>59</v>
      </c>
      <c r="CI134" s="26" t="s">
        <v>59</v>
      </c>
      <c r="CJ134" s="26" t="s">
        <v>59</v>
      </c>
      <c r="CK134" s="26" t="s">
        <v>59</v>
      </c>
      <c r="CL134" s="26" t="s">
        <v>59</v>
      </c>
      <c r="CM134" s="26" t="s">
        <v>59</v>
      </c>
      <c r="CN134" s="26" t="s">
        <v>59</v>
      </c>
      <c r="CO134" s="26" t="s">
        <v>59</v>
      </c>
      <c r="CP134" s="26" t="s">
        <v>60</v>
      </c>
      <c r="CQ134" s="26" t="s">
        <v>60</v>
      </c>
      <c r="CR134" s="26" t="s">
        <v>59</v>
      </c>
      <c r="CS134" s="26"/>
      <c r="CT134" s="26"/>
      <c r="CU134" s="26" t="s">
        <v>59</v>
      </c>
      <c r="CV134" s="26" t="s">
        <v>59</v>
      </c>
      <c r="CW134" s="26" t="s">
        <v>59</v>
      </c>
      <c r="CX134" s="26" t="s">
        <v>59</v>
      </c>
      <c r="CY134" s="26" t="s">
        <v>59</v>
      </c>
      <c r="CZ134" s="26" t="s">
        <v>59</v>
      </c>
      <c r="DA134" s="26" t="s">
        <v>59</v>
      </c>
      <c r="DB134" s="26" t="s">
        <v>59</v>
      </c>
      <c r="DC134" s="26">
        <v>15</v>
      </c>
      <c r="DD134" s="29" t="s">
        <v>192</v>
      </c>
      <c r="DE134" s="22"/>
      <c r="DF134" s="22"/>
      <c r="DG134" s="26"/>
      <c r="DH134" s="27"/>
      <c r="DI134" s="22"/>
      <c r="DJ134" s="26"/>
    </row>
    <row r="135" spans="1:114" s="43" customFormat="1">
      <c r="A135" s="34" t="s">
        <v>187</v>
      </c>
      <c r="B135" s="34">
        <v>5058</v>
      </c>
      <c r="C135" s="34">
        <v>2</v>
      </c>
      <c r="D135" s="43">
        <v>1</v>
      </c>
      <c r="E135" s="26" t="s">
        <v>139</v>
      </c>
      <c r="F135" s="26" t="s">
        <v>59</v>
      </c>
      <c r="G135" s="48">
        <f t="shared" si="2"/>
        <v>66</v>
      </c>
      <c r="H135" s="26" t="s">
        <v>59</v>
      </c>
      <c r="I135" s="26" t="s">
        <v>60</v>
      </c>
      <c r="J135" s="26" t="s">
        <v>59</v>
      </c>
      <c r="K135" s="26" t="s">
        <v>59</v>
      </c>
      <c r="L135" s="26" t="s">
        <v>59</v>
      </c>
      <c r="M135" s="26" t="s">
        <v>59</v>
      </c>
      <c r="N135" s="26" t="s">
        <v>59</v>
      </c>
      <c r="O135" s="26" t="s">
        <v>59</v>
      </c>
      <c r="P135" s="26" t="s">
        <v>59</v>
      </c>
      <c r="Q135" s="26" t="s">
        <v>60</v>
      </c>
      <c r="R135" s="26" t="s">
        <v>60</v>
      </c>
      <c r="S135" s="26" t="s">
        <v>60</v>
      </c>
      <c r="T135" s="26" t="s">
        <v>60</v>
      </c>
      <c r="U135" s="26">
        <v>42</v>
      </c>
      <c r="V135" s="26">
        <v>36</v>
      </c>
      <c r="W135" s="26" t="s">
        <v>60</v>
      </c>
      <c r="X135" s="26" t="s">
        <v>60</v>
      </c>
      <c r="Y135" s="26">
        <v>7.91</v>
      </c>
      <c r="Z135" s="26">
        <v>1.91</v>
      </c>
      <c r="AA135" s="26" t="s">
        <v>61</v>
      </c>
      <c r="AB135" s="26" t="s">
        <v>61</v>
      </c>
      <c r="AC135" s="27" t="s">
        <v>61</v>
      </c>
      <c r="AD135" s="26">
        <v>7.99</v>
      </c>
      <c r="AE135" s="26">
        <v>1.45</v>
      </c>
      <c r="AF135" s="26" t="s">
        <v>61</v>
      </c>
      <c r="AG135" s="26" t="s">
        <v>61</v>
      </c>
      <c r="AH135" s="27" t="s">
        <v>61</v>
      </c>
      <c r="AI135" s="26" t="s">
        <v>59</v>
      </c>
      <c r="AJ135" s="26" t="s">
        <v>60</v>
      </c>
      <c r="AK135" s="26" t="s">
        <v>59</v>
      </c>
      <c r="AL135" s="26" t="s">
        <v>59</v>
      </c>
      <c r="AM135" s="26" t="s">
        <v>59</v>
      </c>
      <c r="AN135" s="26" t="s">
        <v>60</v>
      </c>
      <c r="AO135" s="26" t="s">
        <v>60</v>
      </c>
      <c r="AP135" s="26" t="s">
        <v>59</v>
      </c>
      <c r="AQ135" s="26" t="s">
        <v>59</v>
      </c>
      <c r="AR135" s="26" t="s">
        <v>59</v>
      </c>
      <c r="AS135" s="26">
        <v>0.84899999999999998</v>
      </c>
      <c r="AT135" s="26" t="s">
        <v>64</v>
      </c>
      <c r="AU135" s="26" t="s">
        <v>59</v>
      </c>
      <c r="AV135" s="26" t="s">
        <v>59</v>
      </c>
      <c r="AW135" s="26" t="s">
        <v>59</v>
      </c>
      <c r="AX135" s="26" t="s">
        <v>59</v>
      </c>
      <c r="AY135" s="186">
        <v>35</v>
      </c>
      <c r="AZ135" s="186">
        <v>31</v>
      </c>
      <c r="BA135" s="186" t="s">
        <v>60</v>
      </c>
      <c r="BB135" s="186" t="s">
        <v>60</v>
      </c>
      <c r="BC135" s="26">
        <v>8.0299999999999994</v>
      </c>
      <c r="BD135" s="26" t="s">
        <v>61</v>
      </c>
      <c r="BE135" s="26" t="s">
        <v>61</v>
      </c>
      <c r="BF135" s="26">
        <v>9</v>
      </c>
      <c r="BG135" s="48">
        <v>1</v>
      </c>
      <c r="BH135" s="27" t="s">
        <v>61</v>
      </c>
      <c r="BI135" s="27" t="s">
        <v>61</v>
      </c>
      <c r="BJ135" s="26">
        <v>0.12</v>
      </c>
      <c r="BK135" s="26">
        <v>1.73</v>
      </c>
      <c r="BL135" s="26" t="s">
        <v>61</v>
      </c>
      <c r="BM135" s="26">
        <v>-6.1</v>
      </c>
      <c r="BN135" s="26">
        <v>4.3</v>
      </c>
      <c r="BO135" s="26" t="s">
        <v>61</v>
      </c>
      <c r="BP135" s="26">
        <v>7.72</v>
      </c>
      <c r="BQ135" s="26" t="s">
        <v>61</v>
      </c>
      <c r="BR135" s="26" t="s">
        <v>61</v>
      </c>
      <c r="BS135" s="26">
        <v>9</v>
      </c>
      <c r="BT135" s="26">
        <v>1</v>
      </c>
      <c r="BU135" s="27" t="s">
        <v>61</v>
      </c>
      <c r="BV135" s="27" t="s">
        <v>61</v>
      </c>
      <c r="BW135" s="26">
        <v>-0.27</v>
      </c>
      <c r="BX135" s="26">
        <v>1.1100000000000001</v>
      </c>
      <c r="BY135" s="27" t="s">
        <v>61</v>
      </c>
      <c r="BZ135" s="26">
        <v>-2.8</v>
      </c>
      <c r="CA135" s="27">
        <v>2.2999999999999998</v>
      </c>
      <c r="CB135" s="26" t="s">
        <v>61</v>
      </c>
      <c r="CC135" s="26" t="s">
        <v>60</v>
      </c>
      <c r="CD135" s="26" t="s">
        <v>60</v>
      </c>
      <c r="CE135" s="26" t="s">
        <v>59</v>
      </c>
      <c r="CF135" s="26"/>
      <c r="CG135" s="26"/>
      <c r="CH135" s="26" t="s">
        <v>59</v>
      </c>
      <c r="CI135" s="26" t="s">
        <v>59</v>
      </c>
      <c r="CJ135" s="26" t="s">
        <v>59</v>
      </c>
      <c r="CK135" s="26" t="s">
        <v>59</v>
      </c>
      <c r="CL135" s="26" t="s">
        <v>59</v>
      </c>
      <c r="CM135" s="26" t="s">
        <v>59</v>
      </c>
      <c r="CN135" s="26" t="s">
        <v>59</v>
      </c>
      <c r="CO135" s="26" t="s">
        <v>59</v>
      </c>
      <c r="CP135" s="26" t="s">
        <v>60</v>
      </c>
      <c r="CQ135" s="26" t="s">
        <v>60</v>
      </c>
      <c r="CR135" s="26" t="s">
        <v>59</v>
      </c>
      <c r="CS135" s="26"/>
      <c r="CT135" s="26"/>
      <c r="CU135" s="26" t="s">
        <v>59</v>
      </c>
      <c r="CV135" s="26" t="s">
        <v>59</v>
      </c>
      <c r="CW135" s="26" t="s">
        <v>59</v>
      </c>
      <c r="CX135" s="26" t="s">
        <v>59</v>
      </c>
      <c r="CY135" s="26" t="s">
        <v>59</v>
      </c>
      <c r="CZ135" s="26" t="s">
        <v>59</v>
      </c>
      <c r="DA135" s="26" t="s">
        <v>59</v>
      </c>
      <c r="DB135" s="26" t="s">
        <v>59</v>
      </c>
      <c r="DC135" s="26">
        <v>12</v>
      </c>
      <c r="DD135" s="29"/>
      <c r="DE135" s="22"/>
      <c r="DF135" s="22"/>
      <c r="DG135" s="26"/>
      <c r="DH135" s="27"/>
      <c r="DI135" s="22"/>
      <c r="DJ135" s="26"/>
    </row>
    <row r="136" spans="1:114" s="43" customFormat="1" ht="14">
      <c r="A136" s="49" t="s">
        <v>348</v>
      </c>
      <c r="B136" s="43">
        <v>10156</v>
      </c>
      <c r="C136" s="34">
        <v>2</v>
      </c>
      <c r="D136" s="43">
        <v>1</v>
      </c>
      <c r="E136" s="48" t="s">
        <v>139</v>
      </c>
      <c r="F136" s="26" t="s">
        <v>59</v>
      </c>
      <c r="G136" s="48">
        <f t="shared" si="2"/>
        <v>178</v>
      </c>
      <c r="H136" s="26" t="s">
        <v>59</v>
      </c>
      <c r="I136" s="26" t="s">
        <v>59</v>
      </c>
      <c r="J136" s="48" t="s">
        <v>59</v>
      </c>
      <c r="K136" s="26" t="s">
        <v>59</v>
      </c>
      <c r="L136" s="26" t="s">
        <v>59</v>
      </c>
      <c r="M136" s="26" t="s">
        <v>59</v>
      </c>
      <c r="N136" s="26" t="s">
        <v>59</v>
      </c>
      <c r="O136" s="26" t="s">
        <v>59</v>
      </c>
      <c r="P136" s="26" t="s">
        <v>59</v>
      </c>
      <c r="Q136" s="48" t="s">
        <v>59</v>
      </c>
      <c r="R136" s="48" t="s">
        <v>59</v>
      </c>
      <c r="S136" s="48" t="s">
        <v>59</v>
      </c>
      <c r="T136" s="48" t="s">
        <v>59</v>
      </c>
      <c r="U136" s="48">
        <v>95</v>
      </c>
      <c r="V136" s="48">
        <v>94</v>
      </c>
      <c r="W136" s="48" t="s">
        <v>59</v>
      </c>
      <c r="X136" s="48" t="s">
        <v>59</v>
      </c>
      <c r="Y136" s="69">
        <v>8</v>
      </c>
      <c r="Z136" s="69">
        <v>1.6</v>
      </c>
      <c r="AA136" s="69" t="s">
        <v>61</v>
      </c>
      <c r="AB136" s="69" t="s">
        <v>61</v>
      </c>
      <c r="AC136" s="69" t="s">
        <v>61</v>
      </c>
      <c r="AD136" s="69">
        <v>7.9</v>
      </c>
      <c r="AE136" s="69">
        <v>1.4</v>
      </c>
      <c r="AF136" s="69" t="s">
        <v>61</v>
      </c>
      <c r="AG136" s="69" t="s">
        <v>61</v>
      </c>
      <c r="AH136" s="69" t="s">
        <v>61</v>
      </c>
      <c r="AI136" s="69" t="s">
        <v>59</v>
      </c>
      <c r="AJ136" s="69" t="s">
        <v>59</v>
      </c>
      <c r="AK136" s="69" t="s">
        <v>59</v>
      </c>
      <c r="AL136" s="69" t="s">
        <v>59</v>
      </c>
      <c r="AM136" s="69" t="s">
        <v>59</v>
      </c>
      <c r="AN136" s="69" t="s">
        <v>59</v>
      </c>
      <c r="AO136" s="69" t="s">
        <v>59</v>
      </c>
      <c r="AP136" s="69" t="s">
        <v>59</v>
      </c>
      <c r="AQ136" s="69" t="s">
        <v>59</v>
      </c>
      <c r="AR136" s="69" t="s">
        <v>59</v>
      </c>
      <c r="AS136" s="69" t="s">
        <v>61</v>
      </c>
      <c r="AT136" s="69" t="s">
        <v>64</v>
      </c>
      <c r="AU136" s="69" t="s">
        <v>59</v>
      </c>
      <c r="AV136" s="69" t="s">
        <v>59</v>
      </c>
      <c r="AW136" s="69" t="s">
        <v>59</v>
      </c>
      <c r="AX136" s="69" t="s">
        <v>59</v>
      </c>
      <c r="AY136" s="215">
        <v>89</v>
      </c>
      <c r="AZ136" s="215">
        <v>89</v>
      </c>
      <c r="BA136" s="215" t="s">
        <v>59</v>
      </c>
      <c r="BB136" s="215" t="s">
        <v>59</v>
      </c>
      <c r="BC136" s="69">
        <v>7.88</v>
      </c>
      <c r="BD136" s="69" t="s">
        <v>61</v>
      </c>
      <c r="BE136" s="69" t="s">
        <v>61</v>
      </c>
      <c r="BF136" s="26">
        <v>9</v>
      </c>
      <c r="BG136" s="48">
        <v>1</v>
      </c>
      <c r="BH136" s="69" t="s">
        <v>61</v>
      </c>
      <c r="BI136" s="69" t="s">
        <v>61</v>
      </c>
      <c r="BJ136" s="69">
        <v>-0.12</v>
      </c>
      <c r="BK136" s="69" t="s">
        <v>61</v>
      </c>
      <c r="BL136" s="69" t="s">
        <v>61</v>
      </c>
      <c r="BM136" s="69">
        <v>-0.43</v>
      </c>
      <c r="BN136" s="69">
        <v>0.18</v>
      </c>
      <c r="BO136" s="69" t="s">
        <v>61</v>
      </c>
      <c r="BP136" s="69">
        <v>7.15</v>
      </c>
      <c r="BQ136" s="69" t="s">
        <v>61</v>
      </c>
      <c r="BR136" s="69" t="s">
        <v>61</v>
      </c>
      <c r="BS136" s="26">
        <v>9</v>
      </c>
      <c r="BT136" s="26">
        <v>1</v>
      </c>
      <c r="BU136" s="69" t="s">
        <v>61</v>
      </c>
      <c r="BV136" s="69" t="s">
        <v>61</v>
      </c>
      <c r="BW136" s="69">
        <v>-0.75</v>
      </c>
      <c r="BX136" s="69" t="s">
        <v>61</v>
      </c>
      <c r="BY136" s="69" t="s">
        <v>61</v>
      </c>
      <c r="BZ136" s="69">
        <v>-1.04</v>
      </c>
      <c r="CA136" s="69">
        <v>-0.47</v>
      </c>
      <c r="CB136" s="69" t="s">
        <v>61</v>
      </c>
      <c r="CC136" s="69" t="s">
        <v>59</v>
      </c>
      <c r="CD136" s="69" t="s">
        <v>59</v>
      </c>
      <c r="CE136" s="69" t="s">
        <v>59</v>
      </c>
      <c r="CF136" s="69"/>
      <c r="CG136" s="69"/>
      <c r="CH136" s="69" t="s">
        <v>59</v>
      </c>
      <c r="CI136" s="69" t="s">
        <v>59</v>
      </c>
      <c r="CJ136" s="69" t="s">
        <v>59</v>
      </c>
      <c r="CK136" s="69" t="s">
        <v>59</v>
      </c>
      <c r="CL136" s="69" t="s">
        <v>59</v>
      </c>
      <c r="CM136" s="69" t="s">
        <v>59</v>
      </c>
      <c r="CN136" s="69" t="s">
        <v>59</v>
      </c>
      <c r="CO136" s="69" t="s">
        <v>59</v>
      </c>
      <c r="CP136" s="69" t="s">
        <v>59</v>
      </c>
      <c r="CQ136" s="69" t="s">
        <v>59</v>
      </c>
      <c r="CR136" s="69" t="s">
        <v>59</v>
      </c>
      <c r="CS136" s="69"/>
      <c r="CT136" s="69"/>
      <c r="CU136" s="69" t="s">
        <v>59</v>
      </c>
      <c r="CV136" s="69" t="s">
        <v>59</v>
      </c>
      <c r="CW136" s="69" t="s">
        <v>59</v>
      </c>
      <c r="CX136" s="69" t="s">
        <v>59</v>
      </c>
      <c r="CY136" s="69" t="s">
        <v>59</v>
      </c>
      <c r="CZ136" s="69" t="s">
        <v>59</v>
      </c>
      <c r="DA136" s="69" t="s">
        <v>59</v>
      </c>
      <c r="DB136" s="69" t="s">
        <v>59</v>
      </c>
      <c r="DC136" s="69">
        <v>18</v>
      </c>
      <c r="DD136" s="55"/>
    </row>
    <row r="137" spans="1:114" s="43" customFormat="1">
      <c r="A137" s="34" t="s">
        <v>253</v>
      </c>
      <c r="B137" s="34">
        <v>8144</v>
      </c>
      <c r="C137" s="34">
        <v>2</v>
      </c>
      <c r="D137" s="43">
        <v>1</v>
      </c>
      <c r="E137" s="26" t="s">
        <v>139</v>
      </c>
      <c r="F137" s="26" t="s">
        <v>59</v>
      </c>
      <c r="G137" s="48">
        <f t="shared" si="2"/>
        <v>488</v>
      </c>
      <c r="H137" s="26" t="s">
        <v>59</v>
      </c>
      <c r="I137" s="26" t="s">
        <v>59</v>
      </c>
      <c r="J137" s="26" t="s">
        <v>59</v>
      </c>
      <c r="K137" s="26" t="s">
        <v>59</v>
      </c>
      <c r="L137" s="26" t="s">
        <v>59</v>
      </c>
      <c r="M137" s="26" t="s">
        <v>59</v>
      </c>
      <c r="N137" s="26" t="s">
        <v>59</v>
      </c>
      <c r="O137" s="26" t="s">
        <v>59</v>
      </c>
      <c r="P137" s="26" t="s">
        <v>59</v>
      </c>
      <c r="Q137" s="26" t="s">
        <v>59</v>
      </c>
      <c r="R137" s="26" t="s">
        <v>59</v>
      </c>
      <c r="S137" s="26" t="s">
        <v>60</v>
      </c>
      <c r="T137" s="26" t="s">
        <v>60</v>
      </c>
      <c r="U137" s="26">
        <v>253</v>
      </c>
      <c r="V137" s="26">
        <v>235</v>
      </c>
      <c r="W137" s="26" t="s">
        <v>60</v>
      </c>
      <c r="X137" s="26" t="s">
        <v>60</v>
      </c>
      <c r="Y137" s="26">
        <v>8</v>
      </c>
      <c r="Z137" s="26">
        <v>2.2000000000000002</v>
      </c>
      <c r="AA137" s="26" t="s">
        <v>61</v>
      </c>
      <c r="AB137" s="26" t="s">
        <v>61</v>
      </c>
      <c r="AC137" s="27" t="s">
        <v>61</v>
      </c>
      <c r="AD137" s="26">
        <v>7.7</v>
      </c>
      <c r="AE137" s="26">
        <v>2.1</v>
      </c>
      <c r="AF137" s="26" t="s">
        <v>61</v>
      </c>
      <c r="AG137" s="26" t="s">
        <v>61</v>
      </c>
      <c r="AH137" s="27" t="s">
        <v>61</v>
      </c>
      <c r="AI137" s="26" t="s">
        <v>60</v>
      </c>
      <c r="AJ137" s="26" t="s">
        <v>60</v>
      </c>
      <c r="AK137" s="26" t="s">
        <v>59</v>
      </c>
      <c r="AL137" s="26" t="s">
        <v>59</v>
      </c>
      <c r="AM137" s="26" t="s">
        <v>59</v>
      </c>
      <c r="AN137" s="26" t="s">
        <v>60</v>
      </c>
      <c r="AO137" s="26" t="s">
        <v>60</v>
      </c>
      <c r="AP137" s="26" t="s">
        <v>59</v>
      </c>
      <c r="AQ137" s="26" t="s">
        <v>59</v>
      </c>
      <c r="AR137" s="26" t="s">
        <v>59</v>
      </c>
      <c r="AS137" s="26" t="s">
        <v>61</v>
      </c>
      <c r="AT137" s="26" t="s">
        <v>64</v>
      </c>
      <c r="AU137" s="26" t="s">
        <v>59</v>
      </c>
      <c r="AV137" s="26" t="s">
        <v>59</v>
      </c>
      <c r="AW137" s="26" t="s">
        <v>59</v>
      </c>
      <c r="AX137" s="26" t="s">
        <v>59</v>
      </c>
      <c r="AY137" s="186">
        <v>253</v>
      </c>
      <c r="AZ137" s="186">
        <v>235</v>
      </c>
      <c r="BA137" s="186" t="s">
        <v>60</v>
      </c>
      <c r="BB137" s="186" t="s">
        <v>60</v>
      </c>
      <c r="BC137" s="26">
        <v>7.92</v>
      </c>
      <c r="BD137" s="26" t="s">
        <v>61</v>
      </c>
      <c r="BE137" s="26" t="s">
        <v>61</v>
      </c>
      <c r="BF137" s="26">
        <v>9</v>
      </c>
      <c r="BG137" s="48">
        <v>1</v>
      </c>
      <c r="BH137" s="27" t="s">
        <v>61</v>
      </c>
      <c r="BI137" s="27" t="s">
        <v>61</v>
      </c>
      <c r="BJ137" s="26">
        <v>-0.08</v>
      </c>
      <c r="BK137" s="26">
        <v>1.93</v>
      </c>
      <c r="BL137" s="26" t="s">
        <v>61</v>
      </c>
      <c r="BM137" s="26" t="s">
        <v>61</v>
      </c>
      <c r="BN137" s="26" t="s">
        <v>61</v>
      </c>
      <c r="BO137" s="26" t="s">
        <v>61</v>
      </c>
      <c r="BP137" s="26">
        <v>7.5</v>
      </c>
      <c r="BQ137" s="26" t="s">
        <v>61</v>
      </c>
      <c r="BR137" s="26" t="s">
        <v>61</v>
      </c>
      <c r="BS137" s="26">
        <v>9</v>
      </c>
      <c r="BT137" s="26">
        <v>1</v>
      </c>
      <c r="BU137" s="27" t="s">
        <v>61</v>
      </c>
      <c r="BV137" s="27" t="s">
        <v>61</v>
      </c>
      <c r="BW137" s="26">
        <v>-0.2</v>
      </c>
      <c r="BX137" s="26">
        <v>1.7</v>
      </c>
      <c r="BY137" s="27" t="s">
        <v>61</v>
      </c>
      <c r="BZ137" s="26" t="s">
        <v>61</v>
      </c>
      <c r="CA137" s="27" t="s">
        <v>61</v>
      </c>
      <c r="CB137" s="26" t="s">
        <v>61</v>
      </c>
      <c r="CC137" s="26" t="s">
        <v>60</v>
      </c>
      <c r="CD137" s="26" t="s">
        <v>60</v>
      </c>
      <c r="CE137" s="26" t="s">
        <v>59</v>
      </c>
      <c r="CF137" s="26"/>
      <c r="CG137" s="26"/>
      <c r="CH137" s="26" t="s">
        <v>59</v>
      </c>
      <c r="CI137" s="26" t="s">
        <v>59</v>
      </c>
      <c r="CJ137" s="26" t="s">
        <v>59</v>
      </c>
      <c r="CK137" s="26" t="s">
        <v>59</v>
      </c>
      <c r="CL137" s="26" t="s">
        <v>59</v>
      </c>
      <c r="CM137" s="26" t="s">
        <v>59</v>
      </c>
      <c r="CN137" s="26" t="s">
        <v>59</v>
      </c>
      <c r="CO137" s="26" t="s">
        <v>59</v>
      </c>
      <c r="CP137" s="26" t="s">
        <v>60</v>
      </c>
      <c r="CQ137" s="26" t="s">
        <v>60</v>
      </c>
      <c r="CR137" s="26" t="s">
        <v>59</v>
      </c>
      <c r="CS137" s="26"/>
      <c r="CT137" s="26"/>
      <c r="CU137" s="26" t="s">
        <v>59</v>
      </c>
      <c r="CV137" s="26" t="s">
        <v>59</v>
      </c>
      <c r="CW137" s="26" t="s">
        <v>59</v>
      </c>
      <c r="CX137" s="26" t="s">
        <v>59</v>
      </c>
      <c r="CY137" s="26" t="s">
        <v>59</v>
      </c>
      <c r="CZ137" s="26" t="s">
        <v>59</v>
      </c>
      <c r="DA137" s="26" t="s">
        <v>59</v>
      </c>
      <c r="DB137" s="26" t="s">
        <v>59</v>
      </c>
      <c r="DC137" s="26">
        <v>24</v>
      </c>
      <c r="DD137" s="29"/>
      <c r="DE137" s="22"/>
      <c r="DF137" s="22"/>
      <c r="DG137" s="26"/>
      <c r="DH137" s="27"/>
      <c r="DI137" s="22"/>
      <c r="DJ137" s="26"/>
    </row>
    <row r="138" spans="1:114" s="43" customFormat="1" ht="14">
      <c r="A138" s="49" t="s">
        <v>416</v>
      </c>
      <c r="B138" s="43">
        <v>12383</v>
      </c>
      <c r="C138" s="34">
        <v>2</v>
      </c>
      <c r="D138" s="43">
        <v>1</v>
      </c>
      <c r="E138" s="48" t="s">
        <v>139</v>
      </c>
      <c r="F138" s="26" t="s">
        <v>59</v>
      </c>
      <c r="G138" s="48">
        <f t="shared" si="2"/>
        <v>352</v>
      </c>
      <c r="H138" s="26" t="s">
        <v>59</v>
      </c>
      <c r="I138" s="26" t="s">
        <v>59</v>
      </c>
      <c r="J138" s="48" t="s">
        <v>59</v>
      </c>
      <c r="K138" s="26" t="s">
        <v>59</v>
      </c>
      <c r="L138" s="26" t="s">
        <v>59</v>
      </c>
      <c r="M138" s="26" t="s">
        <v>59</v>
      </c>
      <c r="N138" s="26" t="s">
        <v>59</v>
      </c>
      <c r="O138" s="26" t="s">
        <v>59</v>
      </c>
      <c r="P138" s="26" t="s">
        <v>59</v>
      </c>
      <c r="Q138" s="48" t="s">
        <v>59</v>
      </c>
      <c r="R138" s="48" t="s">
        <v>59</v>
      </c>
      <c r="S138" s="48" t="s">
        <v>59</v>
      </c>
      <c r="T138" s="48" t="s">
        <v>59</v>
      </c>
      <c r="U138" s="48">
        <v>177</v>
      </c>
      <c r="V138" s="48">
        <v>180</v>
      </c>
      <c r="W138" s="48" t="s">
        <v>59</v>
      </c>
      <c r="X138" s="48" t="s">
        <v>59</v>
      </c>
      <c r="Y138" s="69">
        <v>8</v>
      </c>
      <c r="Z138" s="69" t="s">
        <v>61</v>
      </c>
      <c r="AA138" s="69">
        <v>0.1</v>
      </c>
      <c r="AB138" s="69" t="s">
        <v>61</v>
      </c>
      <c r="AC138" s="69" t="s">
        <v>61</v>
      </c>
      <c r="AD138" s="69">
        <v>8</v>
      </c>
      <c r="AE138" s="48" t="s">
        <v>61</v>
      </c>
      <c r="AF138" s="69">
        <v>0.1</v>
      </c>
      <c r="AG138" s="69" t="s">
        <v>61</v>
      </c>
      <c r="AH138" s="69" t="s">
        <v>61</v>
      </c>
      <c r="AI138" s="69" t="s">
        <v>59</v>
      </c>
      <c r="AJ138" s="69" t="s">
        <v>59</v>
      </c>
      <c r="AK138" s="69" t="s">
        <v>59</v>
      </c>
      <c r="AL138" s="69" t="s">
        <v>59</v>
      </c>
      <c r="AM138" s="69" t="s">
        <v>59</v>
      </c>
      <c r="AN138" s="69" t="s">
        <v>59</v>
      </c>
      <c r="AO138" s="69" t="s">
        <v>59</v>
      </c>
      <c r="AP138" s="69" t="s">
        <v>59</v>
      </c>
      <c r="AQ138" s="69" t="s">
        <v>59</v>
      </c>
      <c r="AR138" s="69" t="s">
        <v>59</v>
      </c>
      <c r="AS138" s="69" t="s">
        <v>61</v>
      </c>
      <c r="AT138" s="69" t="s">
        <v>64</v>
      </c>
      <c r="AU138" s="69" t="s">
        <v>59</v>
      </c>
      <c r="AV138" s="69" t="s">
        <v>59</v>
      </c>
      <c r="AW138" s="69" t="s">
        <v>59</v>
      </c>
      <c r="AX138" s="69" t="s">
        <v>59</v>
      </c>
      <c r="AY138" s="215">
        <v>172</v>
      </c>
      <c r="AZ138" s="215">
        <v>180</v>
      </c>
      <c r="BA138" s="215" t="s">
        <v>59</v>
      </c>
      <c r="BB138" s="215" t="s">
        <v>59</v>
      </c>
      <c r="BC138" s="69">
        <v>7.9</v>
      </c>
      <c r="BD138" s="48" t="s">
        <v>61</v>
      </c>
      <c r="BE138" s="69">
        <v>0.1</v>
      </c>
      <c r="BF138" s="48">
        <v>1</v>
      </c>
      <c r="BG138" s="48">
        <v>1</v>
      </c>
      <c r="BH138" s="69" t="s">
        <v>61</v>
      </c>
      <c r="BI138" s="69" t="s">
        <v>61</v>
      </c>
      <c r="BJ138" s="69" t="s">
        <v>61</v>
      </c>
      <c r="BK138" s="69" t="s">
        <v>61</v>
      </c>
      <c r="BL138" s="69" t="s">
        <v>61</v>
      </c>
      <c r="BM138" s="69" t="s">
        <v>61</v>
      </c>
      <c r="BN138" s="69" t="s">
        <v>61</v>
      </c>
      <c r="BO138" s="69" t="s">
        <v>61</v>
      </c>
      <c r="BP138" s="69">
        <v>7.8</v>
      </c>
      <c r="BQ138" s="26" t="s">
        <v>61</v>
      </c>
      <c r="BR138" s="69">
        <v>0.1</v>
      </c>
      <c r="BS138" s="69">
        <v>1</v>
      </c>
      <c r="BT138" s="26">
        <v>1</v>
      </c>
      <c r="BU138" s="69" t="s">
        <v>61</v>
      </c>
      <c r="BV138" s="69" t="s">
        <v>61</v>
      </c>
      <c r="BW138" s="69" t="s">
        <v>61</v>
      </c>
      <c r="BX138" s="69" t="s">
        <v>61</v>
      </c>
      <c r="BY138" s="69" t="s">
        <v>61</v>
      </c>
      <c r="BZ138" s="69" t="s">
        <v>61</v>
      </c>
      <c r="CA138" s="69" t="s">
        <v>61</v>
      </c>
      <c r="CB138" s="69" t="s">
        <v>61</v>
      </c>
      <c r="CC138" s="69" t="s">
        <v>59</v>
      </c>
      <c r="CD138" s="69" t="s">
        <v>59</v>
      </c>
      <c r="CE138" s="69" t="s">
        <v>59</v>
      </c>
      <c r="CF138" s="69"/>
      <c r="CG138" s="69"/>
      <c r="CH138" s="69" t="s">
        <v>59</v>
      </c>
      <c r="CI138" s="69" t="s">
        <v>59</v>
      </c>
      <c r="CJ138" s="69" t="s">
        <v>59</v>
      </c>
      <c r="CK138" s="69" t="s">
        <v>59</v>
      </c>
      <c r="CL138" s="69" t="s">
        <v>59</v>
      </c>
      <c r="CM138" s="69" t="s">
        <v>59</v>
      </c>
      <c r="CN138" s="69" t="s">
        <v>59</v>
      </c>
      <c r="CO138" s="69" t="s">
        <v>59</v>
      </c>
      <c r="CP138" s="69" t="s">
        <v>59</v>
      </c>
      <c r="CQ138" s="69" t="s">
        <v>59</v>
      </c>
      <c r="CR138" s="69" t="s">
        <v>59</v>
      </c>
      <c r="CS138" s="69"/>
      <c r="CT138" s="69"/>
      <c r="CU138" s="69" t="s">
        <v>59</v>
      </c>
      <c r="CV138" s="69" t="s">
        <v>59</v>
      </c>
      <c r="CW138" s="69" t="s">
        <v>59</v>
      </c>
      <c r="CX138" s="69" t="s">
        <v>59</v>
      </c>
      <c r="CY138" s="69" t="s">
        <v>59</v>
      </c>
      <c r="CZ138" s="69" t="s">
        <v>59</v>
      </c>
      <c r="DA138" s="69" t="s">
        <v>59</v>
      </c>
      <c r="DB138" s="69" t="s">
        <v>59</v>
      </c>
      <c r="DC138" s="69">
        <v>12</v>
      </c>
      <c r="DD138" s="55" t="s">
        <v>417</v>
      </c>
    </row>
    <row r="139" spans="1:114" s="43" customFormat="1" ht="14">
      <c r="A139" s="49" t="s">
        <v>351</v>
      </c>
      <c r="B139" s="43">
        <v>10184</v>
      </c>
      <c r="C139" s="34">
        <v>2</v>
      </c>
      <c r="D139" s="43">
        <v>1</v>
      </c>
      <c r="E139" s="48" t="s">
        <v>139</v>
      </c>
      <c r="F139" s="26" t="s">
        <v>59</v>
      </c>
      <c r="G139" s="48">
        <f t="shared" si="2"/>
        <v>99</v>
      </c>
      <c r="H139" s="26" t="s">
        <v>59</v>
      </c>
      <c r="I139" s="26" t="s">
        <v>59</v>
      </c>
      <c r="J139" s="48" t="s">
        <v>59</v>
      </c>
      <c r="K139" s="26" t="s">
        <v>59</v>
      </c>
      <c r="L139" s="26" t="s">
        <v>59</v>
      </c>
      <c r="M139" s="26" t="s">
        <v>59</v>
      </c>
      <c r="N139" s="26" t="s">
        <v>59</v>
      </c>
      <c r="O139" s="26" t="s">
        <v>59</v>
      </c>
      <c r="P139" s="26" t="s">
        <v>59</v>
      </c>
      <c r="Q139" s="48" t="s">
        <v>59</v>
      </c>
      <c r="R139" s="48" t="s">
        <v>59</v>
      </c>
      <c r="S139" s="48" t="s">
        <v>59</v>
      </c>
      <c r="T139" s="48" t="s">
        <v>59</v>
      </c>
      <c r="U139" s="48">
        <v>49</v>
      </c>
      <c r="V139" s="48">
        <v>50</v>
      </c>
      <c r="W139" s="48" t="s">
        <v>59</v>
      </c>
      <c r="X139" s="48" t="s">
        <v>59</v>
      </c>
      <c r="Y139" s="69">
        <v>8.1</v>
      </c>
      <c r="Z139" s="69">
        <v>1.4</v>
      </c>
      <c r="AA139" s="69" t="s">
        <v>61</v>
      </c>
      <c r="AB139" s="69" t="s">
        <v>61</v>
      </c>
      <c r="AC139" s="69" t="s">
        <v>61</v>
      </c>
      <c r="AD139" s="69">
        <v>7.8</v>
      </c>
      <c r="AE139" s="69">
        <v>1</v>
      </c>
      <c r="AF139" s="69" t="s">
        <v>61</v>
      </c>
      <c r="AG139" s="69" t="s">
        <v>61</v>
      </c>
      <c r="AH139" s="69" t="s">
        <v>61</v>
      </c>
      <c r="AI139" s="69" t="s">
        <v>59</v>
      </c>
      <c r="AJ139" s="69" t="s">
        <v>59</v>
      </c>
      <c r="AK139" s="69" t="s">
        <v>59</v>
      </c>
      <c r="AL139" s="69" t="s">
        <v>59</v>
      </c>
      <c r="AM139" s="69" t="s">
        <v>59</v>
      </c>
      <c r="AN139" s="69" t="s">
        <v>59</v>
      </c>
      <c r="AO139" s="69" t="s">
        <v>59</v>
      </c>
      <c r="AP139" s="69" t="s">
        <v>59</v>
      </c>
      <c r="AQ139" s="69" t="s">
        <v>59</v>
      </c>
      <c r="AR139" s="69" t="s">
        <v>59</v>
      </c>
      <c r="AS139" s="69">
        <v>0.27200000000000002</v>
      </c>
      <c r="AT139" s="69" t="s">
        <v>64</v>
      </c>
      <c r="AU139" s="69" t="s">
        <v>59</v>
      </c>
      <c r="AV139" s="69" t="s">
        <v>59</v>
      </c>
      <c r="AW139" s="69" t="s">
        <v>59</v>
      </c>
      <c r="AX139" s="69" t="s">
        <v>59</v>
      </c>
      <c r="AY139" s="215">
        <v>49</v>
      </c>
      <c r="AZ139" s="215">
        <v>50</v>
      </c>
      <c r="BA139" s="215" t="s">
        <v>59</v>
      </c>
      <c r="BB139" s="215" t="s">
        <v>59</v>
      </c>
      <c r="BC139" s="69">
        <v>7.9</v>
      </c>
      <c r="BD139" s="69" t="s">
        <v>61</v>
      </c>
      <c r="BE139" s="69" t="s">
        <v>61</v>
      </c>
      <c r="BF139" s="26">
        <v>9</v>
      </c>
      <c r="BG139" s="48">
        <v>1</v>
      </c>
      <c r="BH139" s="69" t="s">
        <v>61</v>
      </c>
      <c r="BI139" s="69" t="s">
        <v>61</v>
      </c>
      <c r="BJ139" s="69">
        <v>-0.2</v>
      </c>
      <c r="BK139" s="69" t="s">
        <v>61</v>
      </c>
      <c r="BL139" s="69" t="s">
        <v>61</v>
      </c>
      <c r="BM139" s="69">
        <v>-0.61</v>
      </c>
      <c r="BN139" s="69">
        <v>0.21</v>
      </c>
      <c r="BO139" s="69" t="s">
        <v>61</v>
      </c>
      <c r="BP139" s="69">
        <v>7.39</v>
      </c>
      <c r="BQ139" s="69" t="s">
        <v>61</v>
      </c>
      <c r="BR139" s="69" t="s">
        <v>61</v>
      </c>
      <c r="BS139" s="26">
        <v>9</v>
      </c>
      <c r="BT139" s="26">
        <v>1</v>
      </c>
      <c r="BU139" s="69" t="s">
        <v>61</v>
      </c>
      <c r="BV139" s="69" t="s">
        <v>61</v>
      </c>
      <c r="BW139" s="69">
        <v>-0.41</v>
      </c>
      <c r="BX139" s="69" t="s">
        <v>61</v>
      </c>
      <c r="BY139" s="69" t="s">
        <v>61</v>
      </c>
      <c r="BZ139" s="69">
        <v>-0.74</v>
      </c>
      <c r="CA139" s="69">
        <v>-7.0000000000000007E-2</v>
      </c>
      <c r="CB139" s="69" t="s">
        <v>61</v>
      </c>
      <c r="CC139" s="69" t="s">
        <v>59</v>
      </c>
      <c r="CD139" s="69" t="s">
        <v>59</v>
      </c>
      <c r="CE139" s="69" t="s">
        <v>59</v>
      </c>
      <c r="CF139" s="69"/>
      <c r="CG139" s="69"/>
      <c r="CH139" s="69" t="s">
        <v>59</v>
      </c>
      <c r="CI139" s="69" t="s">
        <v>59</v>
      </c>
      <c r="CJ139" s="69" t="s">
        <v>59</v>
      </c>
      <c r="CK139" s="69" t="s">
        <v>59</v>
      </c>
      <c r="CL139" s="69" t="s">
        <v>59</v>
      </c>
      <c r="CM139" s="69" t="s">
        <v>59</v>
      </c>
      <c r="CN139" s="69" t="s">
        <v>59</v>
      </c>
      <c r="CO139" s="69" t="s">
        <v>59</v>
      </c>
      <c r="CP139" s="69" t="s">
        <v>59</v>
      </c>
      <c r="CQ139" s="69" t="s">
        <v>59</v>
      </c>
      <c r="CR139" s="69" t="s">
        <v>59</v>
      </c>
      <c r="CS139" s="69"/>
      <c r="CT139" s="69"/>
      <c r="CU139" s="69" t="s">
        <v>59</v>
      </c>
      <c r="CV139" s="69" t="s">
        <v>59</v>
      </c>
      <c r="CW139" s="69" t="s">
        <v>59</v>
      </c>
      <c r="CX139" s="69" t="s">
        <v>59</v>
      </c>
      <c r="CY139" s="69" t="s">
        <v>59</v>
      </c>
      <c r="CZ139" s="69" t="s">
        <v>59</v>
      </c>
      <c r="DA139" s="69" t="s">
        <v>59</v>
      </c>
      <c r="DB139" s="69" t="s">
        <v>59</v>
      </c>
      <c r="DC139" s="69">
        <v>6</v>
      </c>
      <c r="DD139" s="55"/>
    </row>
    <row r="140" spans="1:114" s="43" customFormat="1">
      <c r="A140" s="34" t="s">
        <v>254</v>
      </c>
      <c r="B140" s="34">
        <v>8164</v>
      </c>
      <c r="C140" s="34">
        <v>2</v>
      </c>
      <c r="D140" s="43">
        <v>1</v>
      </c>
      <c r="E140" s="26" t="s">
        <v>139</v>
      </c>
      <c r="F140" s="26" t="s">
        <v>59</v>
      </c>
      <c r="G140" s="48">
        <f t="shared" si="2"/>
        <v>137</v>
      </c>
      <c r="H140" s="26" t="s">
        <v>59</v>
      </c>
      <c r="I140" s="26" t="s">
        <v>59</v>
      </c>
      <c r="J140" s="26" t="s">
        <v>59</v>
      </c>
      <c r="K140" s="26" t="s">
        <v>59</v>
      </c>
      <c r="L140" s="26" t="s">
        <v>59</v>
      </c>
      <c r="M140" s="26" t="s">
        <v>59</v>
      </c>
      <c r="N140" s="26" t="s">
        <v>59</v>
      </c>
      <c r="O140" s="26" t="s">
        <v>59</v>
      </c>
      <c r="P140" s="26" t="s">
        <v>59</v>
      </c>
      <c r="Q140" s="26" t="s">
        <v>59</v>
      </c>
      <c r="R140" s="26" t="s">
        <v>59</v>
      </c>
      <c r="S140" s="26" t="s">
        <v>60</v>
      </c>
      <c r="T140" s="26" t="s">
        <v>60</v>
      </c>
      <c r="U140" s="26">
        <v>65</v>
      </c>
      <c r="V140" s="26">
        <v>72</v>
      </c>
      <c r="W140" s="26" t="s">
        <v>60</v>
      </c>
      <c r="X140" s="26" t="s">
        <v>60</v>
      </c>
      <c r="Y140" s="26">
        <v>8.1</v>
      </c>
      <c r="Z140" s="26">
        <v>1.6</v>
      </c>
      <c r="AA140" s="26" t="s">
        <v>61</v>
      </c>
      <c r="AB140" s="26" t="s">
        <v>61</v>
      </c>
      <c r="AC140" s="27" t="s">
        <v>61</v>
      </c>
      <c r="AD140" s="26">
        <v>7.9</v>
      </c>
      <c r="AE140" s="26">
        <v>1.5</v>
      </c>
      <c r="AF140" s="26" t="s">
        <v>61</v>
      </c>
      <c r="AG140" s="26" t="s">
        <v>61</v>
      </c>
      <c r="AH140" s="27" t="s">
        <v>61</v>
      </c>
      <c r="AI140" s="26" t="s">
        <v>60</v>
      </c>
      <c r="AJ140" s="26" t="s">
        <v>60</v>
      </c>
      <c r="AK140" s="26" t="s">
        <v>59</v>
      </c>
      <c r="AL140" s="26" t="s">
        <v>59</v>
      </c>
      <c r="AM140" s="26" t="s">
        <v>59</v>
      </c>
      <c r="AN140" s="26" t="s">
        <v>60</v>
      </c>
      <c r="AO140" s="26" t="s">
        <v>60</v>
      </c>
      <c r="AP140" s="26" t="s">
        <v>59</v>
      </c>
      <c r="AQ140" s="26" t="s">
        <v>59</v>
      </c>
      <c r="AR140" s="26" t="s">
        <v>59</v>
      </c>
      <c r="AS140" s="26">
        <v>0.4</v>
      </c>
      <c r="AT140" s="26" t="s">
        <v>64</v>
      </c>
      <c r="AU140" s="26" t="s">
        <v>59</v>
      </c>
      <c r="AV140" s="26" t="s">
        <v>59</v>
      </c>
      <c r="AW140" s="26" t="s">
        <v>59</v>
      </c>
      <c r="AX140" s="26" t="s">
        <v>59</v>
      </c>
      <c r="AY140" s="186">
        <v>65</v>
      </c>
      <c r="AZ140" s="186">
        <v>72</v>
      </c>
      <c r="BA140" s="186" t="s">
        <v>60</v>
      </c>
      <c r="BB140" s="186" t="s">
        <v>60</v>
      </c>
      <c r="BC140" s="26">
        <v>8.1999999999999993</v>
      </c>
      <c r="BD140" s="26" t="s">
        <v>61</v>
      </c>
      <c r="BE140" s="26" t="s">
        <v>61</v>
      </c>
      <c r="BF140" s="26">
        <v>9</v>
      </c>
      <c r="BG140" s="48">
        <v>1</v>
      </c>
      <c r="BH140" s="27" t="s">
        <v>61</v>
      </c>
      <c r="BI140" s="27" t="s">
        <v>61</v>
      </c>
      <c r="BJ140" s="26" t="s">
        <v>61</v>
      </c>
      <c r="BK140" s="26" t="s">
        <v>61</v>
      </c>
      <c r="BL140" s="26" t="s">
        <v>61</v>
      </c>
      <c r="BM140" s="26" t="s">
        <v>61</v>
      </c>
      <c r="BN140" s="26" t="s">
        <v>61</v>
      </c>
      <c r="BO140" s="26" t="s">
        <v>61</v>
      </c>
      <c r="BP140" s="26">
        <v>7.9</v>
      </c>
      <c r="BQ140" s="26" t="s">
        <v>61</v>
      </c>
      <c r="BR140" s="26" t="s">
        <v>61</v>
      </c>
      <c r="BS140" s="26">
        <v>9</v>
      </c>
      <c r="BT140" s="26">
        <v>1</v>
      </c>
      <c r="BU140" s="27" t="s">
        <v>61</v>
      </c>
      <c r="BV140" s="27" t="s">
        <v>61</v>
      </c>
      <c r="BW140" s="26" t="s">
        <v>61</v>
      </c>
      <c r="BX140" s="26" t="s">
        <v>61</v>
      </c>
      <c r="BY140" s="27" t="s">
        <v>61</v>
      </c>
      <c r="BZ140" s="26" t="s">
        <v>61</v>
      </c>
      <c r="CA140" s="27" t="s">
        <v>61</v>
      </c>
      <c r="CB140" s="26" t="s">
        <v>61</v>
      </c>
      <c r="CC140" s="26" t="s">
        <v>60</v>
      </c>
      <c r="CD140" s="26" t="s">
        <v>60</v>
      </c>
      <c r="CE140" s="26" t="s">
        <v>59</v>
      </c>
      <c r="CF140" s="26"/>
      <c r="CG140" s="26"/>
      <c r="CH140" s="26" t="s">
        <v>59</v>
      </c>
      <c r="CI140" s="26" t="s">
        <v>59</v>
      </c>
      <c r="CJ140" s="26" t="s">
        <v>59</v>
      </c>
      <c r="CK140" s="26" t="s">
        <v>59</v>
      </c>
      <c r="CL140" s="26" t="s">
        <v>59</v>
      </c>
      <c r="CM140" s="26" t="s">
        <v>59</v>
      </c>
      <c r="CN140" s="26" t="s">
        <v>59</v>
      </c>
      <c r="CO140" s="26" t="s">
        <v>59</v>
      </c>
      <c r="CP140" s="26" t="s">
        <v>60</v>
      </c>
      <c r="CQ140" s="26" t="s">
        <v>60</v>
      </c>
      <c r="CR140" s="26" t="s">
        <v>59</v>
      </c>
      <c r="CS140" s="26"/>
      <c r="CT140" s="26"/>
      <c r="CU140" s="26" t="s">
        <v>59</v>
      </c>
      <c r="CV140" s="26" t="s">
        <v>59</v>
      </c>
      <c r="CW140" s="26" t="s">
        <v>59</v>
      </c>
      <c r="CX140" s="26" t="s">
        <v>59</v>
      </c>
      <c r="CY140" s="26" t="s">
        <v>59</v>
      </c>
      <c r="CZ140" s="26" t="s">
        <v>59</v>
      </c>
      <c r="DA140" s="26" t="s">
        <v>59</v>
      </c>
      <c r="DB140" s="26" t="s">
        <v>59</v>
      </c>
      <c r="DC140" s="26">
        <v>9</v>
      </c>
      <c r="DD140" s="29"/>
      <c r="DE140" s="22"/>
      <c r="DF140" s="22"/>
      <c r="DG140" s="26"/>
      <c r="DH140" s="27"/>
      <c r="DI140" s="22"/>
      <c r="DJ140" s="26"/>
    </row>
    <row r="141" spans="1:114" s="43" customFormat="1">
      <c r="A141" s="34" t="s">
        <v>173</v>
      </c>
      <c r="B141" s="34">
        <v>2709</v>
      </c>
      <c r="C141" s="34">
        <v>2</v>
      </c>
      <c r="D141" s="43">
        <v>1</v>
      </c>
      <c r="E141" s="26" t="s">
        <v>139</v>
      </c>
      <c r="F141" s="26" t="s">
        <v>59</v>
      </c>
      <c r="G141" s="48">
        <f t="shared" si="2"/>
        <v>272</v>
      </c>
      <c r="H141" s="26" t="s">
        <v>59</v>
      </c>
      <c r="I141" s="26" t="s">
        <v>60</v>
      </c>
      <c r="J141" s="26" t="s">
        <v>59</v>
      </c>
      <c r="K141" s="26" t="s">
        <v>59</v>
      </c>
      <c r="L141" s="26" t="s">
        <v>59</v>
      </c>
      <c r="M141" s="26" t="s">
        <v>59</v>
      </c>
      <c r="N141" s="26" t="s">
        <v>59</v>
      </c>
      <c r="O141" s="26" t="s">
        <v>59</v>
      </c>
      <c r="P141" s="26" t="s">
        <v>59</v>
      </c>
      <c r="Q141" s="26" t="s">
        <v>60</v>
      </c>
      <c r="R141" s="26" t="s">
        <v>60</v>
      </c>
      <c r="S141" s="26" t="s">
        <v>60</v>
      </c>
      <c r="T141" s="26" t="s">
        <v>60</v>
      </c>
      <c r="U141" s="26">
        <v>140</v>
      </c>
      <c r="V141" s="26">
        <v>132</v>
      </c>
      <c r="W141" s="26" t="s">
        <v>60</v>
      </c>
      <c r="X141" s="26" t="s">
        <v>60</v>
      </c>
      <c r="Y141" s="26">
        <v>8.1</v>
      </c>
      <c r="Z141" s="26">
        <v>1.7</v>
      </c>
      <c r="AA141" s="26" t="s">
        <v>61</v>
      </c>
      <c r="AB141" s="26" t="s">
        <v>61</v>
      </c>
      <c r="AC141" s="27" t="s">
        <v>61</v>
      </c>
      <c r="AD141" s="26">
        <v>8.1999999999999993</v>
      </c>
      <c r="AE141" s="26">
        <v>1.7</v>
      </c>
      <c r="AF141" s="26" t="s">
        <v>61</v>
      </c>
      <c r="AG141" s="26" t="s">
        <v>61</v>
      </c>
      <c r="AH141" s="27" t="s">
        <v>61</v>
      </c>
      <c r="AI141" s="26" t="s">
        <v>60</v>
      </c>
      <c r="AJ141" s="26" t="s">
        <v>60</v>
      </c>
      <c r="AK141" s="26" t="s">
        <v>59</v>
      </c>
      <c r="AL141" s="26" t="s">
        <v>59</v>
      </c>
      <c r="AM141" s="26" t="s">
        <v>59</v>
      </c>
      <c r="AN141" s="26" t="s">
        <v>60</v>
      </c>
      <c r="AO141" s="26" t="s">
        <v>60</v>
      </c>
      <c r="AP141" s="26" t="s">
        <v>59</v>
      </c>
      <c r="AQ141" s="26" t="s">
        <v>59</v>
      </c>
      <c r="AR141" s="26" t="s">
        <v>59</v>
      </c>
      <c r="AS141" s="26">
        <v>0.5</v>
      </c>
      <c r="AT141" s="26" t="s">
        <v>64</v>
      </c>
      <c r="AU141" s="26" t="s">
        <v>59</v>
      </c>
      <c r="AV141" s="26" t="s">
        <v>59</v>
      </c>
      <c r="AW141" s="26" t="s">
        <v>59</v>
      </c>
      <c r="AX141" s="26" t="s">
        <v>59</v>
      </c>
      <c r="AY141" s="186">
        <v>140</v>
      </c>
      <c r="AZ141" s="186">
        <v>132</v>
      </c>
      <c r="BA141" s="186" t="s">
        <v>60</v>
      </c>
      <c r="BB141" s="186" t="s">
        <v>60</v>
      </c>
      <c r="BC141" s="26">
        <v>8.1999999999999993</v>
      </c>
      <c r="BD141" s="26" t="s">
        <v>61</v>
      </c>
      <c r="BE141" s="26">
        <v>0.1</v>
      </c>
      <c r="BF141" s="48">
        <v>1</v>
      </c>
      <c r="BG141" s="48">
        <v>1</v>
      </c>
      <c r="BH141" s="27" t="s">
        <v>61</v>
      </c>
      <c r="BI141" s="27" t="s">
        <v>61</v>
      </c>
      <c r="BJ141" s="26" t="s">
        <v>61</v>
      </c>
      <c r="BK141" s="26" t="s">
        <v>61</v>
      </c>
      <c r="BL141" s="26" t="s">
        <v>61</v>
      </c>
      <c r="BM141" s="26" t="s">
        <v>61</v>
      </c>
      <c r="BN141" s="26" t="s">
        <v>61</v>
      </c>
      <c r="BO141" s="26" t="s">
        <v>61</v>
      </c>
      <c r="BP141" s="26">
        <v>8.1</v>
      </c>
      <c r="BQ141" s="26" t="s">
        <v>61</v>
      </c>
      <c r="BR141" s="26">
        <v>0.1</v>
      </c>
      <c r="BS141" s="69">
        <v>1</v>
      </c>
      <c r="BT141" s="26">
        <v>1</v>
      </c>
      <c r="BU141" s="27" t="s">
        <v>61</v>
      </c>
      <c r="BV141" s="27" t="s">
        <v>61</v>
      </c>
      <c r="BW141" s="26" t="s">
        <v>61</v>
      </c>
      <c r="BX141" s="26" t="s">
        <v>61</v>
      </c>
      <c r="BY141" s="27" t="s">
        <v>61</v>
      </c>
      <c r="BZ141" s="26" t="s">
        <v>61</v>
      </c>
      <c r="CA141" s="27" t="s">
        <v>61</v>
      </c>
      <c r="CB141" s="26" t="s">
        <v>61</v>
      </c>
      <c r="CC141" s="26" t="s">
        <v>60</v>
      </c>
      <c r="CD141" s="26" t="s">
        <v>60</v>
      </c>
      <c r="CE141" s="26" t="s">
        <v>59</v>
      </c>
      <c r="CF141" s="26"/>
      <c r="CG141" s="26"/>
      <c r="CH141" s="26" t="s">
        <v>59</v>
      </c>
      <c r="CI141" s="26" t="s">
        <v>59</v>
      </c>
      <c r="CJ141" s="26" t="s">
        <v>59</v>
      </c>
      <c r="CK141" s="26" t="s">
        <v>59</v>
      </c>
      <c r="CL141" s="26" t="s">
        <v>59</v>
      </c>
      <c r="CM141" s="26" t="s">
        <v>59</v>
      </c>
      <c r="CN141" s="26" t="s">
        <v>59</v>
      </c>
      <c r="CO141" s="26" t="s">
        <v>59</v>
      </c>
      <c r="CP141" s="26" t="s">
        <v>60</v>
      </c>
      <c r="CQ141" s="26" t="s">
        <v>60</v>
      </c>
      <c r="CR141" s="26" t="s">
        <v>59</v>
      </c>
      <c r="CS141" s="26"/>
      <c r="CT141" s="26"/>
      <c r="CU141" s="26" t="s">
        <v>59</v>
      </c>
      <c r="CV141" s="26" t="s">
        <v>59</v>
      </c>
      <c r="CW141" s="26" t="s">
        <v>59</v>
      </c>
      <c r="CX141" s="26" t="s">
        <v>59</v>
      </c>
      <c r="CY141" s="26" t="s">
        <v>59</v>
      </c>
      <c r="CZ141" s="26" t="s">
        <v>59</v>
      </c>
      <c r="DA141" s="26" t="s">
        <v>59</v>
      </c>
      <c r="DB141" s="26" t="s">
        <v>59</v>
      </c>
      <c r="DC141" s="26">
        <v>12</v>
      </c>
      <c r="DD141" s="29"/>
      <c r="DE141" s="22"/>
      <c r="DF141" s="22"/>
      <c r="DG141" s="26"/>
      <c r="DH141" s="27"/>
      <c r="DI141" s="22"/>
      <c r="DJ141" s="26"/>
    </row>
    <row r="142" spans="1:114" s="43" customFormat="1" ht="14">
      <c r="A142" s="49" t="s">
        <v>397</v>
      </c>
      <c r="B142" s="43">
        <v>12092</v>
      </c>
      <c r="C142" s="34">
        <v>2</v>
      </c>
      <c r="D142" s="43">
        <v>1</v>
      </c>
      <c r="E142" s="48" t="s">
        <v>139</v>
      </c>
      <c r="F142" s="26" t="s">
        <v>59</v>
      </c>
      <c r="G142" s="48">
        <f t="shared" si="2"/>
        <v>144</v>
      </c>
      <c r="H142" s="26" t="s">
        <v>59</v>
      </c>
      <c r="I142" s="26" t="s">
        <v>59</v>
      </c>
      <c r="J142" s="48" t="s">
        <v>59</v>
      </c>
      <c r="K142" s="26" t="s">
        <v>59</v>
      </c>
      <c r="L142" s="26" t="s">
        <v>59</v>
      </c>
      <c r="M142" s="26" t="s">
        <v>59</v>
      </c>
      <c r="N142" s="26" t="s">
        <v>59</v>
      </c>
      <c r="O142" s="26" t="s">
        <v>59</v>
      </c>
      <c r="P142" s="26" t="s">
        <v>59</v>
      </c>
      <c r="Q142" s="48" t="s">
        <v>59</v>
      </c>
      <c r="R142" s="48" t="s">
        <v>59</v>
      </c>
      <c r="S142" s="48" t="s">
        <v>59</v>
      </c>
      <c r="T142" s="48" t="s">
        <v>59</v>
      </c>
      <c r="U142" s="48">
        <v>71</v>
      </c>
      <c r="V142" s="48">
        <v>73</v>
      </c>
      <c r="W142" s="48" t="s">
        <v>59</v>
      </c>
      <c r="X142" s="48" t="s">
        <v>59</v>
      </c>
      <c r="Y142" s="69">
        <v>8.1</v>
      </c>
      <c r="Z142" s="69">
        <v>1.6</v>
      </c>
      <c r="AA142" s="69" t="s">
        <v>61</v>
      </c>
      <c r="AB142" s="69" t="s">
        <v>61</v>
      </c>
      <c r="AC142" s="69" t="s">
        <v>61</v>
      </c>
      <c r="AD142" s="69">
        <v>8.5</v>
      </c>
      <c r="AE142" s="69">
        <v>2.2000000000000002</v>
      </c>
      <c r="AF142" s="69" t="s">
        <v>61</v>
      </c>
      <c r="AG142" s="69" t="s">
        <v>61</v>
      </c>
      <c r="AH142" s="69" t="s">
        <v>61</v>
      </c>
      <c r="AI142" s="69" t="s">
        <v>59</v>
      </c>
      <c r="AJ142" s="69" t="s">
        <v>59</v>
      </c>
      <c r="AK142" s="69" t="s">
        <v>59</v>
      </c>
      <c r="AL142" s="69" t="s">
        <v>59</v>
      </c>
      <c r="AM142" s="69" t="s">
        <v>59</v>
      </c>
      <c r="AN142" s="69" t="s">
        <v>59</v>
      </c>
      <c r="AO142" s="69" t="s">
        <v>59</v>
      </c>
      <c r="AP142" s="69" t="s">
        <v>59</v>
      </c>
      <c r="AQ142" s="69" t="s">
        <v>59</v>
      </c>
      <c r="AR142" s="69" t="s">
        <v>59</v>
      </c>
      <c r="AS142" s="69" t="s">
        <v>61</v>
      </c>
      <c r="AT142" s="69" t="s">
        <v>64</v>
      </c>
      <c r="AU142" s="69" t="s">
        <v>59</v>
      </c>
      <c r="AV142" s="69" t="s">
        <v>59</v>
      </c>
      <c r="AW142" s="69" t="s">
        <v>59</v>
      </c>
      <c r="AX142" s="69" t="s">
        <v>59</v>
      </c>
      <c r="AY142" s="215">
        <v>71</v>
      </c>
      <c r="AZ142" s="215">
        <v>73</v>
      </c>
      <c r="BA142" s="215" t="s">
        <v>59</v>
      </c>
      <c r="BB142" s="215" t="s">
        <v>59</v>
      </c>
      <c r="BC142" s="69">
        <v>8.33</v>
      </c>
      <c r="BD142" s="69" t="s">
        <v>61</v>
      </c>
      <c r="BE142" s="69" t="s">
        <v>61</v>
      </c>
      <c r="BF142" s="26">
        <v>9</v>
      </c>
      <c r="BG142" s="48">
        <v>1</v>
      </c>
      <c r="BH142" s="69" t="s">
        <v>61</v>
      </c>
      <c r="BI142" s="69" t="s">
        <v>61</v>
      </c>
      <c r="BJ142" s="69" t="s">
        <v>61</v>
      </c>
      <c r="BK142" s="69" t="s">
        <v>61</v>
      </c>
      <c r="BL142" s="69" t="s">
        <v>61</v>
      </c>
      <c r="BM142" s="69" t="s">
        <v>61</v>
      </c>
      <c r="BN142" s="69" t="s">
        <v>61</v>
      </c>
      <c r="BO142" s="69" t="s">
        <v>61</v>
      </c>
      <c r="BP142" s="69">
        <v>7.64</v>
      </c>
      <c r="BQ142" s="69" t="s">
        <v>61</v>
      </c>
      <c r="BR142" s="69" t="s">
        <v>61</v>
      </c>
      <c r="BS142" s="26">
        <v>9</v>
      </c>
      <c r="BT142" s="26">
        <v>1</v>
      </c>
      <c r="BU142" s="69" t="s">
        <v>61</v>
      </c>
      <c r="BV142" s="69" t="s">
        <v>61</v>
      </c>
      <c r="BW142" s="69" t="s">
        <v>61</v>
      </c>
      <c r="BX142" s="69" t="s">
        <v>61</v>
      </c>
      <c r="BY142" s="69" t="s">
        <v>61</v>
      </c>
      <c r="BZ142" s="69" t="s">
        <v>61</v>
      </c>
      <c r="CA142" s="69" t="s">
        <v>61</v>
      </c>
      <c r="CB142" s="69" t="s">
        <v>61</v>
      </c>
      <c r="CC142" s="69" t="s">
        <v>59</v>
      </c>
      <c r="CD142" s="69" t="s">
        <v>59</v>
      </c>
      <c r="CE142" s="69" t="s">
        <v>59</v>
      </c>
      <c r="CF142" s="69"/>
      <c r="CG142" s="69"/>
      <c r="CH142" s="69" t="s">
        <v>59</v>
      </c>
      <c r="CI142" s="69" t="s">
        <v>59</v>
      </c>
      <c r="CJ142" s="69" t="s">
        <v>59</v>
      </c>
      <c r="CK142" s="69" t="s">
        <v>59</v>
      </c>
      <c r="CL142" s="69" t="s">
        <v>59</v>
      </c>
      <c r="CM142" s="69" t="s">
        <v>59</v>
      </c>
      <c r="CN142" s="69" t="s">
        <v>59</v>
      </c>
      <c r="CO142" s="69" t="s">
        <v>59</v>
      </c>
      <c r="CP142" s="69" t="s">
        <v>59</v>
      </c>
      <c r="CQ142" s="69" t="s">
        <v>59</v>
      </c>
      <c r="CR142" s="69" t="s">
        <v>59</v>
      </c>
      <c r="CS142" s="69"/>
      <c r="CT142" s="69"/>
      <c r="CU142" s="69" t="s">
        <v>59</v>
      </c>
      <c r="CV142" s="69" t="s">
        <v>59</v>
      </c>
      <c r="CW142" s="69" t="s">
        <v>59</v>
      </c>
      <c r="CX142" s="69" t="s">
        <v>59</v>
      </c>
      <c r="CY142" s="69" t="s">
        <v>59</v>
      </c>
      <c r="CZ142" s="69" t="s">
        <v>59</v>
      </c>
      <c r="DA142" s="69" t="s">
        <v>59</v>
      </c>
      <c r="DB142" s="69" t="s">
        <v>59</v>
      </c>
      <c r="DC142" s="69">
        <v>24</v>
      </c>
      <c r="DD142" s="55"/>
    </row>
    <row r="143" spans="1:114" s="43" customFormat="1">
      <c r="A143" s="34" t="s">
        <v>223</v>
      </c>
      <c r="B143" s="22">
        <v>6032</v>
      </c>
      <c r="C143" s="34">
        <v>2</v>
      </c>
      <c r="D143" s="43">
        <v>1</v>
      </c>
      <c r="E143" s="26" t="s">
        <v>139</v>
      </c>
      <c r="F143" s="26" t="s">
        <v>59</v>
      </c>
      <c r="G143" s="48">
        <f t="shared" si="2"/>
        <v>259</v>
      </c>
      <c r="H143" s="26" t="s">
        <v>59</v>
      </c>
      <c r="I143" s="26" t="s">
        <v>60</v>
      </c>
      <c r="J143" s="26" t="s">
        <v>59</v>
      </c>
      <c r="K143" s="26" t="s">
        <v>59</v>
      </c>
      <c r="L143" s="26" t="s">
        <v>59</v>
      </c>
      <c r="M143" s="26" t="s">
        <v>59</v>
      </c>
      <c r="N143" s="26" t="s">
        <v>59</v>
      </c>
      <c r="O143" s="26" t="s">
        <v>59</v>
      </c>
      <c r="P143" s="26" t="s">
        <v>59</v>
      </c>
      <c r="Q143" s="26" t="s">
        <v>60</v>
      </c>
      <c r="R143" s="26" t="s">
        <v>60</v>
      </c>
      <c r="S143" s="26" t="s">
        <v>60</v>
      </c>
      <c r="T143" s="26" t="s">
        <v>60</v>
      </c>
      <c r="U143" s="26">
        <v>127</v>
      </c>
      <c r="V143" s="26">
        <v>132</v>
      </c>
      <c r="W143" s="26" t="s">
        <v>60</v>
      </c>
      <c r="X143" s="26" t="s">
        <v>60</v>
      </c>
      <c r="Y143" s="26">
        <v>8.1</v>
      </c>
      <c r="Z143" s="26" t="s">
        <v>61</v>
      </c>
      <c r="AA143" s="26" t="s">
        <v>61</v>
      </c>
      <c r="AB143" s="26" t="s">
        <v>61</v>
      </c>
      <c r="AC143" s="27" t="s">
        <v>61</v>
      </c>
      <c r="AD143" s="26">
        <v>8</v>
      </c>
      <c r="AE143" s="26" t="s">
        <v>61</v>
      </c>
      <c r="AF143" s="26" t="s">
        <v>61</v>
      </c>
      <c r="AG143" s="26" t="s">
        <v>61</v>
      </c>
      <c r="AH143" s="27" t="s">
        <v>61</v>
      </c>
      <c r="AI143" s="26" t="s">
        <v>60</v>
      </c>
      <c r="AJ143" s="26" t="s">
        <v>60</v>
      </c>
      <c r="AK143" s="26" t="s">
        <v>59</v>
      </c>
      <c r="AL143" s="26" t="s">
        <v>59</v>
      </c>
      <c r="AM143" s="26" t="s">
        <v>59</v>
      </c>
      <c r="AN143" s="26" t="s">
        <v>60</v>
      </c>
      <c r="AO143" s="26" t="s">
        <v>60</v>
      </c>
      <c r="AP143" s="26" t="s">
        <v>59</v>
      </c>
      <c r="AQ143" s="26" t="s">
        <v>59</v>
      </c>
      <c r="AR143" s="26" t="s">
        <v>59</v>
      </c>
      <c r="AS143" s="26">
        <v>0.63</v>
      </c>
      <c r="AT143" s="26" t="s">
        <v>64</v>
      </c>
      <c r="AU143" s="26" t="s">
        <v>59</v>
      </c>
      <c r="AV143" s="26" t="s">
        <v>59</v>
      </c>
      <c r="AW143" s="26" t="s">
        <v>59</v>
      </c>
      <c r="AX143" s="26" t="s">
        <v>59</v>
      </c>
      <c r="AY143" s="186">
        <v>127</v>
      </c>
      <c r="AZ143" s="186">
        <v>132</v>
      </c>
      <c r="BA143" s="186" t="s">
        <v>60</v>
      </c>
      <c r="BB143" s="186" t="s">
        <v>60</v>
      </c>
      <c r="BC143" s="26">
        <v>7.7</v>
      </c>
      <c r="BD143" s="26" t="s">
        <v>61</v>
      </c>
      <c r="BE143" s="26" t="s">
        <v>61</v>
      </c>
      <c r="BF143" s="26">
        <v>9</v>
      </c>
      <c r="BG143" s="48">
        <v>1</v>
      </c>
      <c r="BH143" s="27" t="s">
        <v>61</v>
      </c>
      <c r="BI143" s="27" t="s">
        <v>61</v>
      </c>
      <c r="BJ143" s="26">
        <v>-0.4</v>
      </c>
      <c r="BK143" s="26" t="s">
        <v>61</v>
      </c>
      <c r="BL143" s="26" t="s">
        <v>61</v>
      </c>
      <c r="BM143" s="26" t="s">
        <v>61</v>
      </c>
      <c r="BN143" s="26" t="s">
        <v>61</v>
      </c>
      <c r="BO143" s="26" t="s">
        <v>61</v>
      </c>
      <c r="BP143" s="26">
        <v>7.6</v>
      </c>
      <c r="BQ143" s="26" t="s">
        <v>61</v>
      </c>
      <c r="BR143" s="26" t="s">
        <v>61</v>
      </c>
      <c r="BS143" s="26">
        <v>9</v>
      </c>
      <c r="BT143" s="26">
        <v>1</v>
      </c>
      <c r="BU143" s="27" t="s">
        <v>61</v>
      </c>
      <c r="BV143" s="27" t="s">
        <v>61</v>
      </c>
      <c r="BW143" s="26">
        <v>-0.4</v>
      </c>
      <c r="BX143" s="26" t="s">
        <v>61</v>
      </c>
      <c r="BY143" s="27" t="s">
        <v>61</v>
      </c>
      <c r="BZ143" s="26" t="s">
        <v>61</v>
      </c>
      <c r="CA143" s="27" t="s">
        <v>61</v>
      </c>
      <c r="CB143" s="26" t="s">
        <v>61</v>
      </c>
      <c r="CC143" s="26" t="s">
        <v>60</v>
      </c>
      <c r="CD143" s="26" t="s">
        <v>60</v>
      </c>
      <c r="CE143" s="26" t="s">
        <v>59</v>
      </c>
      <c r="CF143" s="26"/>
      <c r="CG143" s="26"/>
      <c r="CH143" s="26" t="s">
        <v>59</v>
      </c>
      <c r="CI143" s="26" t="s">
        <v>59</v>
      </c>
      <c r="CJ143" s="26" t="s">
        <v>59</v>
      </c>
      <c r="CK143" s="26" t="s">
        <v>59</v>
      </c>
      <c r="CL143" s="26" t="s">
        <v>59</v>
      </c>
      <c r="CM143" s="26" t="s">
        <v>59</v>
      </c>
      <c r="CN143" s="26" t="s">
        <v>59</v>
      </c>
      <c r="CO143" s="26" t="s">
        <v>59</v>
      </c>
      <c r="CP143" s="26" t="s">
        <v>60</v>
      </c>
      <c r="CQ143" s="26" t="s">
        <v>60</v>
      </c>
      <c r="CR143" s="26" t="s">
        <v>59</v>
      </c>
      <c r="CS143" s="26"/>
      <c r="CT143" s="26"/>
      <c r="CU143" s="26" t="s">
        <v>59</v>
      </c>
      <c r="CV143" s="26" t="s">
        <v>59</v>
      </c>
      <c r="CW143" s="26" t="s">
        <v>59</v>
      </c>
      <c r="CX143" s="26" t="s">
        <v>59</v>
      </c>
      <c r="CY143" s="26" t="s">
        <v>59</v>
      </c>
      <c r="CZ143" s="26" t="s">
        <v>59</v>
      </c>
      <c r="DA143" s="26" t="s">
        <v>59</v>
      </c>
      <c r="DB143" s="26" t="s">
        <v>59</v>
      </c>
      <c r="DC143" s="26">
        <v>6</v>
      </c>
      <c r="DD143" s="29"/>
      <c r="DE143" s="22"/>
      <c r="DF143" s="22"/>
      <c r="DG143" s="26"/>
      <c r="DH143" s="27"/>
      <c r="DI143" s="22"/>
      <c r="DJ143" s="26"/>
    </row>
    <row r="144" spans="1:114" s="43" customFormat="1">
      <c r="A144" s="213" t="s">
        <v>342</v>
      </c>
      <c r="B144" s="214">
        <v>10069</v>
      </c>
      <c r="C144" s="43">
        <v>3</v>
      </c>
      <c r="D144" s="43">
        <v>1</v>
      </c>
      <c r="E144" s="66" t="s">
        <v>139</v>
      </c>
      <c r="F144" s="26" t="s">
        <v>59</v>
      </c>
      <c r="G144" s="48">
        <f t="shared" si="2"/>
        <v>463</v>
      </c>
      <c r="H144" s="26" t="s">
        <v>59</v>
      </c>
      <c r="I144" s="26" t="s">
        <v>59</v>
      </c>
      <c r="J144" s="66" t="s">
        <v>59</v>
      </c>
      <c r="K144" s="26" t="s">
        <v>59</v>
      </c>
      <c r="L144" s="26" t="s">
        <v>59</v>
      </c>
      <c r="M144" s="26" t="s">
        <v>59</v>
      </c>
      <c r="N144" s="26" t="s">
        <v>59</v>
      </c>
      <c r="O144" s="26" t="s">
        <v>59</v>
      </c>
      <c r="P144" s="26" t="s">
        <v>59</v>
      </c>
      <c r="Q144" s="66" t="s">
        <v>59</v>
      </c>
      <c r="R144" s="66" t="s">
        <v>59</v>
      </c>
      <c r="S144" s="66" t="s">
        <v>59</v>
      </c>
      <c r="T144" s="66" t="s">
        <v>59</v>
      </c>
      <c r="U144" s="217">
        <v>132</v>
      </c>
      <c r="V144" s="217">
        <v>169</v>
      </c>
      <c r="W144" s="217">
        <v>162</v>
      </c>
      <c r="X144" s="66" t="s">
        <v>59</v>
      </c>
      <c r="Y144" s="66">
        <v>8.16</v>
      </c>
      <c r="Z144" s="48" t="s">
        <v>61</v>
      </c>
      <c r="AA144" s="66">
        <v>0.16</v>
      </c>
      <c r="AB144" s="66" t="s">
        <v>61</v>
      </c>
      <c r="AC144" s="66" t="s">
        <v>61</v>
      </c>
      <c r="AD144" s="66">
        <v>8.0299999999999994</v>
      </c>
      <c r="AE144" s="48" t="s">
        <v>61</v>
      </c>
      <c r="AF144" s="66">
        <v>0.14000000000000001</v>
      </c>
      <c r="AG144" s="66" t="s">
        <v>61</v>
      </c>
      <c r="AH144" s="66" t="s">
        <v>61</v>
      </c>
      <c r="AI144" s="66">
        <v>8.26</v>
      </c>
      <c r="AJ144" s="66" t="s">
        <v>61</v>
      </c>
      <c r="AK144" s="66">
        <v>0.13</v>
      </c>
      <c r="AL144" s="66" t="s">
        <v>61</v>
      </c>
      <c r="AM144" s="66" t="s">
        <v>61</v>
      </c>
      <c r="AN144" s="66" t="s">
        <v>59</v>
      </c>
      <c r="AO144" s="66" t="s">
        <v>59</v>
      </c>
      <c r="AP144" s="66" t="s">
        <v>59</v>
      </c>
      <c r="AQ144" s="66" t="s">
        <v>59</v>
      </c>
      <c r="AR144" s="66" t="s">
        <v>59</v>
      </c>
      <c r="AS144" s="66" t="s">
        <v>61</v>
      </c>
      <c r="AT144" s="66" t="s">
        <v>343</v>
      </c>
      <c r="AU144" s="66" t="s">
        <v>59</v>
      </c>
      <c r="AV144" s="66" t="s">
        <v>59</v>
      </c>
      <c r="AW144" s="66" t="s">
        <v>59</v>
      </c>
      <c r="AX144" s="66" t="s">
        <v>59</v>
      </c>
      <c r="AY144" s="217">
        <v>132</v>
      </c>
      <c r="AZ144" s="217">
        <v>169</v>
      </c>
      <c r="BA144" s="217">
        <v>162</v>
      </c>
      <c r="BB144" s="216" t="s">
        <v>59</v>
      </c>
      <c r="BC144" s="66">
        <v>8.0399999999999991</v>
      </c>
      <c r="BD144" s="66" t="s">
        <v>61</v>
      </c>
      <c r="BE144" s="66">
        <v>0.14000000000000001</v>
      </c>
      <c r="BF144" s="48">
        <v>1</v>
      </c>
      <c r="BG144" s="48">
        <v>1</v>
      </c>
      <c r="BH144" s="66" t="s">
        <v>61</v>
      </c>
      <c r="BI144" s="66" t="s">
        <v>61</v>
      </c>
      <c r="BJ144" s="66" t="s">
        <v>61</v>
      </c>
      <c r="BK144" s="66" t="s">
        <v>61</v>
      </c>
      <c r="BL144" s="66" t="s">
        <v>61</v>
      </c>
      <c r="BM144" s="66" t="s">
        <v>61</v>
      </c>
      <c r="BN144" s="66" t="s">
        <v>61</v>
      </c>
      <c r="BO144" s="66" t="s">
        <v>61</v>
      </c>
      <c r="BP144" s="66">
        <v>8.1</v>
      </c>
      <c r="BQ144" s="26" t="s">
        <v>61</v>
      </c>
      <c r="BR144" s="66">
        <v>0.14000000000000001</v>
      </c>
      <c r="BS144" s="69">
        <v>1</v>
      </c>
      <c r="BT144" s="26">
        <v>1</v>
      </c>
      <c r="BU144" s="66" t="s">
        <v>61</v>
      </c>
      <c r="BV144" s="66" t="s">
        <v>61</v>
      </c>
      <c r="BW144" s="66" t="s">
        <v>61</v>
      </c>
      <c r="BX144" s="66" t="s">
        <v>61</v>
      </c>
      <c r="BY144" s="66" t="s">
        <v>61</v>
      </c>
      <c r="BZ144" s="66" t="s">
        <v>61</v>
      </c>
      <c r="CA144" s="66" t="s">
        <v>61</v>
      </c>
      <c r="CB144" s="66" t="s">
        <v>61</v>
      </c>
      <c r="CC144" s="66">
        <v>8.23</v>
      </c>
      <c r="CD144" s="66" t="s">
        <v>61</v>
      </c>
      <c r="CE144" s="66">
        <v>0.13</v>
      </c>
      <c r="CF144" s="69">
        <v>1</v>
      </c>
      <c r="CG144" s="69">
        <v>1</v>
      </c>
      <c r="CH144" s="66" t="s">
        <v>61</v>
      </c>
      <c r="CI144" s="66" t="s">
        <v>61</v>
      </c>
      <c r="CJ144" s="66" t="s">
        <v>61</v>
      </c>
      <c r="CK144" s="66" t="s">
        <v>61</v>
      </c>
      <c r="CL144" s="66" t="s">
        <v>61</v>
      </c>
      <c r="CM144" s="66" t="s">
        <v>61</v>
      </c>
      <c r="CN144" s="66" t="s">
        <v>61</v>
      </c>
      <c r="CO144" s="66" t="s">
        <v>61</v>
      </c>
      <c r="CP144" s="66" t="s">
        <v>59</v>
      </c>
      <c r="CQ144" s="66" t="s">
        <v>59</v>
      </c>
      <c r="CR144" s="66" t="s">
        <v>59</v>
      </c>
      <c r="CS144" s="66"/>
      <c r="CT144" s="66"/>
      <c r="CU144" s="66" t="s">
        <v>59</v>
      </c>
      <c r="CV144" s="66" t="s">
        <v>59</v>
      </c>
      <c r="CW144" s="66" t="s">
        <v>59</v>
      </c>
      <c r="CX144" s="66" t="s">
        <v>59</v>
      </c>
      <c r="CY144" s="66" t="s">
        <v>59</v>
      </c>
      <c r="CZ144" s="66" t="s">
        <v>59</v>
      </c>
      <c r="DA144" s="66" t="s">
        <v>59</v>
      </c>
      <c r="DB144" s="66" t="s">
        <v>59</v>
      </c>
      <c r="DC144" s="66">
        <v>12</v>
      </c>
      <c r="DD144" s="68"/>
      <c r="DE144" s="168"/>
      <c r="DF144" s="168"/>
      <c r="DG144" s="168"/>
      <c r="DH144" s="168"/>
      <c r="DI144" s="168"/>
      <c r="DJ144" s="168"/>
    </row>
    <row r="145" spans="1:114" s="43" customFormat="1" ht="14">
      <c r="A145" s="49" t="s">
        <v>406</v>
      </c>
      <c r="B145" s="43">
        <v>12250</v>
      </c>
      <c r="C145" s="34">
        <v>2</v>
      </c>
      <c r="D145" s="43">
        <v>1</v>
      </c>
      <c r="E145" s="48" t="s">
        <v>139</v>
      </c>
      <c r="F145" s="26" t="s">
        <v>59</v>
      </c>
      <c r="G145" s="48">
        <f t="shared" si="2"/>
        <v>204</v>
      </c>
      <c r="H145" s="26" t="s">
        <v>59</v>
      </c>
      <c r="I145" s="26" t="s">
        <v>59</v>
      </c>
      <c r="J145" s="48" t="s">
        <v>59</v>
      </c>
      <c r="K145" s="26" t="s">
        <v>59</v>
      </c>
      <c r="L145" s="26" t="s">
        <v>59</v>
      </c>
      <c r="M145" s="26" t="s">
        <v>59</v>
      </c>
      <c r="N145" s="26" t="s">
        <v>59</v>
      </c>
      <c r="O145" s="26" t="s">
        <v>59</v>
      </c>
      <c r="P145" s="26" t="s">
        <v>59</v>
      </c>
      <c r="Q145" s="48" t="s">
        <v>59</v>
      </c>
      <c r="R145" s="48" t="s">
        <v>59</v>
      </c>
      <c r="S145" s="48" t="s">
        <v>59</v>
      </c>
      <c r="T145" s="48" t="s">
        <v>59</v>
      </c>
      <c r="U145" s="48">
        <v>101</v>
      </c>
      <c r="V145" s="48">
        <v>103</v>
      </c>
      <c r="W145" s="48" t="s">
        <v>59</v>
      </c>
      <c r="X145" s="48" t="s">
        <v>59</v>
      </c>
      <c r="Y145" s="69">
        <v>8.1999999999999993</v>
      </c>
      <c r="Z145" s="222">
        <v>0.81</v>
      </c>
      <c r="AA145" s="69" t="s">
        <v>61</v>
      </c>
      <c r="AB145" s="69">
        <v>8.1999999999999993</v>
      </c>
      <c r="AC145" s="69">
        <v>1.1000000000000001</v>
      </c>
      <c r="AD145" s="69">
        <v>8</v>
      </c>
      <c r="AE145" s="222">
        <v>0.67</v>
      </c>
      <c r="AF145" s="69" t="s">
        <v>61</v>
      </c>
      <c r="AG145" s="69">
        <v>8</v>
      </c>
      <c r="AH145" s="69">
        <v>0.9</v>
      </c>
      <c r="AI145" s="69" t="s">
        <v>59</v>
      </c>
      <c r="AJ145" s="69" t="s">
        <v>59</v>
      </c>
      <c r="AK145" s="69" t="s">
        <v>59</v>
      </c>
      <c r="AL145" s="69" t="s">
        <v>59</v>
      </c>
      <c r="AM145" s="69" t="s">
        <v>59</v>
      </c>
      <c r="AN145" s="69" t="s">
        <v>59</v>
      </c>
      <c r="AO145" s="69" t="s">
        <v>59</v>
      </c>
      <c r="AP145" s="69" t="s">
        <v>59</v>
      </c>
      <c r="AQ145" s="69" t="s">
        <v>59</v>
      </c>
      <c r="AR145" s="69" t="s">
        <v>59</v>
      </c>
      <c r="AS145" s="69">
        <v>0.15</v>
      </c>
      <c r="AT145" s="69" t="s">
        <v>64</v>
      </c>
      <c r="AU145" s="69" t="s">
        <v>59</v>
      </c>
      <c r="AV145" s="69" t="s">
        <v>59</v>
      </c>
      <c r="AW145" s="69" t="s">
        <v>59</v>
      </c>
      <c r="AX145" s="69" t="s">
        <v>59</v>
      </c>
      <c r="AY145" s="215">
        <v>101</v>
      </c>
      <c r="AZ145" s="215">
        <v>103</v>
      </c>
      <c r="BA145" s="215" t="s">
        <v>59</v>
      </c>
      <c r="BB145" s="215" t="s">
        <v>59</v>
      </c>
      <c r="BC145" s="69">
        <v>7.71</v>
      </c>
      <c r="BD145" s="69" t="s">
        <v>61</v>
      </c>
      <c r="BE145" s="69" t="s">
        <v>61</v>
      </c>
      <c r="BF145" s="26">
        <v>9</v>
      </c>
      <c r="BG145" s="48">
        <v>1</v>
      </c>
      <c r="BH145" s="69">
        <v>7.71</v>
      </c>
      <c r="BI145" s="69" t="s">
        <v>61</v>
      </c>
      <c r="BJ145" s="69">
        <v>-0.49</v>
      </c>
      <c r="BK145" s="69" t="s">
        <v>61</v>
      </c>
      <c r="BL145" s="69" t="s">
        <v>61</v>
      </c>
      <c r="BM145" s="69" t="s">
        <v>61</v>
      </c>
      <c r="BN145" s="69" t="s">
        <v>61</v>
      </c>
      <c r="BO145" s="69" t="s">
        <v>119</v>
      </c>
      <c r="BP145" s="69">
        <v>7.78</v>
      </c>
      <c r="BQ145" s="69" t="s">
        <v>61</v>
      </c>
      <c r="BR145" s="69" t="s">
        <v>61</v>
      </c>
      <c r="BS145" s="26">
        <v>9</v>
      </c>
      <c r="BT145" s="26">
        <v>1</v>
      </c>
      <c r="BU145" s="69">
        <v>7.8</v>
      </c>
      <c r="BV145" s="69" t="s">
        <v>61</v>
      </c>
      <c r="BW145" s="69">
        <v>-0.22</v>
      </c>
      <c r="BX145" s="69" t="s">
        <v>61</v>
      </c>
      <c r="BY145" s="69" t="s">
        <v>61</v>
      </c>
      <c r="BZ145" s="69" t="s">
        <v>61</v>
      </c>
      <c r="CA145" s="69" t="s">
        <v>61</v>
      </c>
      <c r="CB145" s="69">
        <v>0.12</v>
      </c>
      <c r="CC145" s="69" t="s">
        <v>59</v>
      </c>
      <c r="CD145" s="69" t="s">
        <v>59</v>
      </c>
      <c r="CE145" s="69" t="s">
        <v>59</v>
      </c>
      <c r="CF145" s="69"/>
      <c r="CG145" s="69"/>
      <c r="CH145" s="69" t="s">
        <v>59</v>
      </c>
      <c r="CI145" s="69" t="s">
        <v>59</v>
      </c>
      <c r="CJ145" s="69" t="s">
        <v>59</v>
      </c>
      <c r="CK145" s="69" t="s">
        <v>59</v>
      </c>
      <c r="CL145" s="69" t="s">
        <v>59</v>
      </c>
      <c r="CM145" s="69" t="s">
        <v>59</v>
      </c>
      <c r="CN145" s="69" t="s">
        <v>59</v>
      </c>
      <c r="CO145" s="69" t="s">
        <v>59</v>
      </c>
      <c r="CP145" s="69" t="s">
        <v>59</v>
      </c>
      <c r="CQ145" s="69" t="s">
        <v>59</v>
      </c>
      <c r="CR145" s="69" t="s">
        <v>59</v>
      </c>
      <c r="CS145" s="69"/>
      <c r="CT145" s="69"/>
      <c r="CU145" s="69" t="s">
        <v>59</v>
      </c>
      <c r="CV145" s="69" t="s">
        <v>59</v>
      </c>
      <c r="CW145" s="69" t="s">
        <v>59</v>
      </c>
      <c r="CX145" s="69" t="s">
        <v>59</v>
      </c>
      <c r="CY145" s="69" t="s">
        <v>59</v>
      </c>
      <c r="CZ145" s="69" t="s">
        <v>59</v>
      </c>
      <c r="DA145" s="69" t="s">
        <v>59</v>
      </c>
      <c r="DB145" s="69" t="s">
        <v>59</v>
      </c>
      <c r="DC145" s="69">
        <v>18</v>
      </c>
      <c r="DD145" s="55"/>
    </row>
    <row r="146" spans="1:114" s="43" customFormat="1" ht="14">
      <c r="A146" s="49" t="s">
        <v>398</v>
      </c>
      <c r="B146" s="43">
        <v>12106</v>
      </c>
      <c r="C146" s="34">
        <v>2</v>
      </c>
      <c r="D146" s="43">
        <v>1</v>
      </c>
      <c r="E146" s="48" t="s">
        <v>139</v>
      </c>
      <c r="F146" s="26" t="s">
        <v>59</v>
      </c>
      <c r="G146" s="48">
        <f t="shared" si="2"/>
        <v>586</v>
      </c>
      <c r="H146" s="26" t="s">
        <v>59</v>
      </c>
      <c r="I146" s="26" t="s">
        <v>59</v>
      </c>
      <c r="J146" s="48" t="s">
        <v>59</v>
      </c>
      <c r="K146" s="26" t="s">
        <v>59</v>
      </c>
      <c r="L146" s="26" t="s">
        <v>59</v>
      </c>
      <c r="M146" s="26" t="s">
        <v>59</v>
      </c>
      <c r="N146" s="26" t="s">
        <v>59</v>
      </c>
      <c r="O146" s="26" t="s">
        <v>59</v>
      </c>
      <c r="P146" s="26" t="s">
        <v>59</v>
      </c>
      <c r="Q146" s="48" t="s">
        <v>59</v>
      </c>
      <c r="R146" s="48" t="s">
        <v>59</v>
      </c>
      <c r="S146" s="48" t="s">
        <v>59</v>
      </c>
      <c r="T146" s="48" t="s">
        <v>59</v>
      </c>
      <c r="U146" s="48">
        <v>316</v>
      </c>
      <c r="V146" s="48">
        <v>312</v>
      </c>
      <c r="W146" s="48" t="s">
        <v>59</v>
      </c>
      <c r="X146" s="48" t="s">
        <v>59</v>
      </c>
      <c r="Y146" s="69">
        <v>8.1999999999999993</v>
      </c>
      <c r="Z146" s="69">
        <v>1.6</v>
      </c>
      <c r="AA146" s="69" t="s">
        <v>61</v>
      </c>
      <c r="AB146" s="69" t="s">
        <v>61</v>
      </c>
      <c r="AC146" s="69" t="s">
        <v>61</v>
      </c>
      <c r="AD146" s="69">
        <v>8.1999999999999993</v>
      </c>
      <c r="AE146" s="69">
        <v>1.7</v>
      </c>
      <c r="AF146" s="69" t="s">
        <v>61</v>
      </c>
      <c r="AG146" s="69" t="s">
        <v>61</v>
      </c>
      <c r="AH146" s="69" t="s">
        <v>61</v>
      </c>
      <c r="AI146" s="69" t="s">
        <v>59</v>
      </c>
      <c r="AJ146" s="69" t="s">
        <v>59</v>
      </c>
      <c r="AK146" s="69" t="s">
        <v>59</v>
      </c>
      <c r="AL146" s="69" t="s">
        <v>59</v>
      </c>
      <c r="AM146" s="69" t="s">
        <v>59</v>
      </c>
      <c r="AN146" s="69" t="s">
        <v>59</v>
      </c>
      <c r="AO146" s="69" t="s">
        <v>59</v>
      </c>
      <c r="AP146" s="69" t="s">
        <v>59</v>
      </c>
      <c r="AQ146" s="69" t="s">
        <v>59</v>
      </c>
      <c r="AR146" s="69" t="s">
        <v>59</v>
      </c>
      <c r="AS146" s="69">
        <v>0.89</v>
      </c>
      <c r="AT146" s="69" t="s">
        <v>64</v>
      </c>
      <c r="AU146" s="69" t="s">
        <v>59</v>
      </c>
      <c r="AV146" s="69" t="s">
        <v>59</v>
      </c>
      <c r="AW146" s="69" t="s">
        <v>59</v>
      </c>
      <c r="AX146" s="69" t="s">
        <v>59</v>
      </c>
      <c r="AY146" s="215">
        <v>290</v>
      </c>
      <c r="AZ146" s="215">
        <v>296</v>
      </c>
      <c r="BA146" s="215" t="s">
        <v>59</v>
      </c>
      <c r="BB146" s="215" t="s">
        <v>59</v>
      </c>
      <c r="BC146" s="69">
        <v>7.91</v>
      </c>
      <c r="BD146" s="69" t="s">
        <v>61</v>
      </c>
      <c r="BE146" s="69" t="s">
        <v>61</v>
      </c>
      <c r="BF146" s="26">
        <v>9</v>
      </c>
      <c r="BG146" s="48">
        <v>1</v>
      </c>
      <c r="BH146" s="69" t="s">
        <v>61</v>
      </c>
      <c r="BI146" s="69" t="s">
        <v>61</v>
      </c>
      <c r="BJ146" s="69">
        <v>-0.28999999999999998</v>
      </c>
      <c r="BK146" s="69" t="s">
        <v>61</v>
      </c>
      <c r="BL146" s="69" t="s">
        <v>61</v>
      </c>
      <c r="BM146" s="69">
        <v>-0.47</v>
      </c>
      <c r="BN146" s="69">
        <v>-0.12</v>
      </c>
      <c r="BO146" s="69" t="s">
        <v>61</v>
      </c>
      <c r="BP146" s="69">
        <v>7.9</v>
      </c>
      <c r="BQ146" s="69" t="s">
        <v>61</v>
      </c>
      <c r="BR146" s="69" t="s">
        <v>61</v>
      </c>
      <c r="BS146" s="26">
        <v>9</v>
      </c>
      <c r="BT146" s="26">
        <v>1</v>
      </c>
      <c r="BU146" s="69" t="s">
        <v>61</v>
      </c>
      <c r="BV146" s="69" t="s">
        <v>61</v>
      </c>
      <c r="BW146" s="69">
        <v>-0.3</v>
      </c>
      <c r="BX146" s="69" t="s">
        <v>61</v>
      </c>
      <c r="BY146" s="69" t="s">
        <v>61</v>
      </c>
      <c r="BZ146" s="69">
        <v>-0.47</v>
      </c>
      <c r="CA146" s="69">
        <v>-0.12</v>
      </c>
      <c r="CB146" s="69" t="s">
        <v>61</v>
      </c>
      <c r="CC146" s="69" t="s">
        <v>59</v>
      </c>
      <c r="CD146" s="69" t="s">
        <v>59</v>
      </c>
      <c r="CE146" s="69" t="s">
        <v>59</v>
      </c>
      <c r="CF146" s="69"/>
      <c r="CG146" s="69"/>
      <c r="CH146" s="69" t="s">
        <v>59</v>
      </c>
      <c r="CI146" s="69" t="s">
        <v>59</v>
      </c>
      <c r="CJ146" s="69" t="s">
        <v>59</v>
      </c>
      <c r="CK146" s="69" t="s">
        <v>59</v>
      </c>
      <c r="CL146" s="69" t="s">
        <v>59</v>
      </c>
      <c r="CM146" s="69" t="s">
        <v>59</v>
      </c>
      <c r="CN146" s="69" t="s">
        <v>59</v>
      </c>
      <c r="CO146" s="69" t="s">
        <v>59</v>
      </c>
      <c r="CP146" s="69" t="s">
        <v>59</v>
      </c>
      <c r="CQ146" s="69" t="s">
        <v>59</v>
      </c>
      <c r="CR146" s="69" t="s">
        <v>59</v>
      </c>
      <c r="CS146" s="69"/>
      <c r="CT146" s="69"/>
      <c r="CU146" s="69" t="s">
        <v>59</v>
      </c>
      <c r="CV146" s="69" t="s">
        <v>59</v>
      </c>
      <c r="CW146" s="69" t="s">
        <v>59</v>
      </c>
      <c r="CX146" s="69" t="s">
        <v>59</v>
      </c>
      <c r="CY146" s="69" t="s">
        <v>59</v>
      </c>
      <c r="CZ146" s="69" t="s">
        <v>59</v>
      </c>
      <c r="DA146" s="69" t="s">
        <v>59</v>
      </c>
      <c r="DB146" s="69" t="s">
        <v>59</v>
      </c>
      <c r="DC146" s="69">
        <v>12</v>
      </c>
      <c r="DD146" s="55"/>
    </row>
    <row r="147" spans="1:114" s="43" customFormat="1" ht="14">
      <c r="A147" s="49" t="s">
        <v>430</v>
      </c>
      <c r="B147" s="43">
        <v>12889</v>
      </c>
      <c r="C147" s="34">
        <v>2</v>
      </c>
      <c r="D147" s="43">
        <v>1</v>
      </c>
      <c r="E147" s="48" t="s">
        <v>139</v>
      </c>
      <c r="F147" s="26" t="s">
        <v>59</v>
      </c>
      <c r="G147" s="48">
        <f t="shared" si="2"/>
        <v>43</v>
      </c>
      <c r="H147" s="26" t="s">
        <v>59</v>
      </c>
      <c r="I147" s="26" t="s">
        <v>59</v>
      </c>
      <c r="J147" s="48" t="s">
        <v>59</v>
      </c>
      <c r="K147" s="26" t="s">
        <v>59</v>
      </c>
      <c r="L147" s="26" t="s">
        <v>59</v>
      </c>
      <c r="M147" s="26" t="s">
        <v>59</v>
      </c>
      <c r="N147" s="26" t="s">
        <v>59</v>
      </c>
      <c r="O147" s="26" t="s">
        <v>59</v>
      </c>
      <c r="P147" s="26" t="s">
        <v>59</v>
      </c>
      <c r="Q147" s="48" t="s">
        <v>59</v>
      </c>
      <c r="R147" s="48" t="s">
        <v>59</v>
      </c>
      <c r="S147" s="48" t="s">
        <v>59</v>
      </c>
      <c r="T147" s="48" t="s">
        <v>59</v>
      </c>
      <c r="U147" s="48">
        <v>24</v>
      </c>
      <c r="V147" s="48">
        <v>19</v>
      </c>
      <c r="W147" s="48" t="s">
        <v>59</v>
      </c>
      <c r="X147" s="48" t="s">
        <v>59</v>
      </c>
      <c r="Y147" s="69">
        <v>8.1999999999999993</v>
      </c>
      <c r="Z147" s="26" t="s">
        <v>61</v>
      </c>
      <c r="AA147" s="69">
        <v>0.4</v>
      </c>
      <c r="AB147" s="69" t="s">
        <v>61</v>
      </c>
      <c r="AC147" s="69" t="s">
        <v>61</v>
      </c>
      <c r="AD147" s="69">
        <v>8.3000000000000007</v>
      </c>
      <c r="AE147" s="69" t="s">
        <v>61</v>
      </c>
      <c r="AF147" s="69">
        <v>0.4</v>
      </c>
      <c r="AG147" s="69" t="s">
        <v>61</v>
      </c>
      <c r="AH147" s="69" t="s">
        <v>61</v>
      </c>
      <c r="AI147" s="69" t="s">
        <v>59</v>
      </c>
      <c r="AJ147" s="69" t="s">
        <v>59</v>
      </c>
      <c r="AK147" s="69" t="s">
        <v>59</v>
      </c>
      <c r="AL147" s="69" t="s">
        <v>59</v>
      </c>
      <c r="AM147" s="69" t="s">
        <v>59</v>
      </c>
      <c r="AN147" s="69" t="s">
        <v>59</v>
      </c>
      <c r="AO147" s="69" t="s">
        <v>59</v>
      </c>
      <c r="AP147" s="69" t="s">
        <v>59</v>
      </c>
      <c r="AQ147" s="69" t="s">
        <v>59</v>
      </c>
      <c r="AR147" s="69" t="s">
        <v>59</v>
      </c>
      <c r="AS147" s="69" t="s">
        <v>61</v>
      </c>
      <c r="AT147" s="69" t="s">
        <v>64</v>
      </c>
      <c r="AU147" s="69" t="s">
        <v>59</v>
      </c>
      <c r="AV147" s="69" t="s">
        <v>59</v>
      </c>
      <c r="AW147" s="69" t="s">
        <v>59</v>
      </c>
      <c r="AX147" s="69" t="s">
        <v>59</v>
      </c>
      <c r="AY147" s="215">
        <v>24</v>
      </c>
      <c r="AZ147" s="215">
        <v>19</v>
      </c>
      <c r="BA147" s="215" t="s">
        <v>59</v>
      </c>
      <c r="BB147" s="215" t="s">
        <v>59</v>
      </c>
      <c r="BC147" s="69">
        <v>8</v>
      </c>
      <c r="BD147" s="48" t="s">
        <v>61</v>
      </c>
      <c r="BE147" s="69">
        <v>0.2</v>
      </c>
      <c r="BF147" s="48">
        <v>1</v>
      </c>
      <c r="BG147" s="48">
        <v>1</v>
      </c>
      <c r="BH147" s="69" t="s">
        <v>61</v>
      </c>
      <c r="BI147" s="69" t="s">
        <v>61</v>
      </c>
      <c r="BJ147" s="69" t="s">
        <v>61</v>
      </c>
      <c r="BK147" s="69" t="s">
        <v>61</v>
      </c>
      <c r="BL147" s="69" t="s">
        <v>61</v>
      </c>
      <c r="BM147" s="69" t="s">
        <v>61</v>
      </c>
      <c r="BN147" s="69" t="s">
        <v>61</v>
      </c>
      <c r="BO147" s="69" t="s">
        <v>61</v>
      </c>
      <c r="BP147" s="69">
        <v>7.3</v>
      </c>
      <c r="BQ147" s="26" t="s">
        <v>61</v>
      </c>
      <c r="BR147" s="69">
        <v>0.3</v>
      </c>
      <c r="BS147" s="69">
        <v>1</v>
      </c>
      <c r="BT147" s="26">
        <v>1</v>
      </c>
      <c r="BU147" s="69" t="s">
        <v>61</v>
      </c>
      <c r="BV147" s="69" t="s">
        <v>61</v>
      </c>
      <c r="BW147" s="69" t="s">
        <v>61</v>
      </c>
      <c r="BX147" s="69" t="s">
        <v>61</v>
      </c>
      <c r="BY147" s="69" t="s">
        <v>61</v>
      </c>
      <c r="BZ147" s="69" t="s">
        <v>61</v>
      </c>
      <c r="CA147" s="69" t="s">
        <v>61</v>
      </c>
      <c r="CB147" s="69" t="s">
        <v>162</v>
      </c>
      <c r="CC147" s="69" t="s">
        <v>59</v>
      </c>
      <c r="CD147" s="69" t="s">
        <v>59</v>
      </c>
      <c r="CE147" s="69" t="s">
        <v>59</v>
      </c>
      <c r="CF147" s="69"/>
      <c r="CG147" s="69"/>
      <c r="CH147" s="69" t="s">
        <v>59</v>
      </c>
      <c r="CI147" s="69" t="s">
        <v>59</v>
      </c>
      <c r="CJ147" s="69" t="s">
        <v>59</v>
      </c>
      <c r="CK147" s="69" t="s">
        <v>59</v>
      </c>
      <c r="CL147" s="69" t="s">
        <v>59</v>
      </c>
      <c r="CM147" s="69" t="s">
        <v>59</v>
      </c>
      <c r="CN147" s="69" t="s">
        <v>59</v>
      </c>
      <c r="CO147" s="69" t="s">
        <v>59</v>
      </c>
      <c r="CP147" s="69" t="s">
        <v>59</v>
      </c>
      <c r="CQ147" s="69" t="s">
        <v>59</v>
      </c>
      <c r="CR147" s="69" t="s">
        <v>59</v>
      </c>
      <c r="CS147" s="69"/>
      <c r="CT147" s="69"/>
      <c r="CU147" s="69" t="s">
        <v>59</v>
      </c>
      <c r="CV147" s="69" t="s">
        <v>59</v>
      </c>
      <c r="CW147" s="69" t="s">
        <v>59</v>
      </c>
      <c r="CX147" s="69" t="s">
        <v>59</v>
      </c>
      <c r="CY147" s="69" t="s">
        <v>59</v>
      </c>
      <c r="CZ147" s="69" t="s">
        <v>59</v>
      </c>
      <c r="DA147" s="69" t="s">
        <v>59</v>
      </c>
      <c r="DB147" s="69" t="s">
        <v>59</v>
      </c>
      <c r="DC147" s="69">
        <v>3</v>
      </c>
      <c r="DD147" s="55"/>
    </row>
    <row r="148" spans="1:114" s="43" customFormat="1">
      <c r="A148" s="34" t="s">
        <v>209</v>
      </c>
      <c r="B148" s="34">
        <v>5700</v>
      </c>
      <c r="C148" s="34">
        <v>2</v>
      </c>
      <c r="D148" s="43">
        <v>1</v>
      </c>
      <c r="E148" s="26" t="s">
        <v>139</v>
      </c>
      <c r="F148" s="26" t="s">
        <v>59</v>
      </c>
      <c r="G148" s="48">
        <f t="shared" si="2"/>
        <v>175</v>
      </c>
      <c r="H148" s="26" t="s">
        <v>59</v>
      </c>
      <c r="I148" s="26" t="s">
        <v>60</v>
      </c>
      <c r="J148" s="26" t="s">
        <v>59</v>
      </c>
      <c r="K148" s="26" t="s">
        <v>59</v>
      </c>
      <c r="L148" s="26" t="s">
        <v>59</v>
      </c>
      <c r="M148" s="26" t="s">
        <v>59</v>
      </c>
      <c r="N148" s="26" t="s">
        <v>59</v>
      </c>
      <c r="O148" s="26" t="s">
        <v>59</v>
      </c>
      <c r="P148" s="26" t="s">
        <v>59</v>
      </c>
      <c r="Q148" s="26" t="s">
        <v>60</v>
      </c>
      <c r="R148" s="26" t="s">
        <v>60</v>
      </c>
      <c r="S148" s="26" t="s">
        <v>60</v>
      </c>
      <c r="T148" s="26" t="s">
        <v>60</v>
      </c>
      <c r="U148" s="26">
        <v>74</v>
      </c>
      <c r="V148" s="26">
        <v>101</v>
      </c>
      <c r="W148" s="26" t="s">
        <v>60</v>
      </c>
      <c r="X148" s="26" t="s">
        <v>60</v>
      </c>
      <c r="Y148" s="26">
        <v>8.2100000000000009</v>
      </c>
      <c r="Z148" s="26" t="s">
        <v>61</v>
      </c>
      <c r="AA148" s="26">
        <v>0.18</v>
      </c>
      <c r="AB148" s="26" t="s">
        <v>61</v>
      </c>
      <c r="AC148" s="27" t="s">
        <v>61</v>
      </c>
      <c r="AD148" s="26">
        <v>7.82</v>
      </c>
      <c r="AE148" s="27" t="s">
        <v>61</v>
      </c>
      <c r="AF148" s="26">
        <v>0.13</v>
      </c>
      <c r="AG148" s="26" t="s">
        <v>61</v>
      </c>
      <c r="AH148" s="27" t="s">
        <v>61</v>
      </c>
      <c r="AI148" s="26" t="s">
        <v>60</v>
      </c>
      <c r="AJ148" s="26" t="s">
        <v>60</v>
      </c>
      <c r="AK148" s="26" t="s">
        <v>59</v>
      </c>
      <c r="AL148" s="26" t="s">
        <v>59</v>
      </c>
      <c r="AM148" s="26" t="s">
        <v>59</v>
      </c>
      <c r="AN148" s="26" t="s">
        <v>60</v>
      </c>
      <c r="AO148" s="26" t="s">
        <v>60</v>
      </c>
      <c r="AP148" s="26" t="s">
        <v>59</v>
      </c>
      <c r="AQ148" s="26" t="s">
        <v>59</v>
      </c>
      <c r="AR148" s="26" t="s">
        <v>59</v>
      </c>
      <c r="AS148" s="26" t="s">
        <v>162</v>
      </c>
      <c r="AT148" s="26" t="s">
        <v>64</v>
      </c>
      <c r="AU148" s="26" t="s">
        <v>59</v>
      </c>
      <c r="AV148" s="26" t="s">
        <v>59</v>
      </c>
      <c r="AW148" s="26" t="s">
        <v>59</v>
      </c>
      <c r="AX148" s="26" t="s">
        <v>59</v>
      </c>
      <c r="AY148" s="186">
        <v>74</v>
      </c>
      <c r="AZ148" s="186">
        <v>101</v>
      </c>
      <c r="BA148" s="186" t="s">
        <v>60</v>
      </c>
      <c r="BB148" s="186" t="s">
        <v>60</v>
      </c>
      <c r="BC148" s="26">
        <v>7.83</v>
      </c>
      <c r="BD148" s="26" t="s">
        <v>61</v>
      </c>
      <c r="BE148" s="26">
        <v>0.2</v>
      </c>
      <c r="BF148" s="48">
        <v>1</v>
      </c>
      <c r="BG148" s="48">
        <v>1</v>
      </c>
      <c r="BH148" s="27" t="s">
        <v>61</v>
      </c>
      <c r="BI148" s="27" t="s">
        <v>61</v>
      </c>
      <c r="BJ148" s="26" t="s">
        <v>61</v>
      </c>
      <c r="BK148" s="26" t="s">
        <v>61</v>
      </c>
      <c r="BL148" s="26" t="s">
        <v>61</v>
      </c>
      <c r="BM148" s="26" t="s">
        <v>61</v>
      </c>
      <c r="BN148" s="26" t="s">
        <v>61</v>
      </c>
      <c r="BO148" s="26" t="s">
        <v>61</v>
      </c>
      <c r="BP148" s="26">
        <v>7.32</v>
      </c>
      <c r="BQ148" s="26" t="s">
        <v>61</v>
      </c>
      <c r="BR148" s="26">
        <v>0.11</v>
      </c>
      <c r="BS148" s="69">
        <v>1</v>
      </c>
      <c r="BT148" s="26">
        <v>1</v>
      </c>
      <c r="BU148" s="27" t="s">
        <v>61</v>
      </c>
      <c r="BV148" s="27" t="s">
        <v>61</v>
      </c>
      <c r="BW148" s="26" t="s">
        <v>61</v>
      </c>
      <c r="BX148" s="26" t="s">
        <v>61</v>
      </c>
      <c r="BY148" s="27" t="s">
        <v>61</v>
      </c>
      <c r="BZ148" s="26" t="s">
        <v>61</v>
      </c>
      <c r="CA148" s="27" t="s">
        <v>61</v>
      </c>
      <c r="CB148" s="26" t="s">
        <v>61</v>
      </c>
      <c r="CC148" s="26" t="s">
        <v>60</v>
      </c>
      <c r="CD148" s="26" t="s">
        <v>60</v>
      </c>
      <c r="CE148" s="26" t="s">
        <v>59</v>
      </c>
      <c r="CF148" s="26"/>
      <c r="CG148" s="26"/>
      <c r="CH148" s="26" t="s">
        <v>59</v>
      </c>
      <c r="CI148" s="26" t="s">
        <v>59</v>
      </c>
      <c r="CJ148" s="26" t="s">
        <v>59</v>
      </c>
      <c r="CK148" s="26" t="s">
        <v>59</v>
      </c>
      <c r="CL148" s="26" t="s">
        <v>59</v>
      </c>
      <c r="CM148" s="26" t="s">
        <v>59</v>
      </c>
      <c r="CN148" s="26" t="s">
        <v>59</v>
      </c>
      <c r="CO148" s="26" t="s">
        <v>59</v>
      </c>
      <c r="CP148" s="26" t="s">
        <v>60</v>
      </c>
      <c r="CQ148" s="26" t="s">
        <v>60</v>
      </c>
      <c r="CR148" s="26" t="s">
        <v>59</v>
      </c>
      <c r="CS148" s="26"/>
      <c r="CT148" s="26"/>
      <c r="CU148" s="26" t="s">
        <v>59</v>
      </c>
      <c r="CV148" s="26" t="s">
        <v>59</v>
      </c>
      <c r="CW148" s="26" t="s">
        <v>59</v>
      </c>
      <c r="CX148" s="26" t="s">
        <v>59</v>
      </c>
      <c r="CY148" s="26" t="s">
        <v>59</v>
      </c>
      <c r="CZ148" s="26" t="s">
        <v>59</v>
      </c>
      <c r="DA148" s="26" t="s">
        <v>59</v>
      </c>
      <c r="DB148" s="26" t="s">
        <v>59</v>
      </c>
      <c r="DC148" s="26">
        <v>12</v>
      </c>
      <c r="DD148" s="29"/>
      <c r="DE148" s="22"/>
      <c r="DF148" s="22"/>
      <c r="DG148" s="26"/>
      <c r="DH148" s="27"/>
      <c r="DI148" s="22"/>
      <c r="DJ148" s="26"/>
    </row>
    <row r="149" spans="1:114" s="43" customFormat="1">
      <c r="A149" s="34" t="s">
        <v>200</v>
      </c>
      <c r="B149" s="34">
        <v>5362</v>
      </c>
      <c r="C149" s="34">
        <v>2</v>
      </c>
      <c r="D149" s="43">
        <v>1</v>
      </c>
      <c r="E149" s="26" t="s">
        <v>139</v>
      </c>
      <c r="F149" s="26" t="s">
        <v>59</v>
      </c>
      <c r="G149" s="48">
        <f t="shared" si="2"/>
        <v>273</v>
      </c>
      <c r="H149" s="26" t="s">
        <v>59</v>
      </c>
      <c r="I149" s="26" t="s">
        <v>60</v>
      </c>
      <c r="J149" s="26" t="s">
        <v>59</v>
      </c>
      <c r="K149" s="26" t="s">
        <v>59</v>
      </c>
      <c r="L149" s="26" t="s">
        <v>59</v>
      </c>
      <c r="M149" s="26" t="s">
        <v>59</v>
      </c>
      <c r="N149" s="26" t="s">
        <v>59</v>
      </c>
      <c r="O149" s="26" t="s">
        <v>59</v>
      </c>
      <c r="P149" s="26" t="s">
        <v>59</v>
      </c>
      <c r="Q149" s="26" t="s">
        <v>60</v>
      </c>
      <c r="R149" s="26" t="s">
        <v>60</v>
      </c>
      <c r="S149" s="26" t="s">
        <v>60</v>
      </c>
      <c r="T149" s="26" t="s">
        <v>60</v>
      </c>
      <c r="U149" s="26">
        <v>155</v>
      </c>
      <c r="V149" s="26">
        <v>155</v>
      </c>
      <c r="W149" s="26" t="s">
        <v>60</v>
      </c>
      <c r="X149" s="26" t="s">
        <v>60</v>
      </c>
      <c r="Y149" s="26">
        <v>8.2899999999999991</v>
      </c>
      <c r="Z149" s="26">
        <v>1.93</v>
      </c>
      <c r="AA149" s="26" t="s">
        <v>61</v>
      </c>
      <c r="AB149" s="26" t="s">
        <v>61</v>
      </c>
      <c r="AC149" s="27" t="s">
        <v>61</v>
      </c>
      <c r="AD149" s="26">
        <v>8.08</v>
      </c>
      <c r="AE149" s="26">
        <v>2.02</v>
      </c>
      <c r="AF149" s="26" t="s">
        <v>61</v>
      </c>
      <c r="AG149" s="26" t="s">
        <v>61</v>
      </c>
      <c r="AH149" s="27" t="s">
        <v>61</v>
      </c>
      <c r="AI149" s="26" t="s">
        <v>60</v>
      </c>
      <c r="AJ149" s="26" t="s">
        <v>60</v>
      </c>
      <c r="AK149" s="26" t="s">
        <v>59</v>
      </c>
      <c r="AL149" s="26" t="s">
        <v>59</v>
      </c>
      <c r="AM149" s="26" t="s">
        <v>59</v>
      </c>
      <c r="AN149" s="26" t="s">
        <v>60</v>
      </c>
      <c r="AO149" s="26" t="s">
        <v>60</v>
      </c>
      <c r="AP149" s="26" t="s">
        <v>59</v>
      </c>
      <c r="AQ149" s="26" t="s">
        <v>59</v>
      </c>
      <c r="AR149" s="26" t="s">
        <v>59</v>
      </c>
      <c r="AS149" s="26">
        <v>0.5</v>
      </c>
      <c r="AT149" s="26" t="s">
        <v>64</v>
      </c>
      <c r="AU149" s="26" t="s">
        <v>59</v>
      </c>
      <c r="AV149" s="26" t="s">
        <v>59</v>
      </c>
      <c r="AW149" s="26" t="s">
        <v>59</v>
      </c>
      <c r="AX149" s="26" t="s">
        <v>59</v>
      </c>
      <c r="AY149" s="186">
        <v>132</v>
      </c>
      <c r="AZ149" s="186">
        <v>141</v>
      </c>
      <c r="BA149" s="186" t="s">
        <v>60</v>
      </c>
      <c r="BB149" s="186" t="s">
        <v>60</v>
      </c>
      <c r="BC149" s="26">
        <v>7.83</v>
      </c>
      <c r="BD149" s="26" t="s">
        <v>61</v>
      </c>
      <c r="BE149" s="26" t="s">
        <v>61</v>
      </c>
      <c r="BF149" s="26">
        <v>9</v>
      </c>
      <c r="BG149" s="48">
        <v>1</v>
      </c>
      <c r="BH149" s="27" t="s">
        <v>61</v>
      </c>
      <c r="BI149" s="27" t="s">
        <v>61</v>
      </c>
      <c r="BJ149" s="26">
        <v>-0.46</v>
      </c>
      <c r="BK149" s="26">
        <v>1.63</v>
      </c>
      <c r="BL149" s="26" t="s">
        <v>61</v>
      </c>
      <c r="BM149" s="26">
        <v>-0.74</v>
      </c>
      <c r="BN149" s="26">
        <v>-0.18</v>
      </c>
      <c r="BO149" s="26" t="s">
        <v>61</v>
      </c>
      <c r="BP149" s="26">
        <v>7.94</v>
      </c>
      <c r="BQ149" s="26" t="s">
        <v>61</v>
      </c>
      <c r="BR149" s="26" t="s">
        <v>61</v>
      </c>
      <c r="BS149" s="26">
        <v>9</v>
      </c>
      <c r="BT149" s="26">
        <v>1</v>
      </c>
      <c r="BU149" s="27" t="s">
        <v>61</v>
      </c>
      <c r="BV149" s="27" t="s">
        <v>61</v>
      </c>
      <c r="BW149" s="26">
        <v>-0.14099999999999999</v>
      </c>
      <c r="BX149" s="26">
        <v>1.76</v>
      </c>
      <c r="BY149" s="27" t="s">
        <v>61</v>
      </c>
      <c r="BZ149" s="26">
        <v>-0.44</v>
      </c>
      <c r="CA149" s="27">
        <v>0.15</v>
      </c>
      <c r="CB149" s="26" t="s">
        <v>61</v>
      </c>
      <c r="CC149" s="26" t="s">
        <v>60</v>
      </c>
      <c r="CD149" s="26" t="s">
        <v>60</v>
      </c>
      <c r="CE149" s="26" t="s">
        <v>59</v>
      </c>
      <c r="CF149" s="26"/>
      <c r="CG149" s="26"/>
      <c r="CH149" s="26" t="s">
        <v>59</v>
      </c>
      <c r="CI149" s="26" t="s">
        <v>59</v>
      </c>
      <c r="CJ149" s="26" t="s">
        <v>59</v>
      </c>
      <c r="CK149" s="26" t="s">
        <v>59</v>
      </c>
      <c r="CL149" s="26" t="s">
        <v>59</v>
      </c>
      <c r="CM149" s="26" t="s">
        <v>59</v>
      </c>
      <c r="CN149" s="26" t="s">
        <v>59</v>
      </c>
      <c r="CO149" s="26" t="s">
        <v>59</v>
      </c>
      <c r="CP149" s="26" t="s">
        <v>60</v>
      </c>
      <c r="CQ149" s="26" t="s">
        <v>60</v>
      </c>
      <c r="CR149" s="26" t="s">
        <v>59</v>
      </c>
      <c r="CS149" s="26"/>
      <c r="CT149" s="26"/>
      <c r="CU149" s="26" t="s">
        <v>59</v>
      </c>
      <c r="CV149" s="26" t="s">
        <v>59</v>
      </c>
      <c r="CW149" s="26" t="s">
        <v>59</v>
      </c>
      <c r="CX149" s="26" t="s">
        <v>59</v>
      </c>
      <c r="CY149" s="26" t="s">
        <v>59</v>
      </c>
      <c r="CZ149" s="26" t="s">
        <v>59</v>
      </c>
      <c r="DA149" s="26" t="s">
        <v>59</v>
      </c>
      <c r="DB149" s="26" t="s">
        <v>59</v>
      </c>
      <c r="DC149" s="26">
        <v>12</v>
      </c>
      <c r="DD149" s="29"/>
      <c r="DE149" s="22"/>
      <c r="DF149" s="22"/>
      <c r="DG149" s="26"/>
      <c r="DH149" s="27"/>
      <c r="DI149" s="22"/>
      <c r="DJ149" s="26"/>
    </row>
    <row r="150" spans="1:114" s="43" customFormat="1" ht="14">
      <c r="A150" s="49" t="s">
        <v>408</v>
      </c>
      <c r="B150" s="43">
        <v>12297</v>
      </c>
      <c r="C150" s="34">
        <v>2</v>
      </c>
      <c r="D150" s="43">
        <v>1</v>
      </c>
      <c r="E150" s="48" t="s">
        <v>139</v>
      </c>
      <c r="F150" s="26" t="s">
        <v>59</v>
      </c>
      <c r="G150" s="48">
        <f t="shared" si="2"/>
        <v>33</v>
      </c>
      <c r="H150" s="26" t="s">
        <v>59</v>
      </c>
      <c r="I150" s="26" t="s">
        <v>59</v>
      </c>
      <c r="J150" s="48" t="s">
        <v>59</v>
      </c>
      <c r="K150" s="26" t="s">
        <v>59</v>
      </c>
      <c r="L150" s="26" t="s">
        <v>59</v>
      </c>
      <c r="M150" s="26" t="s">
        <v>59</v>
      </c>
      <c r="N150" s="26" t="s">
        <v>59</v>
      </c>
      <c r="O150" s="26" t="s">
        <v>59</v>
      </c>
      <c r="P150" s="26" t="s">
        <v>59</v>
      </c>
      <c r="Q150" s="48" t="s">
        <v>59</v>
      </c>
      <c r="R150" s="48" t="s">
        <v>59</v>
      </c>
      <c r="S150" s="48" t="s">
        <v>59</v>
      </c>
      <c r="T150" s="48" t="s">
        <v>59</v>
      </c>
      <c r="U150" s="48">
        <v>20</v>
      </c>
      <c r="V150" s="48">
        <v>19</v>
      </c>
      <c r="W150" s="48" t="s">
        <v>59</v>
      </c>
      <c r="X150" s="48" t="s">
        <v>59</v>
      </c>
      <c r="Y150" s="69">
        <v>8.3000000000000007</v>
      </c>
      <c r="Z150" s="69" t="s">
        <v>61</v>
      </c>
      <c r="AA150" s="69" t="s">
        <v>61</v>
      </c>
      <c r="AB150" s="69" t="s">
        <v>61</v>
      </c>
      <c r="AC150" s="69" t="s">
        <v>61</v>
      </c>
      <c r="AD150" s="69">
        <v>8.3000000000000007</v>
      </c>
      <c r="AE150" s="69" t="s">
        <v>61</v>
      </c>
      <c r="AF150" s="69" t="s">
        <v>61</v>
      </c>
      <c r="AG150" s="69" t="s">
        <v>61</v>
      </c>
      <c r="AH150" s="69" t="s">
        <v>61</v>
      </c>
      <c r="AI150" s="69" t="s">
        <v>59</v>
      </c>
      <c r="AJ150" s="69" t="s">
        <v>59</v>
      </c>
      <c r="AK150" s="69" t="s">
        <v>59</v>
      </c>
      <c r="AL150" s="69" t="s">
        <v>59</v>
      </c>
      <c r="AM150" s="69" t="s">
        <v>59</v>
      </c>
      <c r="AN150" s="69" t="s">
        <v>59</v>
      </c>
      <c r="AO150" s="69" t="s">
        <v>59</v>
      </c>
      <c r="AP150" s="69" t="s">
        <v>59</v>
      </c>
      <c r="AQ150" s="69" t="s">
        <v>59</v>
      </c>
      <c r="AR150" s="69" t="s">
        <v>59</v>
      </c>
      <c r="AS150" s="69" t="s">
        <v>61</v>
      </c>
      <c r="AT150" s="69" t="s">
        <v>64</v>
      </c>
      <c r="AU150" s="69" t="s">
        <v>59</v>
      </c>
      <c r="AV150" s="69" t="s">
        <v>59</v>
      </c>
      <c r="AW150" s="69" t="s">
        <v>59</v>
      </c>
      <c r="AX150" s="69" t="s">
        <v>59</v>
      </c>
      <c r="AY150" s="215">
        <v>18</v>
      </c>
      <c r="AZ150" s="215">
        <v>15</v>
      </c>
      <c r="BA150" s="215" t="s">
        <v>59</v>
      </c>
      <c r="BB150" s="215" t="s">
        <v>59</v>
      </c>
      <c r="BC150" s="69">
        <v>7.8</v>
      </c>
      <c r="BD150" s="69" t="s">
        <v>61</v>
      </c>
      <c r="BE150" s="69" t="s">
        <v>61</v>
      </c>
      <c r="BF150" s="26">
        <v>9</v>
      </c>
      <c r="BG150" s="48">
        <v>1</v>
      </c>
      <c r="BH150" s="69" t="s">
        <v>61</v>
      </c>
      <c r="BI150" s="69" t="s">
        <v>61</v>
      </c>
      <c r="BJ150" s="69" t="s">
        <v>61</v>
      </c>
      <c r="BK150" s="69" t="s">
        <v>61</v>
      </c>
      <c r="BL150" s="69" t="s">
        <v>61</v>
      </c>
      <c r="BM150" s="69" t="s">
        <v>61</v>
      </c>
      <c r="BN150" s="69" t="s">
        <v>61</v>
      </c>
      <c r="BO150" s="69" t="s">
        <v>61</v>
      </c>
      <c r="BP150" s="69">
        <v>8</v>
      </c>
      <c r="BQ150" s="69" t="s">
        <v>61</v>
      </c>
      <c r="BR150" s="69" t="s">
        <v>61</v>
      </c>
      <c r="BS150" s="26">
        <v>9</v>
      </c>
      <c r="BT150" s="26">
        <v>1</v>
      </c>
      <c r="BU150" s="69" t="s">
        <v>61</v>
      </c>
      <c r="BV150" s="69" t="s">
        <v>61</v>
      </c>
      <c r="BW150" s="69" t="s">
        <v>61</v>
      </c>
      <c r="BX150" s="69" t="s">
        <v>61</v>
      </c>
      <c r="BY150" s="69" t="s">
        <v>61</v>
      </c>
      <c r="BZ150" s="69" t="s">
        <v>61</v>
      </c>
      <c r="CA150" s="69" t="s">
        <v>61</v>
      </c>
      <c r="CB150" s="69" t="s">
        <v>61</v>
      </c>
      <c r="CC150" s="69" t="s">
        <v>59</v>
      </c>
      <c r="CD150" s="69" t="s">
        <v>59</v>
      </c>
      <c r="CE150" s="69" t="s">
        <v>59</v>
      </c>
      <c r="CF150" s="69"/>
      <c r="CG150" s="69"/>
      <c r="CH150" s="69" t="s">
        <v>59</v>
      </c>
      <c r="CI150" s="69" t="s">
        <v>59</v>
      </c>
      <c r="CJ150" s="69" t="s">
        <v>59</v>
      </c>
      <c r="CK150" s="69" t="s">
        <v>59</v>
      </c>
      <c r="CL150" s="69" t="s">
        <v>59</v>
      </c>
      <c r="CM150" s="69" t="s">
        <v>59</v>
      </c>
      <c r="CN150" s="69" t="s">
        <v>59</v>
      </c>
      <c r="CO150" s="69" t="s">
        <v>59</v>
      </c>
      <c r="CP150" s="69" t="s">
        <v>59</v>
      </c>
      <c r="CQ150" s="69" t="s">
        <v>59</v>
      </c>
      <c r="CR150" s="69" t="s">
        <v>59</v>
      </c>
      <c r="CS150" s="69"/>
      <c r="CT150" s="69"/>
      <c r="CU150" s="69" t="s">
        <v>59</v>
      </c>
      <c r="CV150" s="69" t="s">
        <v>59</v>
      </c>
      <c r="CW150" s="69" t="s">
        <v>59</v>
      </c>
      <c r="CX150" s="69" t="s">
        <v>59</v>
      </c>
      <c r="CY150" s="69" t="s">
        <v>59</v>
      </c>
      <c r="CZ150" s="69" t="s">
        <v>59</v>
      </c>
      <c r="DA150" s="69" t="s">
        <v>59</v>
      </c>
      <c r="DB150" s="69" t="s">
        <v>59</v>
      </c>
      <c r="DC150" s="69">
        <v>7</v>
      </c>
      <c r="DD150" s="55"/>
    </row>
    <row r="151" spans="1:114" s="43" customFormat="1">
      <c r="A151" s="34" t="s">
        <v>262</v>
      </c>
      <c r="B151" s="34">
        <v>8384</v>
      </c>
      <c r="C151" s="34">
        <v>2</v>
      </c>
      <c r="D151" s="43">
        <v>1</v>
      </c>
      <c r="E151" s="26" t="s">
        <v>139</v>
      </c>
      <c r="F151" s="26" t="s">
        <v>59</v>
      </c>
      <c r="G151" s="48">
        <f t="shared" si="2"/>
        <v>154</v>
      </c>
      <c r="H151" s="26" t="s">
        <v>59</v>
      </c>
      <c r="I151" s="26" t="s">
        <v>59</v>
      </c>
      <c r="J151" s="26" t="s">
        <v>59</v>
      </c>
      <c r="K151" s="26" t="s">
        <v>59</v>
      </c>
      <c r="L151" s="26" t="s">
        <v>59</v>
      </c>
      <c r="M151" s="26" t="s">
        <v>59</v>
      </c>
      <c r="N151" s="26" t="s">
        <v>59</v>
      </c>
      <c r="O151" s="26" t="s">
        <v>59</v>
      </c>
      <c r="P151" s="26" t="s">
        <v>59</v>
      </c>
      <c r="Q151" s="26" t="s">
        <v>59</v>
      </c>
      <c r="R151" s="26" t="s">
        <v>59</v>
      </c>
      <c r="S151" s="26" t="s">
        <v>60</v>
      </c>
      <c r="T151" s="26" t="s">
        <v>60</v>
      </c>
      <c r="U151" s="26">
        <v>79</v>
      </c>
      <c r="V151" s="26">
        <v>75</v>
      </c>
      <c r="W151" s="26" t="s">
        <v>60</v>
      </c>
      <c r="X151" s="26" t="s">
        <v>60</v>
      </c>
      <c r="Y151" s="26">
        <v>8.4</v>
      </c>
      <c r="Z151" s="26">
        <v>1.8</v>
      </c>
      <c r="AA151" s="26" t="s">
        <v>61</v>
      </c>
      <c r="AB151" s="26" t="s">
        <v>61</v>
      </c>
      <c r="AC151" s="27" t="s">
        <v>61</v>
      </c>
      <c r="AD151" s="26">
        <v>8</v>
      </c>
      <c r="AE151" s="26">
        <v>1.5</v>
      </c>
      <c r="AF151" s="26" t="s">
        <v>61</v>
      </c>
      <c r="AG151" s="26" t="s">
        <v>61</v>
      </c>
      <c r="AH151" s="27" t="s">
        <v>61</v>
      </c>
      <c r="AI151" s="26" t="s">
        <v>60</v>
      </c>
      <c r="AJ151" s="26" t="s">
        <v>60</v>
      </c>
      <c r="AK151" s="26" t="s">
        <v>59</v>
      </c>
      <c r="AL151" s="26" t="s">
        <v>59</v>
      </c>
      <c r="AM151" s="26" t="s">
        <v>59</v>
      </c>
      <c r="AN151" s="26" t="s">
        <v>60</v>
      </c>
      <c r="AO151" s="26" t="s">
        <v>60</v>
      </c>
      <c r="AP151" s="26" t="s">
        <v>59</v>
      </c>
      <c r="AQ151" s="26" t="s">
        <v>59</v>
      </c>
      <c r="AR151" s="26" t="s">
        <v>59</v>
      </c>
      <c r="AS151" s="26">
        <v>0.21199999999999999</v>
      </c>
      <c r="AT151" s="26" t="s">
        <v>64</v>
      </c>
      <c r="AU151" s="26" t="s">
        <v>59</v>
      </c>
      <c r="AV151" s="26" t="s">
        <v>59</v>
      </c>
      <c r="AW151" s="26" t="s">
        <v>59</v>
      </c>
      <c r="AX151" s="26" t="s">
        <v>59</v>
      </c>
      <c r="AY151" s="186">
        <v>79</v>
      </c>
      <c r="AZ151" s="186">
        <v>75</v>
      </c>
      <c r="BA151" s="186" t="s">
        <v>60</v>
      </c>
      <c r="BB151" s="186" t="s">
        <v>60</v>
      </c>
      <c r="BC151" s="26">
        <v>8.3000000000000007</v>
      </c>
      <c r="BD151" s="26" t="s">
        <v>61</v>
      </c>
      <c r="BE151" s="26" t="s">
        <v>61</v>
      </c>
      <c r="BF151" s="26">
        <v>9</v>
      </c>
      <c r="BG151" s="48">
        <v>1</v>
      </c>
      <c r="BH151" s="27" t="s">
        <v>61</v>
      </c>
      <c r="BI151" s="27" t="s">
        <v>61</v>
      </c>
      <c r="BJ151" s="26">
        <v>-0.1</v>
      </c>
      <c r="BK151" s="26">
        <v>1.5</v>
      </c>
      <c r="BL151" s="26" t="s">
        <v>61</v>
      </c>
      <c r="BM151" s="26" t="s">
        <v>61</v>
      </c>
      <c r="BN151" s="26" t="s">
        <v>61</v>
      </c>
      <c r="BO151" s="26" t="s">
        <v>61</v>
      </c>
      <c r="BP151" s="26">
        <v>7.5</v>
      </c>
      <c r="BQ151" s="26" t="s">
        <v>61</v>
      </c>
      <c r="BR151" s="26" t="s">
        <v>61</v>
      </c>
      <c r="BS151" s="26">
        <v>9</v>
      </c>
      <c r="BT151" s="26">
        <v>1</v>
      </c>
      <c r="BU151" s="27" t="s">
        <v>61</v>
      </c>
      <c r="BV151" s="27" t="s">
        <v>61</v>
      </c>
      <c r="BW151" s="26">
        <v>-0.5</v>
      </c>
      <c r="BX151" s="26">
        <v>1.1000000000000001</v>
      </c>
      <c r="BY151" s="27" t="s">
        <v>61</v>
      </c>
      <c r="BZ151" s="26" t="s">
        <v>61</v>
      </c>
      <c r="CA151" s="27" t="s">
        <v>61</v>
      </c>
      <c r="CB151" s="26" t="s">
        <v>61</v>
      </c>
      <c r="CC151" s="26" t="s">
        <v>60</v>
      </c>
      <c r="CD151" s="26" t="s">
        <v>60</v>
      </c>
      <c r="CE151" s="26" t="s">
        <v>59</v>
      </c>
      <c r="CF151" s="26"/>
      <c r="CG151" s="26"/>
      <c r="CH151" s="26" t="s">
        <v>59</v>
      </c>
      <c r="CI151" s="26" t="s">
        <v>59</v>
      </c>
      <c r="CJ151" s="26" t="s">
        <v>59</v>
      </c>
      <c r="CK151" s="26" t="s">
        <v>59</v>
      </c>
      <c r="CL151" s="26" t="s">
        <v>59</v>
      </c>
      <c r="CM151" s="26" t="s">
        <v>59</v>
      </c>
      <c r="CN151" s="26" t="s">
        <v>59</v>
      </c>
      <c r="CO151" s="26" t="s">
        <v>59</v>
      </c>
      <c r="CP151" s="26" t="s">
        <v>60</v>
      </c>
      <c r="CQ151" s="26" t="s">
        <v>60</v>
      </c>
      <c r="CR151" s="26" t="s">
        <v>59</v>
      </c>
      <c r="CS151" s="26"/>
      <c r="CT151" s="26"/>
      <c r="CU151" s="26" t="s">
        <v>59</v>
      </c>
      <c r="CV151" s="26" t="s">
        <v>59</v>
      </c>
      <c r="CW151" s="26" t="s">
        <v>59</v>
      </c>
      <c r="CX151" s="26" t="s">
        <v>59</v>
      </c>
      <c r="CY151" s="26" t="s">
        <v>59</v>
      </c>
      <c r="CZ151" s="26" t="s">
        <v>59</v>
      </c>
      <c r="DA151" s="26" t="s">
        <v>59</v>
      </c>
      <c r="DB151" s="26" t="s">
        <v>59</v>
      </c>
      <c r="DC151" s="26">
        <v>12</v>
      </c>
      <c r="DD151" s="29"/>
      <c r="DE151" s="22"/>
      <c r="DF151" s="22"/>
      <c r="DG151" s="26"/>
      <c r="DH151" s="27"/>
      <c r="DI151" s="22"/>
      <c r="DJ151" s="26"/>
    </row>
    <row r="152" spans="1:114" s="43" customFormat="1" ht="14">
      <c r="A152" s="49" t="s">
        <v>364</v>
      </c>
      <c r="B152" s="43">
        <v>10312</v>
      </c>
      <c r="C152" s="34">
        <v>2</v>
      </c>
      <c r="D152" s="43">
        <v>1</v>
      </c>
      <c r="E152" s="48" t="s">
        <v>139</v>
      </c>
      <c r="F152" s="26" t="s">
        <v>59</v>
      </c>
      <c r="G152" s="48">
        <f t="shared" si="2"/>
        <v>245</v>
      </c>
      <c r="H152" s="26" t="s">
        <v>59</v>
      </c>
      <c r="I152" s="26" t="s">
        <v>59</v>
      </c>
      <c r="J152" s="48" t="s">
        <v>59</v>
      </c>
      <c r="K152" s="26" t="s">
        <v>59</v>
      </c>
      <c r="L152" s="26" t="s">
        <v>59</v>
      </c>
      <c r="M152" s="26" t="s">
        <v>59</v>
      </c>
      <c r="N152" s="26" t="s">
        <v>59</v>
      </c>
      <c r="O152" s="26" t="s">
        <v>59</v>
      </c>
      <c r="P152" s="26" t="s">
        <v>59</v>
      </c>
      <c r="Q152" s="48" t="s">
        <v>59</v>
      </c>
      <c r="R152" s="48" t="s">
        <v>59</v>
      </c>
      <c r="S152" s="48" t="s">
        <v>59</v>
      </c>
      <c r="T152" s="48" t="s">
        <v>59</v>
      </c>
      <c r="U152" s="48">
        <v>149</v>
      </c>
      <c r="V152" s="48">
        <v>146</v>
      </c>
      <c r="W152" s="48" t="s">
        <v>59</v>
      </c>
      <c r="X152" s="48" t="s">
        <v>59</v>
      </c>
      <c r="Y152" s="69">
        <v>8.4</v>
      </c>
      <c r="Z152" s="69">
        <v>2.33</v>
      </c>
      <c r="AA152" s="69" t="s">
        <v>61</v>
      </c>
      <c r="AB152" s="69" t="s">
        <v>61</v>
      </c>
      <c r="AC152" s="69" t="s">
        <v>61</v>
      </c>
      <c r="AD152" s="69">
        <v>7.6</v>
      </c>
      <c r="AE152" s="69">
        <v>1.75</v>
      </c>
      <c r="AF152" s="69" t="s">
        <v>61</v>
      </c>
      <c r="AG152" s="69" t="s">
        <v>61</v>
      </c>
      <c r="AH152" s="69" t="s">
        <v>61</v>
      </c>
      <c r="AI152" s="69" t="s">
        <v>59</v>
      </c>
      <c r="AJ152" s="69" t="s">
        <v>59</v>
      </c>
      <c r="AK152" s="69" t="s">
        <v>59</v>
      </c>
      <c r="AL152" s="69" t="s">
        <v>59</v>
      </c>
      <c r="AM152" s="69" t="s">
        <v>59</v>
      </c>
      <c r="AN152" s="69" t="s">
        <v>59</v>
      </c>
      <c r="AO152" s="69" t="s">
        <v>59</v>
      </c>
      <c r="AP152" s="69" t="s">
        <v>59</v>
      </c>
      <c r="AQ152" s="69" t="s">
        <v>59</v>
      </c>
      <c r="AR152" s="69" t="s">
        <v>59</v>
      </c>
      <c r="AS152" s="69">
        <v>6.0000000000000001E-3</v>
      </c>
      <c r="AT152" s="69" t="s">
        <v>64</v>
      </c>
      <c r="AU152" s="69" t="s">
        <v>59</v>
      </c>
      <c r="AV152" s="69" t="s">
        <v>59</v>
      </c>
      <c r="AW152" s="69" t="s">
        <v>59</v>
      </c>
      <c r="AX152" s="69" t="s">
        <v>59</v>
      </c>
      <c r="AY152" s="215">
        <v>130</v>
      </c>
      <c r="AZ152" s="215">
        <v>115</v>
      </c>
      <c r="BA152" s="215" t="s">
        <v>59</v>
      </c>
      <c r="BB152" s="215" t="s">
        <v>59</v>
      </c>
      <c r="BC152" s="69">
        <v>7.74</v>
      </c>
      <c r="BD152" s="69" t="s">
        <v>61</v>
      </c>
      <c r="BE152" s="69" t="s">
        <v>61</v>
      </c>
      <c r="BF152" s="26">
        <v>9</v>
      </c>
      <c r="BG152" s="48">
        <v>1</v>
      </c>
      <c r="BH152" s="69" t="s">
        <v>61</v>
      </c>
      <c r="BI152" s="69" t="s">
        <v>61</v>
      </c>
      <c r="BJ152" s="69" t="s">
        <v>61</v>
      </c>
      <c r="BK152" s="69" t="s">
        <v>61</v>
      </c>
      <c r="BL152" s="69" t="s">
        <v>61</v>
      </c>
      <c r="BM152" s="69" t="s">
        <v>61</v>
      </c>
      <c r="BN152" s="69" t="s">
        <v>61</v>
      </c>
      <c r="BO152" s="69" t="s">
        <v>61</v>
      </c>
      <c r="BP152" s="69">
        <v>7.66</v>
      </c>
      <c r="BQ152" s="69" t="s">
        <v>61</v>
      </c>
      <c r="BR152" s="69" t="s">
        <v>61</v>
      </c>
      <c r="BS152" s="26">
        <v>9</v>
      </c>
      <c r="BT152" s="26">
        <v>1</v>
      </c>
      <c r="BU152" s="69" t="s">
        <v>61</v>
      </c>
      <c r="BV152" s="69" t="s">
        <v>61</v>
      </c>
      <c r="BW152" s="69" t="s">
        <v>61</v>
      </c>
      <c r="BX152" s="69" t="s">
        <v>61</v>
      </c>
      <c r="BY152" s="69" t="s">
        <v>61</v>
      </c>
      <c r="BZ152" s="69" t="s">
        <v>61</v>
      </c>
      <c r="CA152" s="69" t="s">
        <v>61</v>
      </c>
      <c r="CB152" s="69" t="s">
        <v>61</v>
      </c>
      <c r="CC152" s="69" t="s">
        <v>59</v>
      </c>
      <c r="CD152" s="69" t="s">
        <v>59</v>
      </c>
      <c r="CE152" s="69" t="s">
        <v>59</v>
      </c>
      <c r="CF152" s="69"/>
      <c r="CG152" s="69"/>
      <c r="CH152" s="69" t="s">
        <v>59</v>
      </c>
      <c r="CI152" s="69" t="s">
        <v>59</v>
      </c>
      <c r="CJ152" s="69" t="s">
        <v>59</v>
      </c>
      <c r="CK152" s="69" t="s">
        <v>59</v>
      </c>
      <c r="CL152" s="69" t="s">
        <v>59</v>
      </c>
      <c r="CM152" s="69" t="s">
        <v>59</v>
      </c>
      <c r="CN152" s="69" t="s">
        <v>59</v>
      </c>
      <c r="CO152" s="69" t="s">
        <v>59</v>
      </c>
      <c r="CP152" s="69" t="s">
        <v>59</v>
      </c>
      <c r="CQ152" s="69" t="s">
        <v>59</v>
      </c>
      <c r="CR152" s="69" t="s">
        <v>59</v>
      </c>
      <c r="CS152" s="69"/>
      <c r="CT152" s="69"/>
      <c r="CU152" s="69" t="s">
        <v>59</v>
      </c>
      <c r="CV152" s="69" t="s">
        <v>59</v>
      </c>
      <c r="CW152" s="69" t="s">
        <v>59</v>
      </c>
      <c r="CX152" s="69" t="s">
        <v>59</v>
      </c>
      <c r="CY152" s="69" t="s">
        <v>59</v>
      </c>
      <c r="CZ152" s="69" t="s">
        <v>59</v>
      </c>
      <c r="DA152" s="69" t="s">
        <v>59</v>
      </c>
      <c r="DB152" s="69" t="s">
        <v>59</v>
      </c>
      <c r="DC152" s="69">
        <v>12</v>
      </c>
      <c r="DD152" s="55"/>
    </row>
    <row r="153" spans="1:114" s="43" customFormat="1">
      <c r="A153" s="67" t="s">
        <v>402</v>
      </c>
      <c r="B153" s="67">
        <v>12215</v>
      </c>
      <c r="C153" s="34">
        <v>2</v>
      </c>
      <c r="D153" s="43">
        <v>1</v>
      </c>
      <c r="E153" s="48" t="s">
        <v>139</v>
      </c>
      <c r="F153" s="26" t="s">
        <v>59</v>
      </c>
      <c r="G153" s="48">
        <f t="shared" si="2"/>
        <v>156</v>
      </c>
      <c r="H153" s="26" t="s">
        <v>59</v>
      </c>
      <c r="I153" s="26" t="s">
        <v>59</v>
      </c>
      <c r="J153" s="48" t="s">
        <v>59</v>
      </c>
      <c r="K153" s="26" t="s">
        <v>59</v>
      </c>
      <c r="L153" s="26" t="s">
        <v>59</v>
      </c>
      <c r="M153" s="26" t="s">
        <v>59</v>
      </c>
      <c r="N153" s="26" t="s">
        <v>59</v>
      </c>
      <c r="O153" s="26" t="s">
        <v>59</v>
      </c>
      <c r="P153" s="26" t="s">
        <v>59</v>
      </c>
      <c r="Q153" s="48" t="s">
        <v>59</v>
      </c>
      <c r="R153" s="48" t="s">
        <v>59</v>
      </c>
      <c r="S153" s="48" t="s">
        <v>59</v>
      </c>
      <c r="T153" s="48" t="s">
        <v>59</v>
      </c>
      <c r="U153" s="48">
        <v>79</v>
      </c>
      <c r="V153" s="48">
        <v>77</v>
      </c>
      <c r="W153" s="48" t="s">
        <v>59</v>
      </c>
      <c r="X153" s="48" t="s">
        <v>59</v>
      </c>
      <c r="Y153" s="48">
        <v>8.4</v>
      </c>
      <c r="Z153" s="222">
        <v>2.67</v>
      </c>
      <c r="AA153" s="48" t="s">
        <v>61</v>
      </c>
      <c r="AB153" s="48">
        <v>8.4</v>
      </c>
      <c r="AC153" s="48" t="s">
        <v>403</v>
      </c>
      <c r="AD153" s="48">
        <v>8.5</v>
      </c>
      <c r="AE153" s="222">
        <v>2.52</v>
      </c>
      <c r="AF153" s="48" t="s">
        <v>61</v>
      </c>
      <c r="AG153" s="48">
        <v>8.5</v>
      </c>
      <c r="AH153" s="48" t="s">
        <v>404</v>
      </c>
      <c r="AI153" s="48" t="s">
        <v>59</v>
      </c>
      <c r="AJ153" s="48" t="s">
        <v>59</v>
      </c>
      <c r="AK153" s="48" t="s">
        <v>59</v>
      </c>
      <c r="AL153" s="48" t="s">
        <v>59</v>
      </c>
      <c r="AM153" s="48" t="s">
        <v>59</v>
      </c>
      <c r="AN153" s="48" t="s">
        <v>59</v>
      </c>
      <c r="AO153" s="48" t="s">
        <v>59</v>
      </c>
      <c r="AP153" s="48" t="s">
        <v>59</v>
      </c>
      <c r="AQ153" s="48" t="s">
        <v>59</v>
      </c>
      <c r="AR153" s="48" t="s">
        <v>59</v>
      </c>
      <c r="AS153" s="48">
        <v>0.83799999999999997</v>
      </c>
      <c r="AT153" s="48" t="s">
        <v>64</v>
      </c>
      <c r="AU153" s="48" t="s">
        <v>59</v>
      </c>
      <c r="AV153" s="48" t="s">
        <v>59</v>
      </c>
      <c r="AW153" s="48" t="s">
        <v>59</v>
      </c>
      <c r="AX153" s="48" t="s">
        <v>59</v>
      </c>
      <c r="AY153" s="73">
        <v>79</v>
      </c>
      <c r="AZ153" s="73">
        <v>77</v>
      </c>
      <c r="BA153" s="73" t="s">
        <v>59</v>
      </c>
      <c r="BB153" s="73" t="s">
        <v>59</v>
      </c>
      <c r="BC153" s="48">
        <v>8.5</v>
      </c>
      <c r="BD153" s="48" t="s">
        <v>61</v>
      </c>
      <c r="BE153" s="48" t="s">
        <v>61</v>
      </c>
      <c r="BF153" s="26">
        <v>9</v>
      </c>
      <c r="BG153" s="48">
        <v>1</v>
      </c>
      <c r="BH153" s="48" t="s">
        <v>61</v>
      </c>
      <c r="BI153" s="48" t="s">
        <v>61</v>
      </c>
      <c r="BJ153" s="48">
        <v>0.1</v>
      </c>
      <c r="BK153" s="48" t="s">
        <v>61</v>
      </c>
      <c r="BL153" s="48" t="s">
        <v>61</v>
      </c>
      <c r="BM153" s="48" t="s">
        <v>61</v>
      </c>
      <c r="BN153" s="48" t="s">
        <v>61</v>
      </c>
      <c r="BO153" s="48" t="s">
        <v>61</v>
      </c>
      <c r="BP153" s="48">
        <v>7.7</v>
      </c>
      <c r="BQ153" s="48" t="s">
        <v>61</v>
      </c>
      <c r="BR153" s="48" t="s">
        <v>61</v>
      </c>
      <c r="BS153" s="26">
        <v>9</v>
      </c>
      <c r="BT153" s="26">
        <v>1</v>
      </c>
      <c r="BU153" s="48" t="s">
        <v>61</v>
      </c>
      <c r="BV153" s="48" t="s">
        <v>61</v>
      </c>
      <c r="BW153" s="48">
        <f>-0.8</f>
        <v>-0.8</v>
      </c>
      <c r="BX153" s="48" t="s">
        <v>61</v>
      </c>
      <c r="BY153" s="48" t="s">
        <v>61</v>
      </c>
      <c r="BZ153" s="48" t="s">
        <v>61</v>
      </c>
      <c r="CA153" s="48" t="s">
        <v>61</v>
      </c>
      <c r="CB153" s="48" t="s">
        <v>61</v>
      </c>
      <c r="CC153" s="48" t="s">
        <v>59</v>
      </c>
      <c r="CD153" s="48" t="s">
        <v>59</v>
      </c>
      <c r="CE153" s="48" t="s">
        <v>59</v>
      </c>
      <c r="CF153" s="48"/>
      <c r="CG153" s="48"/>
      <c r="CH153" s="48" t="s">
        <v>59</v>
      </c>
      <c r="CI153" s="48" t="s">
        <v>59</v>
      </c>
      <c r="CJ153" s="48" t="s">
        <v>59</v>
      </c>
      <c r="CK153" s="48" t="s">
        <v>59</v>
      </c>
      <c r="CL153" s="48" t="s">
        <v>59</v>
      </c>
      <c r="CM153" s="48" t="s">
        <v>59</v>
      </c>
      <c r="CN153" s="48" t="s">
        <v>59</v>
      </c>
      <c r="CO153" s="48" t="s">
        <v>59</v>
      </c>
      <c r="CP153" s="48" t="s">
        <v>59</v>
      </c>
      <c r="CQ153" s="48" t="s">
        <v>59</v>
      </c>
      <c r="CR153" s="48" t="s">
        <v>59</v>
      </c>
      <c r="CS153" s="48"/>
      <c r="CT153" s="48"/>
      <c r="CU153" s="48" t="s">
        <v>59</v>
      </c>
      <c r="CV153" s="48" t="s">
        <v>59</v>
      </c>
      <c r="CW153" s="48" t="s">
        <v>59</v>
      </c>
      <c r="CX153" s="48" t="s">
        <v>59</v>
      </c>
      <c r="CY153" s="48" t="s">
        <v>59</v>
      </c>
      <c r="CZ153" s="48" t="s">
        <v>59</v>
      </c>
      <c r="DA153" s="48" t="s">
        <v>59</v>
      </c>
      <c r="DB153" s="48" t="s">
        <v>59</v>
      </c>
      <c r="DC153" s="48">
        <v>6</v>
      </c>
      <c r="DD153" s="55"/>
    </row>
    <row r="154" spans="1:114" s="43" customFormat="1" ht="14">
      <c r="A154" s="34" t="s">
        <v>153</v>
      </c>
      <c r="B154" s="34">
        <v>553</v>
      </c>
      <c r="C154" s="34">
        <v>2</v>
      </c>
      <c r="D154" s="43">
        <v>1</v>
      </c>
      <c r="E154" s="26" t="s">
        <v>139</v>
      </c>
      <c r="F154" s="26" t="s">
        <v>59</v>
      </c>
      <c r="G154" s="48">
        <f t="shared" si="2"/>
        <v>164</v>
      </c>
      <c r="H154" s="26" t="s">
        <v>59</v>
      </c>
      <c r="I154" s="26" t="s">
        <v>60</v>
      </c>
      <c r="J154" s="26" t="s">
        <v>59</v>
      </c>
      <c r="K154" s="26" t="s">
        <v>59</v>
      </c>
      <c r="L154" s="26" t="s">
        <v>59</v>
      </c>
      <c r="M154" s="26" t="s">
        <v>59</v>
      </c>
      <c r="N154" s="26" t="s">
        <v>59</v>
      </c>
      <c r="O154" s="26" t="s">
        <v>59</v>
      </c>
      <c r="P154" s="26" t="s">
        <v>59</v>
      </c>
      <c r="Q154" s="26" t="s">
        <v>60</v>
      </c>
      <c r="R154" s="26" t="s">
        <v>60</v>
      </c>
      <c r="S154" s="26" t="s">
        <v>60</v>
      </c>
      <c r="T154" s="26" t="s">
        <v>60</v>
      </c>
      <c r="U154" s="26">
        <v>101</v>
      </c>
      <c r="V154" s="26">
        <v>100</v>
      </c>
      <c r="W154" s="26" t="s">
        <v>60</v>
      </c>
      <c r="X154" s="26" t="s">
        <v>60</v>
      </c>
      <c r="Y154" s="26">
        <v>8.49</v>
      </c>
      <c r="Z154" s="26">
        <v>1.59</v>
      </c>
      <c r="AA154" s="26" t="s">
        <v>61</v>
      </c>
      <c r="AB154" s="26" t="s">
        <v>61</v>
      </c>
      <c r="AC154" s="27" t="s">
        <v>61</v>
      </c>
      <c r="AD154" s="26">
        <v>8.67</v>
      </c>
      <c r="AE154" s="26">
        <v>1.79</v>
      </c>
      <c r="AF154" s="26" t="s">
        <v>61</v>
      </c>
      <c r="AG154" s="26" t="s">
        <v>61</v>
      </c>
      <c r="AH154" s="27" t="s">
        <v>61</v>
      </c>
      <c r="AI154" s="26" t="s">
        <v>60</v>
      </c>
      <c r="AJ154" s="26" t="s">
        <v>60</v>
      </c>
      <c r="AK154" s="26" t="s">
        <v>59</v>
      </c>
      <c r="AL154" s="26" t="s">
        <v>59</v>
      </c>
      <c r="AM154" s="26" t="s">
        <v>59</v>
      </c>
      <c r="AN154" s="26" t="s">
        <v>60</v>
      </c>
      <c r="AO154" s="26" t="s">
        <v>60</v>
      </c>
      <c r="AP154" s="26" t="s">
        <v>59</v>
      </c>
      <c r="AQ154" s="26" t="s">
        <v>59</v>
      </c>
      <c r="AR154" s="26" t="s">
        <v>59</v>
      </c>
      <c r="AS154" s="26">
        <v>0.45179999999999998</v>
      </c>
      <c r="AT154" s="26" t="s">
        <v>64</v>
      </c>
      <c r="AU154" s="26" t="s">
        <v>59</v>
      </c>
      <c r="AV154" s="26" t="s">
        <v>59</v>
      </c>
      <c r="AW154" s="26" t="s">
        <v>59</v>
      </c>
      <c r="AX154" s="26" t="s">
        <v>59</v>
      </c>
      <c r="AY154" s="186">
        <f>101-23</f>
        <v>78</v>
      </c>
      <c r="AZ154" s="186">
        <f>100-14</f>
        <v>86</v>
      </c>
      <c r="BA154" s="186" t="s">
        <v>60</v>
      </c>
      <c r="BB154" s="186" t="s">
        <v>60</v>
      </c>
      <c r="BC154" s="26">
        <v>8.3000000000000007</v>
      </c>
      <c r="BD154" s="26" t="s">
        <v>61</v>
      </c>
      <c r="BE154" s="26" t="s">
        <v>61</v>
      </c>
      <c r="BF154" s="26">
        <v>9</v>
      </c>
      <c r="BG154" s="48">
        <v>1</v>
      </c>
      <c r="BH154" s="27" t="s">
        <v>61</v>
      </c>
      <c r="BI154" s="27" t="s">
        <v>61</v>
      </c>
      <c r="BJ154" s="26">
        <v>-0.19</v>
      </c>
      <c r="BK154" s="26">
        <v>1.1599999999999999</v>
      </c>
      <c r="BL154" s="26" t="s">
        <v>61</v>
      </c>
      <c r="BM154" s="26" t="s">
        <v>61</v>
      </c>
      <c r="BN154" s="26" t="s">
        <v>61</v>
      </c>
      <c r="BO154" s="26" t="s">
        <v>61</v>
      </c>
      <c r="BP154" s="26">
        <v>8.27</v>
      </c>
      <c r="BQ154" s="69" t="s">
        <v>61</v>
      </c>
      <c r="BR154" s="26" t="s">
        <v>61</v>
      </c>
      <c r="BS154" s="26">
        <v>9</v>
      </c>
      <c r="BT154" s="26">
        <v>1</v>
      </c>
      <c r="BU154" s="27" t="s">
        <v>61</v>
      </c>
      <c r="BV154" s="27" t="s">
        <v>61</v>
      </c>
      <c r="BW154" s="26">
        <v>-0.4</v>
      </c>
      <c r="BX154" s="26">
        <v>0.65</v>
      </c>
      <c r="BY154" s="27" t="s">
        <v>61</v>
      </c>
      <c r="BZ154" s="26" t="s">
        <v>61</v>
      </c>
      <c r="CA154" s="27" t="s">
        <v>61</v>
      </c>
      <c r="CB154" s="26">
        <v>1.2999999999999999E-2</v>
      </c>
      <c r="CC154" s="26" t="s">
        <v>60</v>
      </c>
      <c r="CD154" s="26" t="s">
        <v>60</v>
      </c>
      <c r="CE154" s="26" t="s">
        <v>59</v>
      </c>
      <c r="CF154" s="26"/>
      <c r="CG154" s="26"/>
      <c r="CH154" s="26" t="s">
        <v>59</v>
      </c>
      <c r="CI154" s="26" t="s">
        <v>59</v>
      </c>
      <c r="CJ154" s="26" t="s">
        <v>59</v>
      </c>
      <c r="CK154" s="26" t="s">
        <v>59</v>
      </c>
      <c r="CL154" s="26" t="s">
        <v>59</v>
      </c>
      <c r="CM154" s="26" t="s">
        <v>59</v>
      </c>
      <c r="CN154" s="26" t="s">
        <v>59</v>
      </c>
      <c r="CO154" s="26" t="s">
        <v>59</v>
      </c>
      <c r="CP154" s="26" t="s">
        <v>60</v>
      </c>
      <c r="CQ154" s="26" t="s">
        <v>60</v>
      </c>
      <c r="CR154" s="26" t="s">
        <v>59</v>
      </c>
      <c r="CS154" s="26"/>
      <c r="CT154" s="26"/>
      <c r="CU154" s="26" t="s">
        <v>59</v>
      </c>
      <c r="CV154" s="26" t="s">
        <v>59</v>
      </c>
      <c r="CW154" s="26" t="s">
        <v>59</v>
      </c>
      <c r="CX154" s="26" t="s">
        <v>59</v>
      </c>
      <c r="CY154" s="26" t="s">
        <v>59</v>
      </c>
      <c r="CZ154" s="26" t="s">
        <v>59</v>
      </c>
      <c r="DA154" s="26" t="s">
        <v>59</v>
      </c>
      <c r="DB154" s="26" t="s">
        <v>59</v>
      </c>
      <c r="DC154" s="26">
        <v>15</v>
      </c>
      <c r="DD154" s="29"/>
      <c r="DE154" s="22"/>
      <c r="DF154" s="22"/>
      <c r="DG154" s="26"/>
      <c r="DH154" s="27"/>
      <c r="DI154" s="22"/>
      <c r="DJ154" s="26"/>
    </row>
    <row r="155" spans="1:114" s="43" customFormat="1">
      <c r="A155" s="34" t="s">
        <v>230</v>
      </c>
      <c r="B155" s="34">
        <v>6241</v>
      </c>
      <c r="C155" s="34">
        <v>2</v>
      </c>
      <c r="D155" s="43">
        <v>1</v>
      </c>
      <c r="E155" s="26" t="s">
        <v>139</v>
      </c>
      <c r="F155" s="26" t="s">
        <v>59</v>
      </c>
      <c r="G155" s="48">
        <f t="shared" si="2"/>
        <v>157</v>
      </c>
      <c r="H155" s="26" t="s">
        <v>59</v>
      </c>
      <c r="I155" s="26" t="s">
        <v>60</v>
      </c>
      <c r="J155" s="26" t="s">
        <v>59</v>
      </c>
      <c r="K155" s="26" t="s">
        <v>59</v>
      </c>
      <c r="L155" s="26" t="s">
        <v>59</v>
      </c>
      <c r="M155" s="26" t="s">
        <v>59</v>
      </c>
      <c r="N155" s="26" t="s">
        <v>59</v>
      </c>
      <c r="O155" s="26" t="s">
        <v>59</v>
      </c>
      <c r="P155" s="26" t="s">
        <v>59</v>
      </c>
      <c r="Q155" s="26" t="s">
        <v>60</v>
      </c>
      <c r="R155" s="26" t="s">
        <v>60</v>
      </c>
      <c r="S155" s="26" t="s">
        <v>60</v>
      </c>
      <c r="T155" s="26" t="s">
        <v>60</v>
      </c>
      <c r="U155" s="26">
        <v>78</v>
      </c>
      <c r="V155" s="26">
        <v>79</v>
      </c>
      <c r="W155" s="26" t="s">
        <v>60</v>
      </c>
      <c r="X155" s="26" t="s">
        <v>60</v>
      </c>
      <c r="Y155" s="26">
        <v>8.5</v>
      </c>
      <c r="Z155" s="26">
        <v>1.6</v>
      </c>
      <c r="AA155" s="26" t="s">
        <v>61</v>
      </c>
      <c r="AB155" s="26" t="s">
        <v>61</v>
      </c>
      <c r="AC155" s="27" t="s">
        <v>61</v>
      </c>
      <c r="AD155" s="26">
        <v>8.4</v>
      </c>
      <c r="AE155" s="26">
        <v>1.4</v>
      </c>
      <c r="AF155" s="26" t="s">
        <v>61</v>
      </c>
      <c r="AG155" s="26" t="s">
        <v>61</v>
      </c>
      <c r="AH155" s="27" t="s">
        <v>61</v>
      </c>
      <c r="AI155" s="26" t="s">
        <v>60</v>
      </c>
      <c r="AJ155" s="26" t="s">
        <v>60</v>
      </c>
      <c r="AK155" s="26" t="s">
        <v>59</v>
      </c>
      <c r="AL155" s="26" t="s">
        <v>59</v>
      </c>
      <c r="AM155" s="26" t="s">
        <v>59</v>
      </c>
      <c r="AN155" s="26" t="s">
        <v>60</v>
      </c>
      <c r="AO155" s="26" t="s">
        <v>60</v>
      </c>
      <c r="AP155" s="26" t="s">
        <v>59</v>
      </c>
      <c r="AQ155" s="26" t="s">
        <v>59</v>
      </c>
      <c r="AR155" s="26" t="s">
        <v>59</v>
      </c>
      <c r="AS155" s="26">
        <v>0.45</v>
      </c>
      <c r="AT155" s="26" t="s">
        <v>64</v>
      </c>
      <c r="AU155" s="26" t="s">
        <v>59</v>
      </c>
      <c r="AV155" s="26" t="s">
        <v>59</v>
      </c>
      <c r="AW155" s="26" t="s">
        <v>59</v>
      </c>
      <c r="AX155" s="26" t="s">
        <v>59</v>
      </c>
      <c r="AY155" s="186">
        <v>78</v>
      </c>
      <c r="AZ155" s="186">
        <v>79</v>
      </c>
      <c r="BA155" s="186" t="s">
        <v>60</v>
      </c>
      <c r="BB155" s="186" t="s">
        <v>60</v>
      </c>
      <c r="BC155" s="26">
        <v>8.35</v>
      </c>
      <c r="BD155" s="26" t="s">
        <v>61</v>
      </c>
      <c r="BE155" s="26" t="s">
        <v>61</v>
      </c>
      <c r="BF155" s="26">
        <v>9</v>
      </c>
      <c r="BG155" s="48">
        <v>1</v>
      </c>
      <c r="BH155" s="27" t="s">
        <v>61</v>
      </c>
      <c r="BI155" s="27" t="s">
        <v>61</v>
      </c>
      <c r="BJ155" s="26">
        <v>-0.15</v>
      </c>
      <c r="BK155" s="26">
        <v>1</v>
      </c>
      <c r="BL155" s="26" t="s">
        <v>61</v>
      </c>
      <c r="BM155" s="26" t="s">
        <v>61</v>
      </c>
      <c r="BN155" s="26" t="s">
        <v>61</v>
      </c>
      <c r="BO155" s="26" t="s">
        <v>61</v>
      </c>
      <c r="BP155" s="26">
        <v>7.77</v>
      </c>
      <c r="BQ155" s="26" t="s">
        <v>61</v>
      </c>
      <c r="BR155" s="26" t="s">
        <v>61</v>
      </c>
      <c r="BS155" s="26">
        <v>9</v>
      </c>
      <c r="BT155" s="26">
        <v>1</v>
      </c>
      <c r="BU155" s="27" t="s">
        <v>61</v>
      </c>
      <c r="BV155" s="27" t="s">
        <v>61</v>
      </c>
      <c r="BW155" s="26">
        <v>-0.63</v>
      </c>
      <c r="BX155" s="26">
        <v>1.5</v>
      </c>
      <c r="BY155" s="27" t="s">
        <v>61</v>
      </c>
      <c r="BZ155" s="26" t="s">
        <v>61</v>
      </c>
      <c r="CA155" s="27" t="s">
        <v>61</v>
      </c>
      <c r="CB155" s="26" t="s">
        <v>61</v>
      </c>
      <c r="CC155" s="26" t="s">
        <v>60</v>
      </c>
      <c r="CD155" s="26" t="s">
        <v>60</v>
      </c>
      <c r="CE155" s="26" t="s">
        <v>59</v>
      </c>
      <c r="CF155" s="26"/>
      <c r="CG155" s="26"/>
      <c r="CH155" s="26" t="s">
        <v>59</v>
      </c>
      <c r="CI155" s="26" t="s">
        <v>59</v>
      </c>
      <c r="CJ155" s="26" t="s">
        <v>59</v>
      </c>
      <c r="CK155" s="26" t="s">
        <v>59</v>
      </c>
      <c r="CL155" s="26" t="s">
        <v>59</v>
      </c>
      <c r="CM155" s="26" t="s">
        <v>59</v>
      </c>
      <c r="CN155" s="26" t="s">
        <v>59</v>
      </c>
      <c r="CO155" s="26" t="s">
        <v>59</v>
      </c>
      <c r="CP155" s="26" t="s">
        <v>60</v>
      </c>
      <c r="CQ155" s="26" t="s">
        <v>60</v>
      </c>
      <c r="CR155" s="26" t="s">
        <v>59</v>
      </c>
      <c r="CS155" s="26"/>
      <c r="CT155" s="26"/>
      <c r="CU155" s="26" t="s">
        <v>59</v>
      </c>
      <c r="CV155" s="26" t="s">
        <v>59</v>
      </c>
      <c r="CW155" s="26" t="s">
        <v>59</v>
      </c>
      <c r="CX155" s="26" t="s">
        <v>59</v>
      </c>
      <c r="CY155" s="26" t="s">
        <v>59</v>
      </c>
      <c r="CZ155" s="26" t="s">
        <v>59</v>
      </c>
      <c r="DA155" s="26" t="s">
        <v>59</v>
      </c>
      <c r="DB155" s="26" t="s">
        <v>59</v>
      </c>
      <c r="DC155" s="26">
        <v>24</v>
      </c>
      <c r="DD155" s="29"/>
      <c r="DE155" s="22"/>
      <c r="DF155" s="22"/>
      <c r="DG155" s="26"/>
      <c r="DH155" s="27"/>
      <c r="DI155" s="22"/>
      <c r="DJ155" s="26"/>
    </row>
    <row r="156" spans="1:114" s="43" customFormat="1">
      <c r="A156" s="34" t="s">
        <v>231</v>
      </c>
      <c r="B156" s="209">
        <v>6253</v>
      </c>
      <c r="C156" s="43">
        <v>4</v>
      </c>
      <c r="D156" s="43">
        <v>1</v>
      </c>
      <c r="E156" s="26" t="s">
        <v>139</v>
      </c>
      <c r="F156" s="26" t="s">
        <v>59</v>
      </c>
      <c r="G156" s="48">
        <f t="shared" si="2"/>
        <v>149</v>
      </c>
      <c r="H156" s="26" t="s">
        <v>59</v>
      </c>
      <c r="I156" s="26" t="s">
        <v>59</v>
      </c>
      <c r="J156" s="26" t="s">
        <v>59</v>
      </c>
      <c r="K156" s="26" t="s">
        <v>59</v>
      </c>
      <c r="L156" s="26" t="s">
        <v>59</v>
      </c>
      <c r="M156" s="26" t="s">
        <v>59</v>
      </c>
      <c r="N156" s="26" t="s">
        <v>59</v>
      </c>
      <c r="O156" s="26" t="s">
        <v>59</v>
      </c>
      <c r="P156" s="26" t="s">
        <v>59</v>
      </c>
      <c r="Q156" s="26" t="s">
        <v>59</v>
      </c>
      <c r="R156" s="26" t="s">
        <v>59</v>
      </c>
      <c r="S156" s="26" t="s">
        <v>59</v>
      </c>
      <c r="T156" s="26" t="s">
        <v>59</v>
      </c>
      <c r="U156" s="26">
        <v>34</v>
      </c>
      <c r="V156" s="26">
        <v>38</v>
      </c>
      <c r="W156" s="26">
        <v>41</v>
      </c>
      <c r="X156" s="26">
        <v>36</v>
      </c>
      <c r="Y156" s="26">
        <v>8.5</v>
      </c>
      <c r="Z156" s="26">
        <v>2</v>
      </c>
      <c r="AA156" s="26" t="s">
        <v>61</v>
      </c>
      <c r="AB156" s="26" t="s">
        <v>61</v>
      </c>
      <c r="AC156" s="27" t="s">
        <v>61</v>
      </c>
      <c r="AD156" s="26">
        <v>8.8000000000000007</v>
      </c>
      <c r="AE156" s="26">
        <v>2.2000000000000002</v>
      </c>
      <c r="AF156" s="26" t="s">
        <v>61</v>
      </c>
      <c r="AG156" s="26" t="s">
        <v>61</v>
      </c>
      <c r="AH156" s="27" t="s">
        <v>61</v>
      </c>
      <c r="AI156" s="26">
        <v>8.4</v>
      </c>
      <c r="AJ156" s="26">
        <v>2</v>
      </c>
      <c r="AK156" s="27" t="s">
        <v>61</v>
      </c>
      <c r="AL156" s="26" t="s">
        <v>61</v>
      </c>
      <c r="AM156" s="27" t="s">
        <v>61</v>
      </c>
      <c r="AN156" s="26">
        <v>8.6</v>
      </c>
      <c r="AO156" s="26">
        <v>1.9</v>
      </c>
      <c r="AP156" s="27" t="s">
        <v>61</v>
      </c>
      <c r="AQ156" s="27" t="s">
        <v>61</v>
      </c>
      <c r="AR156" s="27" t="s">
        <v>61</v>
      </c>
      <c r="AS156" s="27" t="s">
        <v>232</v>
      </c>
      <c r="AT156" s="27" t="s">
        <v>64</v>
      </c>
      <c r="AU156" s="27" t="s">
        <v>59</v>
      </c>
      <c r="AV156" s="27" t="s">
        <v>59</v>
      </c>
      <c r="AW156" s="27" t="s">
        <v>59</v>
      </c>
      <c r="AX156" s="27" t="s">
        <v>59</v>
      </c>
      <c r="AY156" s="26">
        <v>34</v>
      </c>
      <c r="AZ156" s="26">
        <v>38</v>
      </c>
      <c r="BA156" s="26">
        <v>41</v>
      </c>
      <c r="BB156" s="26">
        <v>36</v>
      </c>
      <c r="BC156" s="26">
        <v>8.5</v>
      </c>
      <c r="BD156" s="26" t="s">
        <v>61</v>
      </c>
      <c r="BE156" s="26" t="s">
        <v>61</v>
      </c>
      <c r="BF156" s="26">
        <v>9</v>
      </c>
      <c r="BG156" s="48">
        <v>1</v>
      </c>
      <c r="BH156" s="27" t="s">
        <v>61</v>
      </c>
      <c r="BI156" s="27" t="s">
        <v>61</v>
      </c>
      <c r="BJ156" s="26" t="s">
        <v>61</v>
      </c>
      <c r="BK156" s="26" t="s">
        <v>61</v>
      </c>
      <c r="BL156" s="26" t="s">
        <v>61</v>
      </c>
      <c r="BM156" s="26" t="s">
        <v>61</v>
      </c>
      <c r="BN156" s="26" t="s">
        <v>61</v>
      </c>
      <c r="BO156" s="26" t="s">
        <v>61</v>
      </c>
      <c r="BP156" s="26">
        <v>8.49</v>
      </c>
      <c r="BQ156" s="26" t="s">
        <v>61</v>
      </c>
      <c r="BR156" s="26" t="s">
        <v>61</v>
      </c>
      <c r="BS156" s="26">
        <v>9</v>
      </c>
      <c r="BT156" s="26">
        <v>1</v>
      </c>
      <c r="BU156" s="27" t="s">
        <v>61</v>
      </c>
      <c r="BV156" s="27" t="s">
        <v>61</v>
      </c>
      <c r="BW156" s="26">
        <v>-0.31</v>
      </c>
      <c r="BX156" s="26">
        <v>0.49</v>
      </c>
      <c r="BY156" s="27" t="s">
        <v>61</v>
      </c>
      <c r="BZ156" s="26" t="s">
        <v>61</v>
      </c>
      <c r="CA156" s="27" t="s">
        <v>61</v>
      </c>
      <c r="CB156" s="26" t="s">
        <v>61</v>
      </c>
      <c r="CC156" s="26">
        <v>8.1</v>
      </c>
      <c r="CD156" s="26" t="s">
        <v>61</v>
      </c>
      <c r="CE156" s="27" t="s">
        <v>61</v>
      </c>
      <c r="CF156" s="69">
        <v>9</v>
      </c>
      <c r="CG156" s="69">
        <v>1</v>
      </c>
      <c r="CH156" s="27" t="s">
        <v>61</v>
      </c>
      <c r="CI156" s="27" t="s">
        <v>61</v>
      </c>
      <c r="CJ156" s="26">
        <v>-0.3</v>
      </c>
      <c r="CK156" s="27">
        <v>0.48</v>
      </c>
      <c r="CL156" s="27" t="s">
        <v>61</v>
      </c>
      <c r="CM156" s="26" t="s">
        <v>61</v>
      </c>
      <c r="CN156" s="26" t="s">
        <v>61</v>
      </c>
      <c r="CO156" s="26" t="s">
        <v>61</v>
      </c>
      <c r="CP156" s="26">
        <v>7.8</v>
      </c>
      <c r="CQ156" s="27" t="s">
        <v>61</v>
      </c>
      <c r="CR156" s="27" t="s">
        <v>61</v>
      </c>
      <c r="CS156" s="69">
        <v>9</v>
      </c>
      <c r="CT156" s="69">
        <v>1</v>
      </c>
      <c r="CU156" s="27" t="s">
        <v>61</v>
      </c>
      <c r="CV156" s="27" t="s">
        <v>61</v>
      </c>
      <c r="CW156" s="26">
        <v>-0.8</v>
      </c>
      <c r="CX156" s="27">
        <v>0.52</v>
      </c>
      <c r="CY156" s="27" t="s">
        <v>61</v>
      </c>
      <c r="CZ156" s="27" t="s">
        <v>61</v>
      </c>
      <c r="DA156" s="27" t="s">
        <v>61</v>
      </c>
      <c r="DB156" s="26" t="s">
        <v>162</v>
      </c>
      <c r="DC156" s="26">
        <v>24</v>
      </c>
      <c r="DD156" s="29" t="s">
        <v>233</v>
      </c>
      <c r="DE156" s="22"/>
      <c r="DF156" s="22"/>
      <c r="DG156" s="26"/>
      <c r="DH156" s="27"/>
      <c r="DI156" s="22"/>
      <c r="DJ156" s="26"/>
    </row>
    <row r="157" spans="1:114" s="43" customFormat="1" ht="14">
      <c r="A157" s="49" t="s">
        <v>412</v>
      </c>
      <c r="B157" s="43">
        <v>12342</v>
      </c>
      <c r="C157" s="34">
        <v>2</v>
      </c>
      <c r="D157" s="43">
        <v>1</v>
      </c>
      <c r="E157" s="48" t="s">
        <v>139</v>
      </c>
      <c r="F157" s="26" t="s">
        <v>59</v>
      </c>
      <c r="G157" s="48">
        <f t="shared" si="2"/>
        <v>127</v>
      </c>
      <c r="H157" s="26" t="s">
        <v>59</v>
      </c>
      <c r="I157" s="26" t="s">
        <v>59</v>
      </c>
      <c r="J157" s="48" t="s">
        <v>59</v>
      </c>
      <c r="K157" s="26" t="s">
        <v>59</v>
      </c>
      <c r="L157" s="26" t="s">
        <v>59</v>
      </c>
      <c r="M157" s="26" t="s">
        <v>59</v>
      </c>
      <c r="N157" s="26" t="s">
        <v>59</v>
      </c>
      <c r="O157" s="26" t="s">
        <v>59</v>
      </c>
      <c r="P157" s="26" t="s">
        <v>59</v>
      </c>
      <c r="Q157" s="48" t="s">
        <v>59</v>
      </c>
      <c r="R157" s="48" t="s">
        <v>59</v>
      </c>
      <c r="S157" s="48" t="s">
        <v>59</v>
      </c>
      <c r="T157" s="48" t="s">
        <v>59</v>
      </c>
      <c r="U157" s="48">
        <v>64</v>
      </c>
      <c r="V157" s="48">
        <v>63</v>
      </c>
      <c r="W157" s="48" t="s">
        <v>59</v>
      </c>
      <c r="X157" s="48" t="s">
        <v>59</v>
      </c>
      <c r="Y157" s="69">
        <v>8.5</v>
      </c>
      <c r="Z157" s="69" t="s">
        <v>61</v>
      </c>
      <c r="AA157" s="69">
        <v>0.1</v>
      </c>
      <c r="AB157" s="69" t="s">
        <v>61</v>
      </c>
      <c r="AC157" s="69" t="s">
        <v>61</v>
      </c>
      <c r="AD157" s="69">
        <v>8.4</v>
      </c>
      <c r="AE157" s="48" t="s">
        <v>61</v>
      </c>
      <c r="AF157" s="69">
        <v>0.1</v>
      </c>
      <c r="AG157" s="69" t="s">
        <v>61</v>
      </c>
      <c r="AH157" s="69" t="s">
        <v>61</v>
      </c>
      <c r="AI157" s="69" t="s">
        <v>59</v>
      </c>
      <c r="AJ157" s="69" t="s">
        <v>59</v>
      </c>
      <c r="AK157" s="69" t="s">
        <v>59</v>
      </c>
      <c r="AL157" s="69" t="s">
        <v>59</v>
      </c>
      <c r="AM157" s="69" t="s">
        <v>59</v>
      </c>
      <c r="AN157" s="69" t="s">
        <v>59</v>
      </c>
      <c r="AO157" s="69" t="s">
        <v>59</v>
      </c>
      <c r="AP157" s="69" t="s">
        <v>59</v>
      </c>
      <c r="AQ157" s="69" t="s">
        <v>59</v>
      </c>
      <c r="AR157" s="69" t="s">
        <v>59</v>
      </c>
      <c r="AS157" s="69" t="s">
        <v>61</v>
      </c>
      <c r="AT157" s="69" t="s">
        <v>64</v>
      </c>
      <c r="AU157" s="69" t="s">
        <v>59</v>
      </c>
      <c r="AV157" s="69" t="s">
        <v>59</v>
      </c>
      <c r="AW157" s="69" t="s">
        <v>59</v>
      </c>
      <c r="AX157" s="69" t="s">
        <v>59</v>
      </c>
      <c r="AY157" s="215">
        <v>64</v>
      </c>
      <c r="AZ157" s="215">
        <v>63</v>
      </c>
      <c r="BA157" s="215" t="s">
        <v>59</v>
      </c>
      <c r="BB157" s="215" t="s">
        <v>59</v>
      </c>
      <c r="BC157" s="69">
        <v>8.1</v>
      </c>
      <c r="BD157" s="48" t="s">
        <v>61</v>
      </c>
      <c r="BE157" s="69">
        <v>0.1</v>
      </c>
      <c r="BF157" s="48">
        <v>1</v>
      </c>
      <c r="BG157" s="48">
        <v>1</v>
      </c>
      <c r="BH157" s="69" t="s">
        <v>61</v>
      </c>
      <c r="BI157" s="69" t="s">
        <v>61</v>
      </c>
      <c r="BJ157" s="69">
        <v>-0.48</v>
      </c>
      <c r="BK157" s="69" t="s">
        <v>61</v>
      </c>
      <c r="BL157" s="69">
        <v>0.11</v>
      </c>
      <c r="BM157" s="69" t="s">
        <v>61</v>
      </c>
      <c r="BN157" s="69" t="s">
        <v>61</v>
      </c>
      <c r="BO157" s="69" t="s">
        <v>286</v>
      </c>
      <c r="BP157" s="69">
        <v>7.9</v>
      </c>
      <c r="BQ157" s="26" t="s">
        <v>61</v>
      </c>
      <c r="BR157" s="69">
        <v>0.1</v>
      </c>
      <c r="BS157" s="69">
        <v>1</v>
      </c>
      <c r="BT157" s="26">
        <v>1</v>
      </c>
      <c r="BU157" s="69" t="s">
        <v>61</v>
      </c>
      <c r="BV157" s="69" t="s">
        <v>61</v>
      </c>
      <c r="BW157" s="69">
        <v>-0.49</v>
      </c>
      <c r="BX157" s="69" t="s">
        <v>61</v>
      </c>
      <c r="BY157" s="69">
        <v>0.11</v>
      </c>
      <c r="BZ157" s="69" t="s">
        <v>61</v>
      </c>
      <c r="CA157" s="69" t="s">
        <v>61</v>
      </c>
      <c r="CB157" s="69" t="s">
        <v>286</v>
      </c>
      <c r="CC157" s="69" t="s">
        <v>59</v>
      </c>
      <c r="CD157" s="69" t="s">
        <v>59</v>
      </c>
      <c r="CE157" s="69" t="s">
        <v>59</v>
      </c>
      <c r="CF157" s="69"/>
      <c r="CG157" s="69"/>
      <c r="CH157" s="69" t="s">
        <v>59</v>
      </c>
      <c r="CI157" s="69" t="s">
        <v>59</v>
      </c>
      <c r="CJ157" s="69" t="s">
        <v>59</v>
      </c>
      <c r="CK157" s="69" t="s">
        <v>59</v>
      </c>
      <c r="CL157" s="69" t="s">
        <v>59</v>
      </c>
      <c r="CM157" s="69" t="s">
        <v>59</v>
      </c>
      <c r="CN157" s="69" t="s">
        <v>59</v>
      </c>
      <c r="CO157" s="69" t="s">
        <v>59</v>
      </c>
      <c r="CP157" s="69" t="s">
        <v>59</v>
      </c>
      <c r="CQ157" s="69" t="s">
        <v>59</v>
      </c>
      <c r="CR157" s="69" t="s">
        <v>59</v>
      </c>
      <c r="CS157" s="69"/>
      <c r="CT157" s="69"/>
      <c r="CU157" s="69" t="s">
        <v>59</v>
      </c>
      <c r="CV157" s="69" t="s">
        <v>59</v>
      </c>
      <c r="CW157" s="69" t="s">
        <v>59</v>
      </c>
      <c r="CX157" s="69" t="s">
        <v>59</v>
      </c>
      <c r="CY157" s="69" t="s">
        <v>59</v>
      </c>
      <c r="CZ157" s="69" t="s">
        <v>59</v>
      </c>
      <c r="DA157" s="69" t="s">
        <v>59</v>
      </c>
      <c r="DB157" s="69" t="s">
        <v>59</v>
      </c>
      <c r="DC157" s="69">
        <v>6</v>
      </c>
      <c r="DD157" s="55"/>
    </row>
    <row r="158" spans="1:114" s="43" customFormat="1">
      <c r="A158" s="34" t="s">
        <v>252</v>
      </c>
      <c r="B158" s="34">
        <v>8131</v>
      </c>
      <c r="C158" s="34">
        <v>2</v>
      </c>
      <c r="D158" s="43">
        <v>1</v>
      </c>
      <c r="E158" s="26" t="s">
        <v>139</v>
      </c>
      <c r="F158" s="26" t="s">
        <v>59</v>
      </c>
      <c r="G158" s="48">
        <f t="shared" si="2"/>
        <v>84</v>
      </c>
      <c r="H158" s="26" t="s">
        <v>59</v>
      </c>
      <c r="I158" s="26" t="s">
        <v>59</v>
      </c>
      <c r="J158" s="26" t="s">
        <v>59</v>
      </c>
      <c r="K158" s="26" t="s">
        <v>59</v>
      </c>
      <c r="L158" s="26" t="s">
        <v>59</v>
      </c>
      <c r="M158" s="26" t="s">
        <v>59</v>
      </c>
      <c r="N158" s="26" t="s">
        <v>59</v>
      </c>
      <c r="O158" s="26" t="s">
        <v>59</v>
      </c>
      <c r="P158" s="26" t="s">
        <v>59</v>
      </c>
      <c r="Q158" s="26" t="s">
        <v>59</v>
      </c>
      <c r="R158" s="26" t="s">
        <v>59</v>
      </c>
      <c r="S158" s="26" t="s">
        <v>60</v>
      </c>
      <c r="T158" s="26" t="s">
        <v>60</v>
      </c>
      <c r="U158" s="26">
        <v>38</v>
      </c>
      <c r="V158" s="26">
        <v>46</v>
      </c>
      <c r="W158" s="26" t="s">
        <v>60</v>
      </c>
      <c r="X158" s="26" t="s">
        <v>60</v>
      </c>
      <c r="Y158" s="26">
        <v>8.6</v>
      </c>
      <c r="Z158" s="26">
        <v>1.3</v>
      </c>
      <c r="AA158" s="26" t="s">
        <v>61</v>
      </c>
      <c r="AB158" s="26" t="s">
        <v>61</v>
      </c>
      <c r="AC158" s="27" t="s">
        <v>61</v>
      </c>
      <c r="AD158" s="26">
        <v>8.9</v>
      </c>
      <c r="AE158" s="26">
        <v>1.2</v>
      </c>
      <c r="AF158" s="26" t="s">
        <v>61</v>
      </c>
      <c r="AG158" s="26" t="s">
        <v>61</v>
      </c>
      <c r="AH158" s="27" t="s">
        <v>61</v>
      </c>
      <c r="AI158" s="26" t="s">
        <v>60</v>
      </c>
      <c r="AJ158" s="26" t="s">
        <v>60</v>
      </c>
      <c r="AK158" s="26" t="s">
        <v>59</v>
      </c>
      <c r="AL158" s="26" t="s">
        <v>59</v>
      </c>
      <c r="AM158" s="26" t="s">
        <v>59</v>
      </c>
      <c r="AN158" s="26" t="s">
        <v>60</v>
      </c>
      <c r="AO158" s="26" t="s">
        <v>60</v>
      </c>
      <c r="AP158" s="26" t="s">
        <v>59</v>
      </c>
      <c r="AQ158" s="26" t="s">
        <v>59</v>
      </c>
      <c r="AR158" s="26" t="s">
        <v>59</v>
      </c>
      <c r="AS158" s="26" t="s">
        <v>61</v>
      </c>
      <c r="AT158" s="26" t="s">
        <v>64</v>
      </c>
      <c r="AU158" s="26" t="s">
        <v>59</v>
      </c>
      <c r="AV158" s="26" t="s">
        <v>59</v>
      </c>
      <c r="AW158" s="26" t="s">
        <v>59</v>
      </c>
      <c r="AX158" s="26" t="s">
        <v>59</v>
      </c>
      <c r="AY158" s="186">
        <v>38</v>
      </c>
      <c r="AZ158" s="186">
        <v>46</v>
      </c>
      <c r="BA158" s="186" t="s">
        <v>60</v>
      </c>
      <c r="BB158" s="186" t="s">
        <v>60</v>
      </c>
      <c r="BC158" s="26">
        <f>8.6-0.9</f>
        <v>7.6999999999999993</v>
      </c>
      <c r="BD158" s="26" t="s">
        <v>61</v>
      </c>
      <c r="BE158" s="26" t="s">
        <v>61</v>
      </c>
      <c r="BF158" s="26">
        <v>9</v>
      </c>
      <c r="BG158" s="48">
        <v>1</v>
      </c>
      <c r="BH158" s="27" t="s">
        <v>61</v>
      </c>
      <c r="BI158" s="27" t="s">
        <v>61</v>
      </c>
      <c r="BJ158" s="26">
        <v>-0.9</v>
      </c>
      <c r="BK158" s="26" t="s">
        <v>61</v>
      </c>
      <c r="BL158" s="26" t="s">
        <v>61</v>
      </c>
      <c r="BM158" s="26">
        <v>-1.3</v>
      </c>
      <c r="BN158" s="26">
        <v>-0.5</v>
      </c>
      <c r="BO158" s="26" t="s">
        <v>61</v>
      </c>
      <c r="BP158" s="26">
        <f>8.9-1.5</f>
        <v>7.4</v>
      </c>
      <c r="BQ158" s="26" t="s">
        <v>61</v>
      </c>
      <c r="BR158" s="26" t="s">
        <v>61</v>
      </c>
      <c r="BS158" s="26">
        <v>9</v>
      </c>
      <c r="BT158" s="26">
        <v>1</v>
      </c>
      <c r="BU158" s="27" t="s">
        <v>61</v>
      </c>
      <c r="BV158" s="27" t="s">
        <v>61</v>
      </c>
      <c r="BW158" s="26">
        <v>-1.5</v>
      </c>
      <c r="BX158" s="26" t="s">
        <v>61</v>
      </c>
      <c r="BY158" s="27" t="s">
        <v>61</v>
      </c>
      <c r="BZ158" s="26">
        <v>-1.9</v>
      </c>
      <c r="CA158" s="26">
        <v>-1</v>
      </c>
      <c r="CB158" s="26" t="s">
        <v>61</v>
      </c>
      <c r="CC158" s="26" t="s">
        <v>60</v>
      </c>
      <c r="CD158" s="26" t="s">
        <v>60</v>
      </c>
      <c r="CE158" s="27" t="s">
        <v>59</v>
      </c>
      <c r="CF158" s="27"/>
      <c r="CG158" s="27"/>
      <c r="CH158" s="27" t="s">
        <v>59</v>
      </c>
      <c r="CI158" s="27" t="s">
        <v>59</v>
      </c>
      <c r="CJ158" s="26" t="s">
        <v>59</v>
      </c>
      <c r="CK158" s="27" t="s">
        <v>59</v>
      </c>
      <c r="CL158" s="27" t="s">
        <v>59</v>
      </c>
      <c r="CM158" s="26" t="s">
        <v>59</v>
      </c>
      <c r="CN158" s="26" t="s">
        <v>59</v>
      </c>
      <c r="CO158" s="26" t="s">
        <v>59</v>
      </c>
      <c r="CP158" s="26" t="s">
        <v>60</v>
      </c>
      <c r="CQ158" s="26" t="s">
        <v>60</v>
      </c>
      <c r="CR158" s="27" t="s">
        <v>59</v>
      </c>
      <c r="CS158" s="27"/>
      <c r="CT158" s="27"/>
      <c r="CU158" s="27" t="s">
        <v>59</v>
      </c>
      <c r="CV158" s="27" t="s">
        <v>59</v>
      </c>
      <c r="CW158" s="26" t="s">
        <v>59</v>
      </c>
      <c r="CX158" s="27" t="s">
        <v>59</v>
      </c>
      <c r="CY158" s="27" t="s">
        <v>59</v>
      </c>
      <c r="CZ158" s="27" t="s">
        <v>59</v>
      </c>
      <c r="DA158" s="27" t="s">
        <v>59</v>
      </c>
      <c r="DB158" s="26" t="s">
        <v>59</v>
      </c>
      <c r="DC158" s="26">
        <v>12</v>
      </c>
      <c r="DD158" s="29"/>
      <c r="DE158" s="22"/>
      <c r="DF158" s="22"/>
      <c r="DG158" s="26"/>
      <c r="DH158" s="27"/>
      <c r="DI158" s="22"/>
      <c r="DJ158" s="26"/>
    </row>
    <row r="159" spans="1:114" s="43" customFormat="1">
      <c r="A159" s="49" t="s">
        <v>407</v>
      </c>
      <c r="B159" s="43">
        <v>12294</v>
      </c>
      <c r="C159" s="43">
        <v>4</v>
      </c>
      <c r="D159" s="43">
        <v>1</v>
      </c>
      <c r="E159" s="48" t="s">
        <v>139</v>
      </c>
      <c r="F159" s="26" t="s">
        <v>59</v>
      </c>
      <c r="G159" s="48">
        <f t="shared" si="2"/>
        <v>117</v>
      </c>
      <c r="H159" s="26" t="s">
        <v>59</v>
      </c>
      <c r="I159" s="26" t="s">
        <v>59</v>
      </c>
      <c r="J159" s="48" t="s">
        <v>59</v>
      </c>
      <c r="K159" s="26" t="s">
        <v>59</v>
      </c>
      <c r="L159" s="26" t="s">
        <v>59</v>
      </c>
      <c r="M159" s="26" t="s">
        <v>59</v>
      </c>
      <c r="N159" s="26" t="s">
        <v>59</v>
      </c>
      <c r="O159" s="26" t="s">
        <v>59</v>
      </c>
      <c r="P159" s="26" t="s">
        <v>59</v>
      </c>
      <c r="Q159" s="48" t="s">
        <v>59</v>
      </c>
      <c r="R159" s="48" t="s">
        <v>59</v>
      </c>
      <c r="S159" s="48" t="s">
        <v>59</v>
      </c>
      <c r="T159" s="48" t="s">
        <v>59</v>
      </c>
      <c r="U159" s="48">
        <v>32</v>
      </c>
      <c r="V159" s="48">
        <v>35</v>
      </c>
      <c r="W159" s="48">
        <v>36</v>
      </c>
      <c r="X159" s="48">
        <v>38</v>
      </c>
      <c r="Y159" s="48">
        <v>8.6999999999999993</v>
      </c>
      <c r="Z159" s="48">
        <v>1.9</v>
      </c>
      <c r="AA159" s="48" t="s">
        <v>61</v>
      </c>
      <c r="AB159" s="48" t="s">
        <v>61</v>
      </c>
      <c r="AC159" s="48" t="s">
        <v>61</v>
      </c>
      <c r="AD159" s="48">
        <v>9</v>
      </c>
      <c r="AE159" s="48">
        <v>2.1</v>
      </c>
      <c r="AF159" s="48" t="s">
        <v>61</v>
      </c>
      <c r="AG159" s="48" t="s">
        <v>61</v>
      </c>
      <c r="AH159" s="48" t="s">
        <v>61</v>
      </c>
      <c r="AI159" s="48">
        <v>8.6</v>
      </c>
      <c r="AJ159" s="48">
        <v>2.4</v>
      </c>
      <c r="AK159" s="48" t="s">
        <v>61</v>
      </c>
      <c r="AL159" s="48" t="s">
        <v>61</v>
      </c>
      <c r="AM159" s="48" t="s">
        <v>61</v>
      </c>
      <c r="AN159" s="48">
        <v>8.3000000000000007</v>
      </c>
      <c r="AO159" s="48">
        <v>1.8</v>
      </c>
      <c r="AP159" s="48" t="s">
        <v>61</v>
      </c>
      <c r="AQ159" s="48" t="s">
        <v>61</v>
      </c>
      <c r="AR159" s="48" t="s">
        <v>61</v>
      </c>
      <c r="AS159" s="48">
        <v>0.44</v>
      </c>
      <c r="AT159" s="48" t="s">
        <v>104</v>
      </c>
      <c r="AU159" s="48" t="s">
        <v>59</v>
      </c>
      <c r="AV159" s="48" t="s">
        <v>59</v>
      </c>
      <c r="AW159" s="48" t="s">
        <v>59</v>
      </c>
      <c r="AX159" s="48" t="s">
        <v>59</v>
      </c>
      <c r="AY159" s="48">
        <v>29</v>
      </c>
      <c r="AZ159" s="48">
        <v>28</v>
      </c>
      <c r="BA159" s="48">
        <v>31</v>
      </c>
      <c r="BB159" s="48">
        <v>29</v>
      </c>
      <c r="BC159" s="48">
        <v>8.89</v>
      </c>
      <c r="BD159" s="48" t="s">
        <v>61</v>
      </c>
      <c r="BE159" s="48" t="s">
        <v>61</v>
      </c>
      <c r="BF159" s="26">
        <v>9</v>
      </c>
      <c r="BG159" s="48">
        <v>1</v>
      </c>
      <c r="BH159" s="48" t="s">
        <v>61</v>
      </c>
      <c r="BI159" s="48" t="s">
        <v>61</v>
      </c>
      <c r="BJ159" s="48">
        <v>0.19</v>
      </c>
      <c r="BK159" s="48" t="s">
        <v>61</v>
      </c>
      <c r="BL159" s="48" t="s">
        <v>61</v>
      </c>
      <c r="BM159" s="48" t="s">
        <v>61</v>
      </c>
      <c r="BN159" s="48" t="s">
        <v>61</v>
      </c>
      <c r="BO159" s="48">
        <v>0.44</v>
      </c>
      <c r="BP159" s="48">
        <v>9.14</v>
      </c>
      <c r="BQ159" s="48" t="s">
        <v>61</v>
      </c>
      <c r="BR159" s="48" t="s">
        <v>61</v>
      </c>
      <c r="BS159" s="26">
        <v>9</v>
      </c>
      <c r="BT159" s="26">
        <v>1</v>
      </c>
      <c r="BU159" s="48" t="s">
        <v>61</v>
      </c>
      <c r="BV159" s="48" t="s">
        <v>61</v>
      </c>
      <c r="BW159" s="48">
        <v>0.14000000000000001</v>
      </c>
      <c r="BX159" s="48" t="s">
        <v>61</v>
      </c>
      <c r="BY159" s="48" t="s">
        <v>61</v>
      </c>
      <c r="BZ159" s="48" t="s">
        <v>61</v>
      </c>
      <c r="CA159" s="48" t="s">
        <v>61</v>
      </c>
      <c r="CB159" s="48">
        <v>0.59</v>
      </c>
      <c r="CC159" s="48">
        <v>8.6300000000000008</v>
      </c>
      <c r="CD159" s="48" t="s">
        <v>61</v>
      </c>
      <c r="CE159" s="48" t="s">
        <v>61</v>
      </c>
      <c r="CF159" s="69">
        <v>9</v>
      </c>
      <c r="CG159" s="69">
        <v>1</v>
      </c>
      <c r="CH159" s="48" t="s">
        <v>61</v>
      </c>
      <c r="CI159" s="48" t="s">
        <v>61</v>
      </c>
      <c r="CJ159" s="48">
        <v>0.03</v>
      </c>
      <c r="CK159" s="48" t="s">
        <v>61</v>
      </c>
      <c r="CL159" s="48" t="s">
        <v>61</v>
      </c>
      <c r="CM159" s="48" t="s">
        <v>61</v>
      </c>
      <c r="CN159" s="48" t="s">
        <v>61</v>
      </c>
      <c r="CO159" s="48">
        <v>0.91</v>
      </c>
      <c r="CP159" s="48">
        <v>8.1999999999999993</v>
      </c>
      <c r="CQ159" s="48" t="s">
        <v>61</v>
      </c>
      <c r="CR159" s="48" t="s">
        <v>61</v>
      </c>
      <c r="CS159" s="69">
        <v>9</v>
      </c>
      <c r="CT159" s="69">
        <v>1</v>
      </c>
      <c r="CU159" s="48" t="s">
        <v>61</v>
      </c>
      <c r="CV159" s="48" t="s">
        <v>61</v>
      </c>
      <c r="CW159" s="48">
        <v>-0.1</v>
      </c>
      <c r="CX159" s="48" t="s">
        <v>61</v>
      </c>
      <c r="CY159" s="48" t="s">
        <v>61</v>
      </c>
      <c r="CZ159" s="48" t="s">
        <v>61</v>
      </c>
      <c r="DA159" s="48" t="s">
        <v>61</v>
      </c>
      <c r="DB159" s="48">
        <v>0.57999999999999996</v>
      </c>
      <c r="DC159" s="48">
        <v>4.5</v>
      </c>
      <c r="DD159" s="55"/>
    </row>
    <row r="160" spans="1:114" s="43" customFormat="1">
      <c r="A160" s="34" t="s">
        <v>241</v>
      </c>
      <c r="B160" s="34">
        <v>6575</v>
      </c>
      <c r="C160" s="34">
        <v>2</v>
      </c>
      <c r="D160" s="43">
        <v>1</v>
      </c>
      <c r="E160" s="26" t="s">
        <v>139</v>
      </c>
      <c r="F160" s="26" t="s">
        <v>59</v>
      </c>
      <c r="G160" s="48">
        <f t="shared" si="2"/>
        <v>131</v>
      </c>
      <c r="H160" s="26" t="s">
        <v>59</v>
      </c>
      <c r="I160" s="26" t="s">
        <v>59</v>
      </c>
      <c r="J160" s="26" t="s">
        <v>59</v>
      </c>
      <c r="K160" s="26" t="s">
        <v>59</v>
      </c>
      <c r="L160" s="26" t="s">
        <v>59</v>
      </c>
      <c r="M160" s="26" t="s">
        <v>59</v>
      </c>
      <c r="N160" s="26" t="s">
        <v>59</v>
      </c>
      <c r="O160" s="26" t="s">
        <v>59</v>
      </c>
      <c r="P160" s="26" t="s">
        <v>59</v>
      </c>
      <c r="Q160" s="26" t="s">
        <v>59</v>
      </c>
      <c r="R160" s="26" t="s">
        <v>59</v>
      </c>
      <c r="S160" s="26" t="s">
        <v>60</v>
      </c>
      <c r="T160" s="26" t="s">
        <v>60</v>
      </c>
      <c r="U160" s="26">
        <v>73</v>
      </c>
      <c r="V160" s="26">
        <v>76</v>
      </c>
      <c r="W160" s="26" t="s">
        <v>60</v>
      </c>
      <c r="X160" s="26" t="s">
        <v>60</v>
      </c>
      <c r="Y160" s="26">
        <v>8.6999999999999993</v>
      </c>
      <c r="Z160" s="26" t="s">
        <v>61</v>
      </c>
      <c r="AA160" s="26" t="s">
        <v>61</v>
      </c>
      <c r="AB160" s="26" t="s">
        <v>61</v>
      </c>
      <c r="AC160" s="27" t="s">
        <v>61</v>
      </c>
      <c r="AD160" s="26">
        <v>8.8000000000000007</v>
      </c>
      <c r="AE160" s="26" t="s">
        <v>61</v>
      </c>
      <c r="AF160" s="26" t="s">
        <v>61</v>
      </c>
      <c r="AG160" s="26" t="s">
        <v>61</v>
      </c>
      <c r="AH160" s="27" t="s">
        <v>61</v>
      </c>
      <c r="AI160" s="26" t="s">
        <v>60</v>
      </c>
      <c r="AJ160" s="26" t="s">
        <v>60</v>
      </c>
      <c r="AK160" s="26" t="s">
        <v>59</v>
      </c>
      <c r="AL160" s="26" t="s">
        <v>59</v>
      </c>
      <c r="AM160" s="26" t="s">
        <v>59</v>
      </c>
      <c r="AN160" s="26" t="s">
        <v>60</v>
      </c>
      <c r="AO160" s="26" t="s">
        <v>60</v>
      </c>
      <c r="AP160" s="26" t="s">
        <v>59</v>
      </c>
      <c r="AQ160" s="26" t="s">
        <v>59</v>
      </c>
      <c r="AR160" s="26" t="s">
        <v>59</v>
      </c>
      <c r="AS160" s="26" t="s">
        <v>61</v>
      </c>
      <c r="AT160" s="26" t="s">
        <v>64</v>
      </c>
      <c r="AU160" s="26" t="s">
        <v>59</v>
      </c>
      <c r="AV160" s="26" t="s">
        <v>59</v>
      </c>
      <c r="AW160" s="26" t="s">
        <v>59</v>
      </c>
      <c r="AX160" s="26" t="s">
        <v>59</v>
      </c>
      <c r="AY160" s="186">
        <v>67</v>
      </c>
      <c r="AZ160" s="186">
        <v>64</v>
      </c>
      <c r="BA160" s="186" t="s">
        <v>60</v>
      </c>
      <c r="BB160" s="186" t="s">
        <v>60</v>
      </c>
      <c r="BC160" s="26">
        <v>8</v>
      </c>
      <c r="BD160" s="26" t="s">
        <v>61</v>
      </c>
      <c r="BE160" s="26" t="s">
        <v>61</v>
      </c>
      <c r="BF160" s="26">
        <v>9</v>
      </c>
      <c r="BG160" s="48">
        <v>1</v>
      </c>
      <c r="BH160" s="27" t="s">
        <v>61</v>
      </c>
      <c r="BI160" s="27" t="s">
        <v>61</v>
      </c>
      <c r="BJ160" s="26">
        <v>-0.7</v>
      </c>
      <c r="BK160" s="26" t="s">
        <v>61</v>
      </c>
      <c r="BL160" s="26" t="s">
        <v>61</v>
      </c>
      <c r="BM160" s="26" t="s">
        <v>61</v>
      </c>
      <c r="BN160" s="26" t="s">
        <v>61</v>
      </c>
      <c r="BO160" s="26" t="s">
        <v>162</v>
      </c>
      <c r="BP160" s="26">
        <v>7.08</v>
      </c>
      <c r="BQ160" s="26" t="s">
        <v>61</v>
      </c>
      <c r="BR160" s="26" t="s">
        <v>61</v>
      </c>
      <c r="BS160" s="26">
        <v>9</v>
      </c>
      <c r="BT160" s="26">
        <v>1</v>
      </c>
      <c r="BU160" s="27" t="s">
        <v>61</v>
      </c>
      <c r="BV160" s="27" t="s">
        <v>61</v>
      </c>
      <c r="BW160" s="26">
        <v>-1.7</v>
      </c>
      <c r="BX160" s="26" t="s">
        <v>61</v>
      </c>
      <c r="BY160" s="27" t="s">
        <v>61</v>
      </c>
      <c r="BZ160" s="26" t="s">
        <v>61</v>
      </c>
      <c r="CA160" s="27" t="s">
        <v>61</v>
      </c>
      <c r="CB160" s="26" t="s">
        <v>162</v>
      </c>
      <c r="CC160" s="26" t="s">
        <v>60</v>
      </c>
      <c r="CD160" s="26" t="s">
        <v>60</v>
      </c>
      <c r="CE160" s="26" t="s">
        <v>59</v>
      </c>
      <c r="CF160" s="26"/>
      <c r="CG160" s="26"/>
      <c r="CH160" s="26" t="s">
        <v>59</v>
      </c>
      <c r="CI160" s="26" t="s">
        <v>59</v>
      </c>
      <c r="CJ160" s="26" t="s">
        <v>59</v>
      </c>
      <c r="CK160" s="26" t="s">
        <v>59</v>
      </c>
      <c r="CL160" s="26" t="s">
        <v>59</v>
      </c>
      <c r="CM160" s="26" t="s">
        <v>59</v>
      </c>
      <c r="CN160" s="26" t="s">
        <v>59</v>
      </c>
      <c r="CO160" s="26" t="s">
        <v>59</v>
      </c>
      <c r="CP160" s="26" t="s">
        <v>60</v>
      </c>
      <c r="CQ160" s="26" t="s">
        <v>60</v>
      </c>
      <c r="CR160" s="26" t="s">
        <v>59</v>
      </c>
      <c r="CS160" s="26"/>
      <c r="CT160" s="26"/>
      <c r="CU160" s="26" t="s">
        <v>59</v>
      </c>
      <c r="CV160" s="26" t="s">
        <v>59</v>
      </c>
      <c r="CW160" s="26" t="s">
        <v>59</v>
      </c>
      <c r="CX160" s="26" t="s">
        <v>59</v>
      </c>
      <c r="CY160" s="26" t="s">
        <v>59</v>
      </c>
      <c r="CZ160" s="26" t="s">
        <v>59</v>
      </c>
      <c r="DA160" s="26" t="s">
        <v>59</v>
      </c>
      <c r="DB160" s="26" t="s">
        <v>59</v>
      </c>
      <c r="DC160" s="26">
        <v>9</v>
      </c>
      <c r="DD160" s="29"/>
      <c r="DE160" s="22"/>
      <c r="DF160" s="22"/>
      <c r="DG160" s="26"/>
      <c r="DH160" s="27"/>
      <c r="DI160" s="22"/>
      <c r="DJ160" s="26"/>
    </row>
    <row r="161" spans="1:114" s="43" customFormat="1">
      <c r="A161" s="51" t="s">
        <v>355</v>
      </c>
      <c r="B161" s="52">
        <v>10376</v>
      </c>
      <c r="C161" s="43">
        <v>4</v>
      </c>
      <c r="D161" s="43">
        <v>1</v>
      </c>
      <c r="E161" s="48" t="s">
        <v>139</v>
      </c>
      <c r="F161" s="26" t="s">
        <v>59</v>
      </c>
      <c r="G161" s="48">
        <f t="shared" si="2"/>
        <v>184</v>
      </c>
      <c r="H161" s="26" t="s">
        <v>59</v>
      </c>
      <c r="I161" s="26" t="s">
        <v>59</v>
      </c>
      <c r="J161" s="48" t="s">
        <v>59</v>
      </c>
      <c r="K161" s="26" t="s">
        <v>59</v>
      </c>
      <c r="L161" s="26" t="s">
        <v>59</v>
      </c>
      <c r="M161" s="26" t="s">
        <v>59</v>
      </c>
      <c r="N161" s="26" t="s">
        <v>59</v>
      </c>
      <c r="O161" s="26" t="s">
        <v>59</v>
      </c>
      <c r="P161" s="26" t="s">
        <v>59</v>
      </c>
      <c r="Q161" s="48" t="s">
        <v>59</v>
      </c>
      <c r="R161" s="48" t="s">
        <v>59</v>
      </c>
      <c r="S161" s="48" t="s">
        <v>59</v>
      </c>
      <c r="T161" s="48" t="s">
        <v>59</v>
      </c>
      <c r="U161" s="48">
        <v>58</v>
      </c>
      <c r="V161" s="48">
        <v>58</v>
      </c>
      <c r="W161" s="48">
        <v>57</v>
      </c>
      <c r="X161" s="48">
        <v>61</v>
      </c>
      <c r="Y161" s="48">
        <v>8.8000000000000007</v>
      </c>
      <c r="Z161" s="48">
        <v>1.3</v>
      </c>
      <c r="AA161" s="48" t="s">
        <v>61</v>
      </c>
      <c r="AB161" s="48" t="s">
        <v>61</v>
      </c>
      <c r="AC161" s="48" t="s">
        <v>61</v>
      </c>
      <c r="AD161" s="48">
        <v>8.9</v>
      </c>
      <c r="AE161" s="48">
        <v>1.2</v>
      </c>
      <c r="AF161" s="48" t="s">
        <v>61</v>
      </c>
      <c r="AG161" s="48" t="s">
        <v>61</v>
      </c>
      <c r="AH161" s="48" t="s">
        <v>61</v>
      </c>
      <c r="AI161" s="48">
        <v>9.1</v>
      </c>
      <c r="AJ161" s="48">
        <v>1.5</v>
      </c>
      <c r="AK161" s="48" t="s">
        <v>61</v>
      </c>
      <c r="AL161" s="48" t="s">
        <v>61</v>
      </c>
      <c r="AM161" s="48" t="s">
        <v>61</v>
      </c>
      <c r="AN161" s="48">
        <v>8.8000000000000007</v>
      </c>
      <c r="AO161" s="48">
        <v>1</v>
      </c>
      <c r="AP161" s="48" t="s">
        <v>61</v>
      </c>
      <c r="AQ161" s="48" t="s">
        <v>61</v>
      </c>
      <c r="AR161" s="48" t="s">
        <v>61</v>
      </c>
      <c r="AS161" s="48">
        <v>0.5</v>
      </c>
      <c r="AT161" s="55" t="s">
        <v>104</v>
      </c>
      <c r="AU161" s="48" t="s">
        <v>59</v>
      </c>
      <c r="AV161" s="48" t="s">
        <v>59</v>
      </c>
      <c r="AW161" s="48" t="s">
        <v>59</v>
      </c>
      <c r="AX161" s="48" t="s">
        <v>59</v>
      </c>
      <c r="AY161" s="48">
        <v>44</v>
      </c>
      <c r="AZ161" s="48">
        <v>50</v>
      </c>
      <c r="BA161" s="48">
        <v>46</v>
      </c>
      <c r="BB161" s="48">
        <v>44</v>
      </c>
      <c r="BC161" s="48">
        <v>8.2100000000000009</v>
      </c>
      <c r="BD161" s="48" t="s">
        <v>61</v>
      </c>
      <c r="BE161" s="48" t="s">
        <v>61</v>
      </c>
      <c r="BF161" s="26">
        <v>9</v>
      </c>
      <c r="BG161" s="48">
        <v>1</v>
      </c>
      <c r="BH161" s="48" t="s">
        <v>61</v>
      </c>
      <c r="BI161" s="48" t="s">
        <v>61</v>
      </c>
      <c r="BJ161" s="48">
        <v>-0.59</v>
      </c>
      <c r="BK161" s="48">
        <v>1.24</v>
      </c>
      <c r="BL161" s="48" t="s">
        <v>61</v>
      </c>
      <c r="BM161" s="48" t="s">
        <v>61</v>
      </c>
      <c r="BN161" s="48" t="s">
        <v>61</v>
      </c>
      <c r="BO161" s="48" t="s">
        <v>180</v>
      </c>
      <c r="BP161" s="48">
        <v>7.95</v>
      </c>
      <c r="BQ161" s="48" t="s">
        <v>61</v>
      </c>
      <c r="BR161" s="48" t="s">
        <v>61</v>
      </c>
      <c r="BS161" s="26">
        <v>9</v>
      </c>
      <c r="BT161" s="26">
        <v>1</v>
      </c>
      <c r="BU161" s="48" t="s">
        <v>61</v>
      </c>
      <c r="BV161" s="48" t="s">
        <v>61</v>
      </c>
      <c r="BW161" s="48">
        <v>-0.95</v>
      </c>
      <c r="BX161" s="48">
        <v>1.32</v>
      </c>
      <c r="BY161" s="48" t="s">
        <v>61</v>
      </c>
      <c r="BZ161" s="48" t="s">
        <v>61</v>
      </c>
      <c r="CA161" s="48" t="s">
        <v>61</v>
      </c>
      <c r="CB161" s="48" t="s">
        <v>180</v>
      </c>
      <c r="CC161" s="48">
        <v>8.69</v>
      </c>
      <c r="CD161" s="48" t="s">
        <v>61</v>
      </c>
      <c r="CE161" s="48" t="s">
        <v>61</v>
      </c>
      <c r="CF161" s="69">
        <v>9</v>
      </c>
      <c r="CG161" s="69">
        <v>1</v>
      </c>
      <c r="CH161" s="48" t="s">
        <v>61</v>
      </c>
      <c r="CI161" s="48" t="s">
        <v>61</v>
      </c>
      <c r="CJ161" s="48">
        <v>-0.41</v>
      </c>
      <c r="CK161" s="48">
        <v>1.29</v>
      </c>
      <c r="CL161" s="48" t="s">
        <v>61</v>
      </c>
      <c r="CM161" s="48" t="s">
        <v>61</v>
      </c>
      <c r="CN161" s="48" t="s">
        <v>61</v>
      </c>
      <c r="CO161" s="48">
        <v>0.04</v>
      </c>
      <c r="CP161" s="48">
        <v>8.48</v>
      </c>
      <c r="CQ161" s="48" t="s">
        <v>61</v>
      </c>
      <c r="CR161" s="48" t="s">
        <v>61</v>
      </c>
      <c r="CS161" s="69">
        <v>9</v>
      </c>
      <c r="CT161" s="69">
        <v>1</v>
      </c>
      <c r="CU161" s="48" t="s">
        <v>61</v>
      </c>
      <c r="CV161" s="48" t="s">
        <v>61</v>
      </c>
      <c r="CW161" s="48">
        <v>-0.32</v>
      </c>
      <c r="CX161" s="48">
        <v>1.42</v>
      </c>
      <c r="CY161" s="48" t="s">
        <v>61</v>
      </c>
      <c r="CZ161" s="48" t="s">
        <v>61</v>
      </c>
      <c r="DA161" s="48" t="s">
        <v>61</v>
      </c>
      <c r="DB161" s="48">
        <v>0.14000000000000001</v>
      </c>
      <c r="DC161" s="48">
        <v>6</v>
      </c>
      <c r="DD161" s="55"/>
    </row>
    <row r="162" spans="1:114" s="43" customFormat="1">
      <c r="A162" s="51" t="s">
        <v>370</v>
      </c>
      <c r="B162" s="52">
        <v>10354</v>
      </c>
      <c r="C162" s="34">
        <v>2</v>
      </c>
      <c r="D162" s="43">
        <v>1</v>
      </c>
      <c r="E162" s="48" t="s">
        <v>139</v>
      </c>
      <c r="F162" s="26" t="s">
        <v>59</v>
      </c>
      <c r="G162" s="48">
        <f t="shared" si="2"/>
        <v>47</v>
      </c>
      <c r="H162" s="26" t="s">
        <v>59</v>
      </c>
      <c r="I162" s="26" t="s">
        <v>59</v>
      </c>
      <c r="J162" s="48" t="s">
        <v>59</v>
      </c>
      <c r="K162" s="26" t="s">
        <v>59</v>
      </c>
      <c r="L162" s="26" t="s">
        <v>59</v>
      </c>
      <c r="M162" s="26" t="s">
        <v>59</v>
      </c>
      <c r="N162" s="26" t="s">
        <v>59</v>
      </c>
      <c r="O162" s="26" t="s">
        <v>59</v>
      </c>
      <c r="P162" s="26" t="s">
        <v>59</v>
      </c>
      <c r="Q162" s="48" t="s">
        <v>59</v>
      </c>
      <c r="R162" s="48" t="s">
        <v>59</v>
      </c>
      <c r="S162" s="48" t="s">
        <v>59</v>
      </c>
      <c r="T162" s="48" t="s">
        <v>59</v>
      </c>
      <c r="U162" s="48">
        <v>21</v>
      </c>
      <c r="V162" s="48">
        <v>26</v>
      </c>
      <c r="W162" s="48" t="s">
        <v>59</v>
      </c>
      <c r="X162" s="48" t="s">
        <v>59</v>
      </c>
      <c r="Y162" s="48">
        <v>8.8000000000000007</v>
      </c>
      <c r="Z162" s="48" t="s">
        <v>61</v>
      </c>
      <c r="AA162" s="48" t="s">
        <v>61</v>
      </c>
      <c r="AB162" s="48" t="s">
        <v>61</v>
      </c>
      <c r="AC162" s="48" t="s">
        <v>61</v>
      </c>
      <c r="AD162" s="48">
        <v>9</v>
      </c>
      <c r="AE162" s="48" t="s">
        <v>61</v>
      </c>
      <c r="AF162" s="48" t="s">
        <v>61</v>
      </c>
      <c r="AG162" s="48" t="s">
        <v>61</v>
      </c>
      <c r="AH162" s="48" t="s">
        <v>61</v>
      </c>
      <c r="AI162" s="48" t="s">
        <v>59</v>
      </c>
      <c r="AJ162" s="48" t="s">
        <v>59</v>
      </c>
      <c r="AK162" s="48" t="s">
        <v>59</v>
      </c>
      <c r="AL162" s="48" t="s">
        <v>59</v>
      </c>
      <c r="AM162" s="48" t="s">
        <v>59</v>
      </c>
      <c r="AN162" s="48" t="s">
        <v>59</v>
      </c>
      <c r="AO162" s="48" t="s">
        <v>59</v>
      </c>
      <c r="AP162" s="48" t="s">
        <v>59</v>
      </c>
      <c r="AQ162" s="48" t="s">
        <v>59</v>
      </c>
      <c r="AR162" s="48" t="s">
        <v>59</v>
      </c>
      <c r="AS162" s="48" t="s">
        <v>61</v>
      </c>
      <c r="AT162" s="48" t="s">
        <v>64</v>
      </c>
      <c r="AU162" s="48" t="s">
        <v>59</v>
      </c>
      <c r="AV162" s="48" t="s">
        <v>59</v>
      </c>
      <c r="AW162" s="48" t="s">
        <v>59</v>
      </c>
      <c r="AX162" s="48" t="s">
        <v>59</v>
      </c>
      <c r="AY162" s="73">
        <v>21</v>
      </c>
      <c r="AZ162" s="73">
        <v>26</v>
      </c>
      <c r="BA162" s="73" t="s">
        <v>59</v>
      </c>
      <c r="BB162" s="73" t="s">
        <v>59</v>
      </c>
      <c r="BC162" s="48">
        <v>7.9</v>
      </c>
      <c r="BD162" s="48" t="s">
        <v>61</v>
      </c>
      <c r="BE162" s="48" t="s">
        <v>61</v>
      </c>
      <c r="BF162" s="26">
        <v>9</v>
      </c>
      <c r="BG162" s="48">
        <v>1</v>
      </c>
      <c r="BH162" s="48" t="s">
        <v>61</v>
      </c>
      <c r="BI162" s="48" t="s">
        <v>61</v>
      </c>
      <c r="BJ162" s="48" t="s">
        <v>61</v>
      </c>
      <c r="BK162" s="48" t="s">
        <v>61</v>
      </c>
      <c r="BL162" s="48" t="s">
        <v>61</v>
      </c>
      <c r="BM162" s="48" t="s">
        <v>61</v>
      </c>
      <c r="BN162" s="48" t="s">
        <v>61</v>
      </c>
      <c r="BO162" s="48" t="s">
        <v>61</v>
      </c>
      <c r="BP162" s="48">
        <v>6.82</v>
      </c>
      <c r="BQ162" s="48" t="s">
        <v>61</v>
      </c>
      <c r="BR162" s="48" t="s">
        <v>61</v>
      </c>
      <c r="BS162" s="26">
        <v>9</v>
      </c>
      <c r="BT162" s="26">
        <v>1</v>
      </c>
      <c r="BU162" s="48" t="s">
        <v>61</v>
      </c>
      <c r="BV162" s="48" t="s">
        <v>61</v>
      </c>
      <c r="BW162" s="48" t="s">
        <v>61</v>
      </c>
      <c r="BX162" s="48" t="s">
        <v>61</v>
      </c>
      <c r="BY162" s="48" t="s">
        <v>61</v>
      </c>
      <c r="BZ162" s="48" t="s">
        <v>61</v>
      </c>
      <c r="CA162" s="48" t="s">
        <v>61</v>
      </c>
      <c r="CB162" s="48" t="s">
        <v>61</v>
      </c>
      <c r="CC162" s="48" t="s">
        <v>59</v>
      </c>
      <c r="CD162" s="48" t="s">
        <v>59</v>
      </c>
      <c r="CE162" s="48" t="s">
        <v>59</v>
      </c>
      <c r="CF162" s="48"/>
      <c r="CG162" s="48"/>
      <c r="CH162" s="48" t="s">
        <v>59</v>
      </c>
      <c r="CI162" s="48" t="s">
        <v>59</v>
      </c>
      <c r="CJ162" s="48" t="s">
        <v>59</v>
      </c>
      <c r="CK162" s="48" t="s">
        <v>59</v>
      </c>
      <c r="CL162" s="48" t="s">
        <v>59</v>
      </c>
      <c r="CM162" s="48" t="s">
        <v>59</v>
      </c>
      <c r="CN162" s="48" t="s">
        <v>59</v>
      </c>
      <c r="CO162" s="48" t="s">
        <v>59</v>
      </c>
      <c r="CP162" s="48" t="s">
        <v>59</v>
      </c>
      <c r="CQ162" s="48" t="s">
        <v>59</v>
      </c>
      <c r="CR162" s="48" t="s">
        <v>59</v>
      </c>
      <c r="CS162" s="48"/>
      <c r="CT162" s="48"/>
      <c r="CU162" s="48" t="s">
        <v>59</v>
      </c>
      <c r="CV162" s="48" t="s">
        <v>59</v>
      </c>
      <c r="CW162" s="48" t="s">
        <v>59</v>
      </c>
      <c r="CX162" s="48" t="s">
        <v>59</v>
      </c>
      <c r="CY162" s="48" t="s">
        <v>59</v>
      </c>
      <c r="CZ162" s="48" t="s">
        <v>59</v>
      </c>
      <c r="DA162" s="48" t="s">
        <v>59</v>
      </c>
      <c r="DB162" s="48" t="s">
        <v>59</v>
      </c>
      <c r="DC162" s="48">
        <v>9</v>
      </c>
      <c r="DD162" s="55"/>
    </row>
    <row r="163" spans="1:114" s="43" customFormat="1" ht="14">
      <c r="A163" s="49" t="s">
        <v>376</v>
      </c>
      <c r="B163" s="43">
        <v>10407</v>
      </c>
      <c r="C163" s="34">
        <v>2</v>
      </c>
      <c r="D163" s="43">
        <v>1</v>
      </c>
      <c r="E163" s="48" t="s">
        <v>139</v>
      </c>
      <c r="F163" s="26" t="s">
        <v>59</v>
      </c>
      <c r="G163" s="48">
        <f t="shared" si="2"/>
        <v>286</v>
      </c>
      <c r="H163" s="26" t="s">
        <v>59</v>
      </c>
      <c r="I163" s="26" t="s">
        <v>59</v>
      </c>
      <c r="J163" s="48" t="s">
        <v>59</v>
      </c>
      <c r="K163" s="26" t="s">
        <v>59</v>
      </c>
      <c r="L163" s="26" t="s">
        <v>59</v>
      </c>
      <c r="M163" s="26" t="s">
        <v>59</v>
      </c>
      <c r="N163" s="26" t="s">
        <v>59</v>
      </c>
      <c r="O163" s="26" t="s">
        <v>59</v>
      </c>
      <c r="P163" s="26" t="s">
        <v>59</v>
      </c>
      <c r="Q163" s="48" t="s">
        <v>59</v>
      </c>
      <c r="R163" s="48" t="s">
        <v>59</v>
      </c>
      <c r="S163" s="48" t="s">
        <v>59</v>
      </c>
      <c r="T163" s="48" t="s">
        <v>59</v>
      </c>
      <c r="U163" s="69">
        <v>117</v>
      </c>
      <c r="V163" s="69">
        <v>169</v>
      </c>
      <c r="W163" s="48" t="s">
        <v>59</v>
      </c>
      <c r="X163" s="48" t="s">
        <v>59</v>
      </c>
      <c r="Y163" s="69">
        <v>8.83</v>
      </c>
      <c r="Z163" s="69">
        <v>1.75</v>
      </c>
      <c r="AA163" s="69" t="s">
        <v>61</v>
      </c>
      <c r="AB163" s="69" t="s">
        <v>61</v>
      </c>
      <c r="AC163" s="69" t="s">
        <v>61</v>
      </c>
      <c r="AD163" s="48">
        <v>9.27</v>
      </c>
      <c r="AE163" s="48">
        <v>2.2999999999999998</v>
      </c>
      <c r="AF163" s="69" t="s">
        <v>61</v>
      </c>
      <c r="AG163" s="69" t="s">
        <v>61</v>
      </c>
      <c r="AH163" s="69" t="s">
        <v>61</v>
      </c>
      <c r="AI163" s="69" t="s">
        <v>59</v>
      </c>
      <c r="AJ163" s="69" t="s">
        <v>59</v>
      </c>
      <c r="AK163" s="69" t="s">
        <v>59</v>
      </c>
      <c r="AL163" s="69" t="s">
        <v>59</v>
      </c>
      <c r="AM163" s="69" t="s">
        <v>59</v>
      </c>
      <c r="AN163" s="69" t="s">
        <v>59</v>
      </c>
      <c r="AO163" s="69" t="s">
        <v>59</v>
      </c>
      <c r="AP163" s="69" t="s">
        <v>59</v>
      </c>
      <c r="AQ163" s="69" t="s">
        <v>59</v>
      </c>
      <c r="AR163" s="69" t="s">
        <v>59</v>
      </c>
      <c r="AS163" s="69" t="s">
        <v>61</v>
      </c>
      <c r="AT163" s="69" t="s">
        <v>64</v>
      </c>
      <c r="AU163" s="69" t="s">
        <v>59</v>
      </c>
      <c r="AV163" s="69" t="s">
        <v>59</v>
      </c>
      <c r="AW163" s="69" t="s">
        <v>59</v>
      </c>
      <c r="AX163" s="69" t="s">
        <v>59</v>
      </c>
      <c r="AY163" s="215">
        <v>117</v>
      </c>
      <c r="AZ163" s="215">
        <v>169</v>
      </c>
      <c r="BA163" s="73" t="s">
        <v>59</v>
      </c>
      <c r="BB163" s="215" t="s">
        <v>59</v>
      </c>
      <c r="BC163" s="69">
        <v>8.67</v>
      </c>
      <c r="BD163" s="48" t="s">
        <v>61</v>
      </c>
      <c r="BE163" s="69">
        <v>0.18</v>
      </c>
      <c r="BF163" s="48">
        <v>1</v>
      </c>
      <c r="BG163" s="48">
        <v>1</v>
      </c>
      <c r="BH163" s="69" t="s">
        <v>61</v>
      </c>
      <c r="BI163" s="69" t="s">
        <v>61</v>
      </c>
      <c r="BJ163" s="69" t="s">
        <v>61</v>
      </c>
      <c r="BK163" s="69" t="s">
        <v>61</v>
      </c>
      <c r="BL163" s="69" t="s">
        <v>61</v>
      </c>
      <c r="BM163" s="69" t="s">
        <v>61</v>
      </c>
      <c r="BN163" s="69" t="s">
        <v>61</v>
      </c>
      <c r="BO163" s="69" t="s">
        <v>61</v>
      </c>
      <c r="BP163" s="69">
        <v>8.98</v>
      </c>
      <c r="BQ163" s="48" t="s">
        <v>61</v>
      </c>
      <c r="BR163" s="26">
        <v>0.19</v>
      </c>
      <c r="BS163" s="69">
        <v>1</v>
      </c>
      <c r="BT163" s="26">
        <v>1</v>
      </c>
      <c r="BU163" s="69" t="s">
        <v>61</v>
      </c>
      <c r="BV163" s="69" t="s">
        <v>61</v>
      </c>
      <c r="BW163" s="69" t="s">
        <v>61</v>
      </c>
      <c r="BX163" s="69" t="s">
        <v>61</v>
      </c>
      <c r="BY163" s="69" t="s">
        <v>61</v>
      </c>
      <c r="BZ163" s="69" t="s">
        <v>61</v>
      </c>
      <c r="CA163" s="69" t="s">
        <v>61</v>
      </c>
      <c r="CB163" s="69" t="s">
        <v>61</v>
      </c>
      <c r="CC163" s="69" t="s">
        <v>59</v>
      </c>
      <c r="CD163" s="69" t="s">
        <v>61</v>
      </c>
      <c r="CE163" s="69" t="s">
        <v>59</v>
      </c>
      <c r="CF163" s="69"/>
      <c r="CG163" s="69"/>
      <c r="CH163" s="69" t="s">
        <v>59</v>
      </c>
      <c r="CI163" s="69" t="s">
        <v>59</v>
      </c>
      <c r="CJ163" s="69" t="s">
        <v>59</v>
      </c>
      <c r="CK163" s="69" t="s">
        <v>59</v>
      </c>
      <c r="CL163" s="69" t="s">
        <v>59</v>
      </c>
      <c r="CM163" s="69" t="s">
        <v>59</v>
      </c>
      <c r="CN163" s="69" t="s">
        <v>59</v>
      </c>
      <c r="CO163" s="69" t="s">
        <v>59</v>
      </c>
      <c r="CP163" s="69" t="s">
        <v>59</v>
      </c>
      <c r="CQ163" s="69" t="s">
        <v>59</v>
      </c>
      <c r="CR163" s="69" t="s">
        <v>59</v>
      </c>
      <c r="CS163" s="69"/>
      <c r="CT163" s="69"/>
      <c r="CU163" s="69" t="s">
        <v>59</v>
      </c>
      <c r="CV163" s="69" t="s">
        <v>59</v>
      </c>
      <c r="CW163" s="69" t="s">
        <v>59</v>
      </c>
      <c r="CX163" s="69" t="s">
        <v>59</v>
      </c>
      <c r="CY163" s="69" t="s">
        <v>59</v>
      </c>
      <c r="CZ163" s="69" t="s">
        <v>59</v>
      </c>
      <c r="DA163" s="69" t="s">
        <v>59</v>
      </c>
      <c r="DB163" s="69" t="s">
        <v>59</v>
      </c>
      <c r="DC163" s="69">
        <v>12</v>
      </c>
      <c r="DD163" s="55"/>
    </row>
    <row r="164" spans="1:114" s="43" customFormat="1" ht="14">
      <c r="A164" s="34" t="s">
        <v>143</v>
      </c>
      <c r="B164" s="34">
        <v>248</v>
      </c>
      <c r="C164" s="34">
        <v>2</v>
      </c>
      <c r="D164" s="43">
        <v>1</v>
      </c>
      <c r="E164" s="26" t="s">
        <v>139</v>
      </c>
      <c r="F164" s="26" t="s">
        <v>59</v>
      </c>
      <c r="G164" s="48">
        <f t="shared" si="2"/>
        <v>138</v>
      </c>
      <c r="H164" s="26" t="s">
        <v>59</v>
      </c>
      <c r="I164" s="26" t="s">
        <v>60</v>
      </c>
      <c r="J164" s="26" t="s">
        <v>59</v>
      </c>
      <c r="K164" s="26" t="s">
        <v>59</v>
      </c>
      <c r="L164" s="26" t="s">
        <v>59</v>
      </c>
      <c r="M164" s="26" t="s">
        <v>59</v>
      </c>
      <c r="N164" s="26" t="s">
        <v>59</v>
      </c>
      <c r="O164" s="26" t="s">
        <v>59</v>
      </c>
      <c r="P164" s="26" t="s">
        <v>59</v>
      </c>
      <c r="Q164" s="26" t="s">
        <v>60</v>
      </c>
      <c r="R164" s="26" t="s">
        <v>60</v>
      </c>
      <c r="S164" s="26" t="s">
        <v>60</v>
      </c>
      <c r="T164" s="26" t="s">
        <v>60</v>
      </c>
      <c r="U164" s="26">
        <v>67</v>
      </c>
      <c r="V164" s="26">
        <v>71</v>
      </c>
      <c r="W164" s="26" t="s">
        <v>60</v>
      </c>
      <c r="X164" s="26" t="s">
        <v>60</v>
      </c>
      <c r="Y164" s="26">
        <v>8.9</v>
      </c>
      <c r="Z164" s="222">
        <v>1.41</v>
      </c>
      <c r="AA164" s="26" t="s">
        <v>61</v>
      </c>
      <c r="AB164" s="26">
        <v>8.4</v>
      </c>
      <c r="AC164" s="27" t="s">
        <v>144</v>
      </c>
      <c r="AD164" s="26">
        <v>9</v>
      </c>
      <c r="AE164" s="222">
        <v>1.26</v>
      </c>
      <c r="AF164" s="26" t="s">
        <v>61</v>
      </c>
      <c r="AG164" s="26">
        <v>8.8000000000000007</v>
      </c>
      <c r="AH164" s="27" t="s">
        <v>145</v>
      </c>
      <c r="AI164" s="26" t="s">
        <v>60</v>
      </c>
      <c r="AJ164" s="26" t="s">
        <v>60</v>
      </c>
      <c r="AK164" s="26" t="s">
        <v>59</v>
      </c>
      <c r="AL164" s="26" t="s">
        <v>59</v>
      </c>
      <c r="AM164" s="26" t="s">
        <v>59</v>
      </c>
      <c r="AN164" s="26" t="s">
        <v>60</v>
      </c>
      <c r="AO164" s="26" t="s">
        <v>60</v>
      </c>
      <c r="AP164" s="26" t="s">
        <v>59</v>
      </c>
      <c r="AQ164" s="26" t="s">
        <v>59</v>
      </c>
      <c r="AR164" s="26" t="s">
        <v>59</v>
      </c>
      <c r="AS164" s="26" t="s">
        <v>61</v>
      </c>
      <c r="AT164" s="26" t="s">
        <v>64</v>
      </c>
      <c r="AU164" s="26" t="s">
        <v>59</v>
      </c>
      <c r="AV164" s="26" t="s">
        <v>59</v>
      </c>
      <c r="AW164" s="26" t="s">
        <v>59</v>
      </c>
      <c r="AX164" s="26" t="s">
        <v>59</v>
      </c>
      <c r="AY164" s="186">
        <v>67</v>
      </c>
      <c r="AZ164" s="186">
        <v>71</v>
      </c>
      <c r="BA164" s="186" t="s">
        <v>60</v>
      </c>
      <c r="BB164" s="186" t="s">
        <v>60</v>
      </c>
      <c r="BC164" s="26">
        <v>8.3000000000000007</v>
      </c>
      <c r="BD164" s="27" t="s">
        <v>61</v>
      </c>
      <c r="BE164" s="26" t="s">
        <v>61</v>
      </c>
      <c r="BF164" s="26">
        <v>9</v>
      </c>
      <c r="BG164" s="48">
        <v>1</v>
      </c>
      <c r="BH164" s="27" t="s">
        <v>61</v>
      </c>
      <c r="BI164" s="27" t="s">
        <v>61</v>
      </c>
      <c r="BJ164" s="26">
        <v>-0.6</v>
      </c>
      <c r="BK164" s="26" t="s">
        <v>61</v>
      </c>
      <c r="BL164" s="26" t="s">
        <v>61</v>
      </c>
      <c r="BM164" s="26" t="s">
        <v>61</v>
      </c>
      <c r="BN164" s="26" t="s">
        <v>61</v>
      </c>
      <c r="BO164" s="26" t="s">
        <v>61</v>
      </c>
      <c r="BP164" s="26">
        <v>7.3</v>
      </c>
      <c r="BQ164" s="69" t="s">
        <v>61</v>
      </c>
      <c r="BR164" s="26" t="s">
        <v>61</v>
      </c>
      <c r="BS164" s="26">
        <v>9</v>
      </c>
      <c r="BT164" s="26">
        <v>1</v>
      </c>
      <c r="BU164" s="27" t="s">
        <v>61</v>
      </c>
      <c r="BV164" s="27" t="s">
        <v>61</v>
      </c>
      <c r="BW164" s="26">
        <v>-1.7</v>
      </c>
      <c r="BX164" s="26" t="s">
        <v>61</v>
      </c>
      <c r="BY164" s="27" t="s">
        <v>61</v>
      </c>
      <c r="BZ164" s="26" t="s">
        <v>61</v>
      </c>
      <c r="CA164" s="27" t="s">
        <v>61</v>
      </c>
      <c r="CB164" s="26" t="s">
        <v>61</v>
      </c>
      <c r="CC164" s="26" t="s">
        <v>60</v>
      </c>
      <c r="CD164" s="26" t="s">
        <v>60</v>
      </c>
      <c r="CE164" s="26" t="s">
        <v>59</v>
      </c>
      <c r="CF164" s="26"/>
      <c r="CG164" s="26"/>
      <c r="CH164" s="26" t="s">
        <v>59</v>
      </c>
      <c r="CI164" s="26" t="s">
        <v>59</v>
      </c>
      <c r="CJ164" s="26" t="s">
        <v>59</v>
      </c>
      <c r="CK164" s="26" t="s">
        <v>59</v>
      </c>
      <c r="CL164" s="26" t="s">
        <v>59</v>
      </c>
      <c r="CM164" s="26" t="s">
        <v>59</v>
      </c>
      <c r="CN164" s="26" t="s">
        <v>59</v>
      </c>
      <c r="CO164" s="26" t="s">
        <v>59</v>
      </c>
      <c r="CP164" s="26" t="s">
        <v>60</v>
      </c>
      <c r="CQ164" s="26" t="s">
        <v>60</v>
      </c>
      <c r="CR164" s="26" t="s">
        <v>59</v>
      </c>
      <c r="CS164" s="26"/>
      <c r="CT164" s="26"/>
      <c r="CU164" s="26" t="s">
        <v>59</v>
      </c>
      <c r="CV164" s="26" t="s">
        <v>59</v>
      </c>
      <c r="CW164" s="26" t="s">
        <v>59</v>
      </c>
      <c r="CX164" s="26" t="s">
        <v>59</v>
      </c>
      <c r="CY164" s="26" t="s">
        <v>59</v>
      </c>
      <c r="CZ164" s="26" t="s">
        <v>59</v>
      </c>
      <c r="DA164" s="26" t="s">
        <v>59</v>
      </c>
      <c r="DB164" s="26" t="s">
        <v>59</v>
      </c>
      <c r="DC164" s="26">
        <v>12</v>
      </c>
      <c r="DD164" s="29" t="s">
        <v>146</v>
      </c>
      <c r="DE164" s="22"/>
      <c r="DF164" s="22"/>
      <c r="DG164" s="26"/>
      <c r="DH164" s="27"/>
      <c r="DI164" s="22"/>
      <c r="DJ164" s="26"/>
    </row>
    <row r="165" spans="1:114" s="43" customFormat="1" ht="14">
      <c r="A165" s="49" t="s">
        <v>358</v>
      </c>
      <c r="B165" s="43">
        <v>10224</v>
      </c>
      <c r="C165" s="34">
        <v>2</v>
      </c>
      <c r="D165" s="43">
        <v>1</v>
      </c>
      <c r="E165" s="48" t="s">
        <v>139</v>
      </c>
      <c r="F165" s="26" t="s">
        <v>59</v>
      </c>
      <c r="G165" s="48">
        <f t="shared" si="2"/>
        <v>165</v>
      </c>
      <c r="H165" s="26" t="s">
        <v>59</v>
      </c>
      <c r="I165" s="26" t="s">
        <v>59</v>
      </c>
      <c r="J165" s="48" t="s">
        <v>59</v>
      </c>
      <c r="K165" s="26" t="s">
        <v>59</v>
      </c>
      <c r="L165" s="26" t="s">
        <v>59</v>
      </c>
      <c r="M165" s="26" t="s">
        <v>59</v>
      </c>
      <c r="N165" s="26" t="s">
        <v>59</v>
      </c>
      <c r="O165" s="26" t="s">
        <v>59</v>
      </c>
      <c r="P165" s="26" t="s">
        <v>59</v>
      </c>
      <c r="Q165" s="48" t="s">
        <v>59</v>
      </c>
      <c r="R165" s="48" t="s">
        <v>59</v>
      </c>
      <c r="S165" s="48" t="s">
        <v>59</v>
      </c>
      <c r="T165" s="48" t="s">
        <v>59</v>
      </c>
      <c r="U165" s="48">
        <v>80</v>
      </c>
      <c r="V165" s="48">
        <v>85</v>
      </c>
      <c r="W165" s="48" t="s">
        <v>59</v>
      </c>
      <c r="X165" s="48" t="s">
        <v>59</v>
      </c>
      <c r="Y165" s="48">
        <v>8.9</v>
      </c>
      <c r="Z165" s="48">
        <v>1.8</v>
      </c>
      <c r="AA165" s="48" t="s">
        <v>61</v>
      </c>
      <c r="AB165" s="48" t="s">
        <v>61</v>
      </c>
      <c r="AC165" s="48" t="s">
        <v>61</v>
      </c>
      <c r="AD165" s="48">
        <v>9.3000000000000007</v>
      </c>
      <c r="AE165" s="48">
        <v>1.9</v>
      </c>
      <c r="AF165" s="48" t="s">
        <v>61</v>
      </c>
      <c r="AG165" s="48" t="s">
        <v>61</v>
      </c>
      <c r="AH165" s="48" t="s">
        <v>61</v>
      </c>
      <c r="AI165" s="48" t="s">
        <v>59</v>
      </c>
      <c r="AJ165" s="48" t="s">
        <v>59</v>
      </c>
      <c r="AK165" s="48" t="s">
        <v>59</v>
      </c>
      <c r="AL165" s="48" t="s">
        <v>59</v>
      </c>
      <c r="AM165" s="48" t="s">
        <v>59</v>
      </c>
      <c r="AN165" s="48" t="s">
        <v>59</v>
      </c>
      <c r="AO165" s="48" t="s">
        <v>59</v>
      </c>
      <c r="AP165" s="48" t="s">
        <v>59</v>
      </c>
      <c r="AQ165" s="48" t="s">
        <v>59</v>
      </c>
      <c r="AR165" s="48" t="s">
        <v>59</v>
      </c>
      <c r="AS165" s="48">
        <v>0.19</v>
      </c>
      <c r="AT165" s="48" t="s">
        <v>64</v>
      </c>
      <c r="AU165" s="48" t="s">
        <v>59</v>
      </c>
      <c r="AV165" s="48" t="s">
        <v>59</v>
      </c>
      <c r="AW165" s="48" t="s">
        <v>59</v>
      </c>
      <c r="AX165" s="48" t="s">
        <v>59</v>
      </c>
      <c r="AY165" s="73">
        <v>80</v>
      </c>
      <c r="AZ165" s="73">
        <v>85</v>
      </c>
      <c r="BA165" s="73" t="s">
        <v>59</v>
      </c>
      <c r="BB165" s="73" t="s">
        <v>59</v>
      </c>
      <c r="BC165" s="48">
        <v>8.6</v>
      </c>
      <c r="BD165" s="69" t="s">
        <v>61</v>
      </c>
      <c r="BE165" s="48">
        <v>0.3</v>
      </c>
      <c r="BF165" s="48">
        <v>1</v>
      </c>
      <c r="BG165" s="48">
        <v>1</v>
      </c>
      <c r="BH165" s="48" t="s">
        <v>61</v>
      </c>
      <c r="BI165" s="48" t="s">
        <v>61</v>
      </c>
      <c r="BJ165" s="48" t="s">
        <v>61</v>
      </c>
      <c r="BK165" s="48" t="s">
        <v>61</v>
      </c>
      <c r="BL165" s="48" t="s">
        <v>61</v>
      </c>
      <c r="BM165" s="48" t="s">
        <v>61</v>
      </c>
      <c r="BN165" s="48" t="s">
        <v>61</v>
      </c>
      <c r="BO165" s="48" t="s">
        <v>61</v>
      </c>
      <c r="BP165" s="48">
        <v>8.1999999999999993</v>
      </c>
      <c r="BQ165" s="26" t="s">
        <v>61</v>
      </c>
      <c r="BR165" s="48">
        <v>0.4</v>
      </c>
      <c r="BS165" s="69">
        <v>1</v>
      </c>
      <c r="BT165" s="26">
        <v>1</v>
      </c>
      <c r="BU165" s="48" t="s">
        <v>61</v>
      </c>
      <c r="BV165" s="48" t="s">
        <v>61</v>
      </c>
      <c r="BW165" s="48" t="s">
        <v>61</v>
      </c>
      <c r="BX165" s="48" t="s">
        <v>61</v>
      </c>
      <c r="BY165" s="48" t="s">
        <v>61</v>
      </c>
      <c r="BZ165" s="48" t="s">
        <v>61</v>
      </c>
      <c r="CA165" s="48" t="s">
        <v>61</v>
      </c>
      <c r="CB165" s="48" t="s">
        <v>61</v>
      </c>
      <c r="CC165" s="48" t="s">
        <v>59</v>
      </c>
      <c r="CD165" s="48" t="s">
        <v>59</v>
      </c>
      <c r="CE165" s="48" t="s">
        <v>59</v>
      </c>
      <c r="CF165" s="48"/>
      <c r="CG165" s="48"/>
      <c r="CH165" s="48" t="s">
        <v>59</v>
      </c>
      <c r="CI165" s="48" t="s">
        <v>59</v>
      </c>
      <c r="CJ165" s="48" t="s">
        <v>59</v>
      </c>
      <c r="CK165" s="48" t="s">
        <v>59</v>
      </c>
      <c r="CL165" s="48" t="s">
        <v>59</v>
      </c>
      <c r="CM165" s="48" t="s">
        <v>59</v>
      </c>
      <c r="CN165" s="48" t="s">
        <v>59</v>
      </c>
      <c r="CO165" s="48" t="s">
        <v>59</v>
      </c>
      <c r="CP165" s="48" t="s">
        <v>59</v>
      </c>
      <c r="CQ165" s="48" t="s">
        <v>59</v>
      </c>
      <c r="CR165" s="48" t="s">
        <v>59</v>
      </c>
      <c r="CS165" s="48"/>
      <c r="CT165" s="48"/>
      <c r="CU165" s="48" t="s">
        <v>59</v>
      </c>
      <c r="CV165" s="48" t="s">
        <v>59</v>
      </c>
      <c r="CW165" s="48" t="s">
        <v>59</v>
      </c>
      <c r="CX165" s="48" t="s">
        <v>59</v>
      </c>
      <c r="CY165" s="48" t="s">
        <v>59</v>
      </c>
      <c r="CZ165" s="48" t="s">
        <v>59</v>
      </c>
      <c r="DA165" s="48" t="s">
        <v>59</v>
      </c>
      <c r="DB165" s="48" t="s">
        <v>59</v>
      </c>
      <c r="DC165" s="48">
        <v>12</v>
      </c>
      <c r="DD165" s="55"/>
    </row>
    <row r="166" spans="1:114" s="43" customFormat="1" ht="14">
      <c r="A166" s="49" t="s">
        <v>415</v>
      </c>
      <c r="B166" s="43">
        <v>12356</v>
      </c>
      <c r="C166" s="34">
        <v>2</v>
      </c>
      <c r="D166" s="43">
        <v>1</v>
      </c>
      <c r="E166" s="48" t="s">
        <v>139</v>
      </c>
      <c r="F166" s="26" t="s">
        <v>59</v>
      </c>
      <c r="G166" s="48">
        <f t="shared" si="2"/>
        <v>99</v>
      </c>
      <c r="H166" s="26" t="s">
        <v>59</v>
      </c>
      <c r="I166" s="26" t="s">
        <v>59</v>
      </c>
      <c r="J166" s="48" t="s">
        <v>59</v>
      </c>
      <c r="K166" s="26" t="s">
        <v>59</v>
      </c>
      <c r="L166" s="26" t="s">
        <v>59</v>
      </c>
      <c r="M166" s="26" t="s">
        <v>59</v>
      </c>
      <c r="N166" s="26" t="s">
        <v>59</v>
      </c>
      <c r="O166" s="26" t="s">
        <v>59</v>
      </c>
      <c r="P166" s="26" t="s">
        <v>59</v>
      </c>
      <c r="Q166" s="48" t="s">
        <v>59</v>
      </c>
      <c r="R166" s="48" t="s">
        <v>59</v>
      </c>
      <c r="S166" s="48" t="s">
        <v>59</v>
      </c>
      <c r="T166" s="48" t="s">
        <v>59</v>
      </c>
      <c r="U166" s="48">
        <v>47</v>
      </c>
      <c r="V166" s="48">
        <v>58</v>
      </c>
      <c r="W166" s="48" t="s">
        <v>59</v>
      </c>
      <c r="X166" s="48" t="s">
        <v>59</v>
      </c>
      <c r="Y166" s="69">
        <v>8.9</v>
      </c>
      <c r="Z166" s="69">
        <v>2</v>
      </c>
      <c r="AA166" s="69" t="s">
        <v>61</v>
      </c>
      <c r="AB166" s="69" t="s">
        <v>61</v>
      </c>
      <c r="AC166" s="69" t="s">
        <v>61</v>
      </c>
      <c r="AD166" s="69">
        <v>9.1999999999999993</v>
      </c>
      <c r="AE166" s="69">
        <v>2.1</v>
      </c>
      <c r="AF166" s="69" t="s">
        <v>61</v>
      </c>
      <c r="AG166" s="69" t="s">
        <v>61</v>
      </c>
      <c r="AH166" s="69" t="s">
        <v>61</v>
      </c>
      <c r="AI166" s="69" t="s">
        <v>59</v>
      </c>
      <c r="AJ166" s="69" t="s">
        <v>59</v>
      </c>
      <c r="AK166" s="69" t="s">
        <v>59</v>
      </c>
      <c r="AL166" s="69" t="s">
        <v>59</v>
      </c>
      <c r="AM166" s="69" t="s">
        <v>59</v>
      </c>
      <c r="AN166" s="69" t="s">
        <v>59</v>
      </c>
      <c r="AO166" s="69" t="s">
        <v>59</v>
      </c>
      <c r="AP166" s="69" t="s">
        <v>59</v>
      </c>
      <c r="AQ166" s="69" t="s">
        <v>59</v>
      </c>
      <c r="AR166" s="69" t="s">
        <v>59</v>
      </c>
      <c r="AS166" s="69">
        <v>0.45800000000000002</v>
      </c>
      <c r="AT166" s="69" t="s">
        <v>64</v>
      </c>
      <c r="AU166" s="69" t="s">
        <v>59</v>
      </c>
      <c r="AV166" s="69" t="s">
        <v>59</v>
      </c>
      <c r="AW166" s="69" t="s">
        <v>59</v>
      </c>
      <c r="AX166" s="69" t="s">
        <v>59</v>
      </c>
      <c r="AY166" s="215">
        <v>43</v>
      </c>
      <c r="AZ166" s="215">
        <v>56</v>
      </c>
      <c r="BA166" s="215" t="s">
        <v>59</v>
      </c>
      <c r="BB166" s="215" t="s">
        <v>59</v>
      </c>
      <c r="BC166" s="69">
        <v>9.3000000000000007</v>
      </c>
      <c r="BD166" s="69" t="s">
        <v>61</v>
      </c>
      <c r="BE166" s="69" t="s">
        <v>61</v>
      </c>
      <c r="BF166" s="26">
        <v>9</v>
      </c>
      <c r="BG166" s="48">
        <v>1</v>
      </c>
      <c r="BH166" s="69" t="s">
        <v>61</v>
      </c>
      <c r="BI166" s="69" t="s">
        <v>61</v>
      </c>
      <c r="BJ166" s="69">
        <v>0.4</v>
      </c>
      <c r="BK166" s="69">
        <v>1.3</v>
      </c>
      <c r="BL166" s="69" t="s">
        <v>61</v>
      </c>
      <c r="BM166" s="69" t="s">
        <v>61</v>
      </c>
      <c r="BN166" s="69" t="s">
        <v>61</v>
      </c>
      <c r="BO166" s="69" t="s">
        <v>61</v>
      </c>
      <c r="BP166" s="69">
        <v>8.3000000000000007</v>
      </c>
      <c r="BQ166" s="69" t="s">
        <v>61</v>
      </c>
      <c r="BR166" s="69" t="s">
        <v>61</v>
      </c>
      <c r="BS166" s="26">
        <v>9</v>
      </c>
      <c r="BT166" s="26">
        <v>1</v>
      </c>
      <c r="BU166" s="69" t="s">
        <v>61</v>
      </c>
      <c r="BV166" s="69" t="s">
        <v>61</v>
      </c>
      <c r="BW166" s="69">
        <v>-0.9</v>
      </c>
      <c r="BX166" s="69">
        <v>2.1</v>
      </c>
      <c r="BY166" s="69" t="s">
        <v>61</v>
      </c>
      <c r="BZ166" s="69" t="s">
        <v>61</v>
      </c>
      <c r="CA166" s="69" t="s">
        <v>61</v>
      </c>
      <c r="CB166" s="69" t="s">
        <v>61</v>
      </c>
      <c r="CC166" s="69" t="s">
        <v>59</v>
      </c>
      <c r="CD166" s="69" t="s">
        <v>59</v>
      </c>
      <c r="CE166" s="69" t="s">
        <v>59</v>
      </c>
      <c r="CF166" s="69"/>
      <c r="CG166" s="69"/>
      <c r="CH166" s="69" t="s">
        <v>59</v>
      </c>
      <c r="CI166" s="69" t="s">
        <v>59</v>
      </c>
      <c r="CJ166" s="69" t="s">
        <v>59</v>
      </c>
      <c r="CK166" s="69" t="s">
        <v>59</v>
      </c>
      <c r="CL166" s="69" t="s">
        <v>59</v>
      </c>
      <c r="CM166" s="69" t="s">
        <v>59</v>
      </c>
      <c r="CN166" s="69" t="s">
        <v>59</v>
      </c>
      <c r="CO166" s="69" t="s">
        <v>59</v>
      </c>
      <c r="CP166" s="69" t="s">
        <v>59</v>
      </c>
      <c r="CQ166" s="69" t="s">
        <v>59</v>
      </c>
      <c r="CR166" s="69" t="s">
        <v>59</v>
      </c>
      <c r="CS166" s="69"/>
      <c r="CT166" s="69"/>
      <c r="CU166" s="69" t="s">
        <v>59</v>
      </c>
      <c r="CV166" s="69" t="s">
        <v>59</v>
      </c>
      <c r="CW166" s="69" t="s">
        <v>59</v>
      </c>
      <c r="CX166" s="69" t="s">
        <v>59</v>
      </c>
      <c r="CY166" s="69" t="s">
        <v>59</v>
      </c>
      <c r="CZ166" s="69" t="s">
        <v>59</v>
      </c>
      <c r="DA166" s="69" t="s">
        <v>59</v>
      </c>
      <c r="DB166" s="69" t="s">
        <v>59</v>
      </c>
      <c r="DC166" s="69">
        <v>6</v>
      </c>
      <c r="DD166" s="55"/>
    </row>
    <row r="167" spans="1:114" s="43" customFormat="1" ht="14">
      <c r="A167" s="49" t="s">
        <v>384</v>
      </c>
      <c r="B167" s="43">
        <v>11220</v>
      </c>
      <c r="C167" s="34">
        <v>2</v>
      </c>
      <c r="D167" s="43">
        <v>1</v>
      </c>
      <c r="E167" s="48" t="s">
        <v>139</v>
      </c>
      <c r="F167" s="26" t="s">
        <v>59</v>
      </c>
      <c r="G167" s="48">
        <f t="shared" si="2"/>
        <v>66</v>
      </c>
      <c r="H167" s="26" t="s">
        <v>59</v>
      </c>
      <c r="I167" s="26" t="s">
        <v>59</v>
      </c>
      <c r="J167" s="48" t="s">
        <v>59</v>
      </c>
      <c r="K167" s="26" t="s">
        <v>59</v>
      </c>
      <c r="L167" s="26" t="s">
        <v>59</v>
      </c>
      <c r="M167" s="26" t="s">
        <v>59</v>
      </c>
      <c r="N167" s="26" t="s">
        <v>59</v>
      </c>
      <c r="O167" s="26" t="s">
        <v>59</v>
      </c>
      <c r="P167" s="26" t="s">
        <v>59</v>
      </c>
      <c r="Q167" s="48" t="s">
        <v>59</v>
      </c>
      <c r="R167" s="48" t="s">
        <v>59</v>
      </c>
      <c r="S167" s="48" t="s">
        <v>59</v>
      </c>
      <c r="T167" s="48" t="s">
        <v>59</v>
      </c>
      <c r="U167" s="48">
        <v>32</v>
      </c>
      <c r="V167" s="48">
        <v>34</v>
      </c>
      <c r="W167" s="48" t="s">
        <v>59</v>
      </c>
      <c r="X167" s="48" t="s">
        <v>59</v>
      </c>
      <c r="Y167" s="69">
        <v>8.9</v>
      </c>
      <c r="Z167" s="69">
        <v>3.1</v>
      </c>
      <c r="AA167" s="69" t="s">
        <v>61</v>
      </c>
      <c r="AB167" s="69" t="s">
        <v>61</v>
      </c>
      <c r="AC167" s="69" t="s">
        <v>61</v>
      </c>
      <c r="AD167" s="69">
        <v>9</v>
      </c>
      <c r="AE167" s="69">
        <v>2.2999999999999998</v>
      </c>
      <c r="AF167" s="69" t="s">
        <v>61</v>
      </c>
      <c r="AG167" s="69" t="s">
        <v>61</v>
      </c>
      <c r="AH167" s="69" t="s">
        <v>61</v>
      </c>
      <c r="AI167" s="69" t="s">
        <v>59</v>
      </c>
      <c r="AJ167" s="69" t="s">
        <v>59</v>
      </c>
      <c r="AK167" s="69" t="s">
        <v>59</v>
      </c>
      <c r="AL167" s="69" t="s">
        <v>59</v>
      </c>
      <c r="AM167" s="69" t="s">
        <v>59</v>
      </c>
      <c r="AN167" s="69" t="s">
        <v>59</v>
      </c>
      <c r="AO167" s="69" t="s">
        <v>59</v>
      </c>
      <c r="AP167" s="69" t="s">
        <v>59</v>
      </c>
      <c r="AQ167" s="69" t="s">
        <v>59</v>
      </c>
      <c r="AR167" s="69" t="s">
        <v>59</v>
      </c>
      <c r="AS167" s="69">
        <v>0.76</v>
      </c>
      <c r="AT167" s="69" t="s">
        <v>64</v>
      </c>
      <c r="AU167" s="69" t="s">
        <v>59</v>
      </c>
      <c r="AV167" s="69" t="s">
        <v>59</v>
      </c>
      <c r="AW167" s="69" t="s">
        <v>59</v>
      </c>
      <c r="AX167" s="69" t="s">
        <v>59</v>
      </c>
      <c r="AY167" s="215">
        <v>32</v>
      </c>
      <c r="AZ167" s="215">
        <v>34</v>
      </c>
      <c r="BA167" s="215" t="s">
        <v>59</v>
      </c>
      <c r="BB167" s="215" t="s">
        <v>59</v>
      </c>
      <c r="BC167" s="69">
        <v>8.3000000000000007</v>
      </c>
      <c r="BD167" s="69" t="s">
        <v>61</v>
      </c>
      <c r="BE167" s="26" t="s">
        <v>61</v>
      </c>
      <c r="BF167" s="26">
        <v>9</v>
      </c>
      <c r="BG167" s="48">
        <v>1</v>
      </c>
      <c r="BH167" s="69" t="s">
        <v>59</v>
      </c>
      <c r="BI167" s="69" t="s">
        <v>59</v>
      </c>
      <c r="BJ167" s="69">
        <v>-0.6</v>
      </c>
      <c r="BK167" s="69" t="s">
        <v>61</v>
      </c>
      <c r="BL167" s="69" t="s">
        <v>61</v>
      </c>
      <c r="BM167" s="69" t="s">
        <v>61</v>
      </c>
      <c r="BN167" s="69" t="s">
        <v>61</v>
      </c>
      <c r="BO167" s="69">
        <v>8.5999999999999993E-2</v>
      </c>
      <c r="BP167" s="69">
        <v>7.3</v>
      </c>
      <c r="BQ167" s="69" t="s">
        <v>61</v>
      </c>
      <c r="BR167" s="69" t="s">
        <v>59</v>
      </c>
      <c r="BS167" s="26">
        <v>9</v>
      </c>
      <c r="BT167" s="26">
        <v>1</v>
      </c>
      <c r="BU167" s="69" t="s">
        <v>59</v>
      </c>
      <c r="BV167" s="69" t="s">
        <v>59</v>
      </c>
      <c r="BW167" s="69">
        <v>-1.7</v>
      </c>
      <c r="BX167" s="69" t="s">
        <v>61</v>
      </c>
      <c r="BY167" s="69" t="s">
        <v>61</v>
      </c>
      <c r="BZ167" s="69" t="s">
        <v>61</v>
      </c>
      <c r="CA167" s="69" t="s">
        <v>61</v>
      </c>
      <c r="CB167" s="69">
        <v>1.4999999999999999E-2</v>
      </c>
      <c r="CC167" s="69" t="s">
        <v>59</v>
      </c>
      <c r="CD167" s="69" t="s">
        <v>59</v>
      </c>
      <c r="CE167" s="69" t="s">
        <v>59</v>
      </c>
      <c r="CF167" s="69"/>
      <c r="CG167" s="69"/>
      <c r="CH167" s="69" t="s">
        <v>59</v>
      </c>
      <c r="CI167" s="69" t="s">
        <v>59</v>
      </c>
      <c r="CJ167" s="69" t="s">
        <v>59</v>
      </c>
      <c r="CK167" s="69" t="s">
        <v>59</v>
      </c>
      <c r="CL167" s="69" t="s">
        <v>59</v>
      </c>
      <c r="CM167" s="69" t="s">
        <v>59</v>
      </c>
      <c r="CN167" s="69" t="s">
        <v>59</v>
      </c>
      <c r="CO167" s="69" t="s">
        <v>59</v>
      </c>
      <c r="CP167" s="69" t="s">
        <v>59</v>
      </c>
      <c r="CQ167" s="69" t="s">
        <v>59</v>
      </c>
      <c r="CR167" s="69" t="s">
        <v>59</v>
      </c>
      <c r="CS167" s="69"/>
      <c r="CT167" s="69"/>
      <c r="CU167" s="69" t="s">
        <v>59</v>
      </c>
      <c r="CV167" s="69" t="s">
        <v>59</v>
      </c>
      <c r="CW167" s="69" t="s">
        <v>59</v>
      </c>
      <c r="CX167" s="69" t="s">
        <v>59</v>
      </c>
      <c r="CY167" s="69" t="s">
        <v>59</v>
      </c>
      <c r="CZ167" s="69" t="s">
        <v>59</v>
      </c>
      <c r="DA167" s="69" t="s">
        <v>59</v>
      </c>
      <c r="DB167" s="69" t="s">
        <v>59</v>
      </c>
      <c r="DC167" s="69">
        <v>6</v>
      </c>
      <c r="DD167" s="55"/>
    </row>
    <row r="168" spans="1:114" s="43" customFormat="1">
      <c r="A168" s="34" t="s">
        <v>204</v>
      </c>
      <c r="B168" s="34">
        <v>5558</v>
      </c>
      <c r="C168" s="34">
        <v>2</v>
      </c>
      <c r="D168" s="43">
        <v>1</v>
      </c>
      <c r="E168" s="26" t="s">
        <v>139</v>
      </c>
      <c r="F168" s="26" t="s">
        <v>59</v>
      </c>
      <c r="G168" s="48">
        <f t="shared" si="2"/>
        <v>186</v>
      </c>
      <c r="H168" s="26" t="s">
        <v>59</v>
      </c>
      <c r="I168" s="26" t="s">
        <v>60</v>
      </c>
      <c r="J168" s="26" t="s">
        <v>59</v>
      </c>
      <c r="K168" s="26" t="s">
        <v>59</v>
      </c>
      <c r="L168" s="26" t="s">
        <v>59</v>
      </c>
      <c r="M168" s="26" t="s">
        <v>59</v>
      </c>
      <c r="N168" s="26" t="s">
        <v>59</v>
      </c>
      <c r="O168" s="26" t="s">
        <v>59</v>
      </c>
      <c r="P168" s="26" t="s">
        <v>59</v>
      </c>
      <c r="Q168" s="26" t="s">
        <v>60</v>
      </c>
      <c r="R168" s="26" t="s">
        <v>60</v>
      </c>
      <c r="S168" s="26" t="s">
        <v>60</v>
      </c>
      <c r="T168" s="26" t="s">
        <v>60</v>
      </c>
      <c r="U168" s="26">
        <v>90</v>
      </c>
      <c r="V168" s="26">
        <v>96</v>
      </c>
      <c r="W168" s="26" t="s">
        <v>60</v>
      </c>
      <c r="X168" s="26" t="s">
        <v>60</v>
      </c>
      <c r="Y168" s="26">
        <v>8.9</v>
      </c>
      <c r="Z168" s="26" t="s">
        <v>61</v>
      </c>
      <c r="AA168" s="26">
        <v>0.223</v>
      </c>
      <c r="AB168" s="26" t="s">
        <v>61</v>
      </c>
      <c r="AC168" s="27" t="s">
        <v>61</v>
      </c>
      <c r="AD168" s="26">
        <v>9.3000000000000007</v>
      </c>
      <c r="AE168" s="27" t="s">
        <v>61</v>
      </c>
      <c r="AF168" s="26">
        <v>0.20200000000000001</v>
      </c>
      <c r="AG168" s="26" t="s">
        <v>61</v>
      </c>
      <c r="AH168" s="27" t="s">
        <v>61</v>
      </c>
      <c r="AI168" s="26" t="s">
        <v>60</v>
      </c>
      <c r="AJ168" s="26" t="s">
        <v>60</v>
      </c>
      <c r="AK168" s="26" t="s">
        <v>59</v>
      </c>
      <c r="AL168" s="26" t="s">
        <v>59</v>
      </c>
      <c r="AM168" s="26" t="s">
        <v>59</v>
      </c>
      <c r="AN168" s="26" t="s">
        <v>60</v>
      </c>
      <c r="AO168" s="26" t="s">
        <v>60</v>
      </c>
      <c r="AP168" s="26" t="s">
        <v>59</v>
      </c>
      <c r="AQ168" s="26" t="s">
        <v>59</v>
      </c>
      <c r="AR168" s="26" t="s">
        <v>59</v>
      </c>
      <c r="AS168" s="26">
        <v>0.193</v>
      </c>
      <c r="AT168" s="26" t="s">
        <v>64</v>
      </c>
      <c r="AU168" s="26" t="s">
        <v>59</v>
      </c>
      <c r="AV168" s="26" t="s">
        <v>59</v>
      </c>
      <c r="AW168" s="26" t="s">
        <v>59</v>
      </c>
      <c r="AX168" s="26" t="s">
        <v>59</v>
      </c>
      <c r="AY168" s="186">
        <v>90</v>
      </c>
      <c r="AZ168" s="186">
        <v>96</v>
      </c>
      <c r="BA168" s="186" t="s">
        <v>60</v>
      </c>
      <c r="BB168" s="186" t="s">
        <v>60</v>
      </c>
      <c r="BC168" s="26">
        <v>9</v>
      </c>
      <c r="BD168" s="26" t="s">
        <v>61</v>
      </c>
      <c r="BE168" s="26">
        <v>0.26</v>
      </c>
      <c r="BF168" s="48">
        <v>1</v>
      </c>
      <c r="BG168" s="48">
        <v>1</v>
      </c>
      <c r="BH168" s="27" t="s">
        <v>61</v>
      </c>
      <c r="BI168" s="27" t="s">
        <v>61</v>
      </c>
      <c r="BJ168" s="26" t="s">
        <v>61</v>
      </c>
      <c r="BK168" s="26" t="s">
        <v>61</v>
      </c>
      <c r="BL168" s="26" t="s">
        <v>61</v>
      </c>
      <c r="BM168" s="26" t="s">
        <v>61</v>
      </c>
      <c r="BN168" s="26" t="s">
        <v>61</v>
      </c>
      <c r="BO168" s="26" t="s">
        <v>61</v>
      </c>
      <c r="BP168" s="26">
        <v>9.1</v>
      </c>
      <c r="BQ168" s="26" t="s">
        <v>61</v>
      </c>
      <c r="BR168" s="26">
        <v>0.224</v>
      </c>
      <c r="BS168" s="69">
        <v>1</v>
      </c>
      <c r="BT168" s="26">
        <v>1</v>
      </c>
      <c r="BU168" s="27" t="s">
        <v>61</v>
      </c>
      <c r="BV168" s="27" t="s">
        <v>61</v>
      </c>
      <c r="BW168" s="26" t="s">
        <v>61</v>
      </c>
      <c r="BX168" s="26" t="s">
        <v>61</v>
      </c>
      <c r="BY168" s="27" t="s">
        <v>61</v>
      </c>
      <c r="BZ168" s="26" t="s">
        <v>61</v>
      </c>
      <c r="CA168" s="27" t="s">
        <v>61</v>
      </c>
      <c r="CB168" s="26" t="s">
        <v>61</v>
      </c>
      <c r="CC168" s="26" t="s">
        <v>60</v>
      </c>
      <c r="CD168" s="26" t="s">
        <v>60</v>
      </c>
      <c r="CE168" s="26" t="s">
        <v>59</v>
      </c>
      <c r="CF168" s="26"/>
      <c r="CG168" s="26"/>
      <c r="CH168" s="26" t="s">
        <v>59</v>
      </c>
      <c r="CI168" s="26" t="s">
        <v>59</v>
      </c>
      <c r="CJ168" s="26" t="s">
        <v>59</v>
      </c>
      <c r="CK168" s="26" t="s">
        <v>59</v>
      </c>
      <c r="CL168" s="26" t="s">
        <v>59</v>
      </c>
      <c r="CM168" s="26" t="s">
        <v>59</v>
      </c>
      <c r="CN168" s="26" t="s">
        <v>59</v>
      </c>
      <c r="CO168" s="26" t="s">
        <v>59</v>
      </c>
      <c r="CP168" s="26" t="s">
        <v>60</v>
      </c>
      <c r="CQ168" s="26" t="s">
        <v>60</v>
      </c>
      <c r="CR168" s="26" t="s">
        <v>59</v>
      </c>
      <c r="CS168" s="26"/>
      <c r="CT168" s="26"/>
      <c r="CU168" s="26" t="s">
        <v>59</v>
      </c>
      <c r="CV168" s="26" t="s">
        <v>59</v>
      </c>
      <c r="CW168" s="26" t="s">
        <v>59</v>
      </c>
      <c r="CX168" s="26" t="s">
        <v>59</v>
      </c>
      <c r="CY168" s="26" t="s">
        <v>59</v>
      </c>
      <c r="CZ168" s="26" t="s">
        <v>59</v>
      </c>
      <c r="DA168" s="26" t="s">
        <v>59</v>
      </c>
      <c r="DB168" s="26" t="s">
        <v>59</v>
      </c>
      <c r="DC168" s="26">
        <v>12</v>
      </c>
      <c r="DD168" s="29"/>
      <c r="DE168" s="22"/>
      <c r="DF168" s="22"/>
      <c r="DG168" s="26"/>
      <c r="DH168" s="27"/>
      <c r="DI168" s="22"/>
      <c r="DJ168" s="26"/>
    </row>
    <row r="169" spans="1:114" s="43" customFormat="1" ht="14">
      <c r="A169" s="49" t="s">
        <v>423</v>
      </c>
      <c r="B169" s="43">
        <v>12511</v>
      </c>
      <c r="C169" s="34">
        <v>2</v>
      </c>
      <c r="D169" s="43">
        <v>1</v>
      </c>
      <c r="E169" s="48" t="s">
        <v>139</v>
      </c>
      <c r="F169" s="26" t="s">
        <v>59</v>
      </c>
      <c r="G169" s="48">
        <f t="shared" si="2"/>
        <v>100</v>
      </c>
      <c r="H169" s="26" t="s">
        <v>59</v>
      </c>
      <c r="I169" s="26" t="s">
        <v>59</v>
      </c>
      <c r="J169" s="48" t="s">
        <v>59</v>
      </c>
      <c r="K169" s="26" t="s">
        <v>59</v>
      </c>
      <c r="L169" s="26" t="s">
        <v>59</v>
      </c>
      <c r="M169" s="26" t="s">
        <v>59</v>
      </c>
      <c r="N169" s="26" t="s">
        <v>59</v>
      </c>
      <c r="O169" s="26" t="s">
        <v>59</v>
      </c>
      <c r="P169" s="26" t="s">
        <v>59</v>
      </c>
      <c r="Q169" s="48" t="s">
        <v>59</v>
      </c>
      <c r="R169" s="48" t="s">
        <v>59</v>
      </c>
      <c r="S169" s="48" t="s">
        <v>59</v>
      </c>
      <c r="T169" s="48" t="s">
        <v>59</v>
      </c>
      <c r="U169" s="48">
        <v>30</v>
      </c>
      <c r="V169" s="48">
        <v>70</v>
      </c>
      <c r="W169" s="48" t="s">
        <v>59</v>
      </c>
      <c r="X169" s="48" t="s">
        <v>59</v>
      </c>
      <c r="Y169" s="69">
        <v>9</v>
      </c>
      <c r="Z169" s="69">
        <v>0.8</v>
      </c>
      <c r="AA169" s="69" t="s">
        <v>61</v>
      </c>
      <c r="AB169" s="69" t="s">
        <v>61</v>
      </c>
      <c r="AC169" s="69" t="s">
        <v>61</v>
      </c>
      <c r="AD169" s="69">
        <v>9.3000000000000007</v>
      </c>
      <c r="AE169" s="69">
        <v>1.2</v>
      </c>
      <c r="AF169" s="69" t="s">
        <v>61</v>
      </c>
      <c r="AG169" s="69" t="s">
        <v>61</v>
      </c>
      <c r="AH169" s="69" t="s">
        <v>61</v>
      </c>
      <c r="AI169" s="69" t="s">
        <v>59</v>
      </c>
      <c r="AJ169" s="69" t="s">
        <v>59</v>
      </c>
      <c r="AK169" s="69" t="s">
        <v>59</v>
      </c>
      <c r="AL169" s="69" t="s">
        <v>59</v>
      </c>
      <c r="AM169" s="69" t="s">
        <v>59</v>
      </c>
      <c r="AN169" s="69" t="s">
        <v>59</v>
      </c>
      <c r="AO169" s="69" t="s">
        <v>59</v>
      </c>
      <c r="AP169" s="69" t="s">
        <v>59</v>
      </c>
      <c r="AQ169" s="69" t="s">
        <v>59</v>
      </c>
      <c r="AR169" s="69" t="s">
        <v>59</v>
      </c>
      <c r="AS169" s="69" t="s">
        <v>61</v>
      </c>
      <c r="AT169" s="69" t="s">
        <v>64</v>
      </c>
      <c r="AU169" s="69" t="s">
        <v>59</v>
      </c>
      <c r="AV169" s="69" t="s">
        <v>59</v>
      </c>
      <c r="AW169" s="69" t="s">
        <v>59</v>
      </c>
      <c r="AX169" s="69" t="s">
        <v>59</v>
      </c>
      <c r="AY169" s="215">
        <v>30</v>
      </c>
      <c r="AZ169" s="215">
        <v>70</v>
      </c>
      <c r="BA169" s="215" t="s">
        <v>59</v>
      </c>
      <c r="BB169" s="215" t="s">
        <v>59</v>
      </c>
      <c r="BC169" s="69">
        <v>8.69</v>
      </c>
      <c r="BD169" s="69" t="s">
        <v>61</v>
      </c>
      <c r="BE169" s="69" t="s">
        <v>61</v>
      </c>
      <c r="BF169" s="26">
        <v>9</v>
      </c>
      <c r="BG169" s="48">
        <v>1</v>
      </c>
      <c r="BH169" s="69" t="s">
        <v>61</v>
      </c>
      <c r="BI169" s="69" t="s">
        <v>61</v>
      </c>
      <c r="BJ169" s="69">
        <v>-0.31</v>
      </c>
      <c r="BK169" s="69" t="s">
        <v>61</v>
      </c>
      <c r="BL169" s="69" t="s">
        <v>61</v>
      </c>
      <c r="BM169" s="69">
        <v>-0.3</v>
      </c>
      <c r="BN169" s="69">
        <v>0.3</v>
      </c>
      <c r="BO169" s="69" t="s">
        <v>61</v>
      </c>
      <c r="BP169" s="69">
        <v>8.64</v>
      </c>
      <c r="BQ169" s="69" t="s">
        <v>61</v>
      </c>
      <c r="BR169" s="69" t="s">
        <v>61</v>
      </c>
      <c r="BS169" s="26">
        <v>9</v>
      </c>
      <c r="BT169" s="26">
        <v>1</v>
      </c>
      <c r="BU169" s="69" t="s">
        <v>61</v>
      </c>
      <c r="BV169" s="69" t="s">
        <v>61</v>
      </c>
      <c r="BW169" s="69">
        <v>-0.66</v>
      </c>
      <c r="BX169" s="69" t="s">
        <v>61</v>
      </c>
      <c r="BY169" s="69" t="s">
        <v>61</v>
      </c>
      <c r="BZ169" s="69" t="s">
        <v>61</v>
      </c>
      <c r="CA169" s="69" t="s">
        <v>61</v>
      </c>
      <c r="CB169" s="69" t="s">
        <v>61</v>
      </c>
      <c r="CC169" s="69" t="s">
        <v>59</v>
      </c>
      <c r="CD169" s="69" t="s">
        <v>59</v>
      </c>
      <c r="CE169" s="69" t="s">
        <v>59</v>
      </c>
      <c r="CF169" s="69"/>
      <c r="CG169" s="69"/>
      <c r="CH169" s="69" t="s">
        <v>59</v>
      </c>
      <c r="CI169" s="69" t="s">
        <v>59</v>
      </c>
      <c r="CJ169" s="69" t="s">
        <v>59</v>
      </c>
      <c r="CK169" s="69" t="s">
        <v>59</v>
      </c>
      <c r="CL169" s="69" t="s">
        <v>59</v>
      </c>
      <c r="CM169" s="69" t="s">
        <v>59</v>
      </c>
      <c r="CN169" s="69" t="s">
        <v>59</v>
      </c>
      <c r="CO169" s="69" t="s">
        <v>59</v>
      </c>
      <c r="CP169" s="69" t="s">
        <v>59</v>
      </c>
      <c r="CQ169" s="69" t="s">
        <v>59</v>
      </c>
      <c r="CR169" s="69" t="s">
        <v>59</v>
      </c>
      <c r="CS169" s="69"/>
      <c r="CT169" s="69"/>
      <c r="CU169" s="69" t="s">
        <v>59</v>
      </c>
      <c r="CV169" s="69" t="s">
        <v>59</v>
      </c>
      <c r="CW169" s="69" t="s">
        <v>59</v>
      </c>
      <c r="CX169" s="69" t="s">
        <v>59</v>
      </c>
      <c r="CY169" s="69" t="s">
        <v>59</v>
      </c>
      <c r="CZ169" s="69" t="s">
        <v>59</v>
      </c>
      <c r="DA169" s="69" t="s">
        <v>59</v>
      </c>
      <c r="DB169" s="69" t="s">
        <v>59</v>
      </c>
      <c r="DC169" s="69">
        <v>12</v>
      </c>
      <c r="DD169" s="55"/>
    </row>
    <row r="170" spans="1:114" s="43" customFormat="1" ht="14">
      <c r="A170" s="49" t="s">
        <v>389</v>
      </c>
      <c r="B170" s="43">
        <v>11309</v>
      </c>
      <c r="C170" s="34">
        <v>2</v>
      </c>
      <c r="D170" s="43">
        <v>1</v>
      </c>
      <c r="E170" s="48" t="s">
        <v>139</v>
      </c>
      <c r="F170" s="26" t="s">
        <v>59</v>
      </c>
      <c r="G170" s="48">
        <f t="shared" si="2"/>
        <v>120</v>
      </c>
      <c r="H170" s="26" t="s">
        <v>59</v>
      </c>
      <c r="I170" s="26" t="s">
        <v>59</v>
      </c>
      <c r="J170" s="48" t="s">
        <v>59</v>
      </c>
      <c r="K170" s="26" t="s">
        <v>59</v>
      </c>
      <c r="L170" s="26" t="s">
        <v>59</v>
      </c>
      <c r="M170" s="26" t="s">
        <v>59</v>
      </c>
      <c r="N170" s="26" t="s">
        <v>59</v>
      </c>
      <c r="O170" s="26" t="s">
        <v>59</v>
      </c>
      <c r="P170" s="26" t="s">
        <v>59</v>
      </c>
      <c r="Q170" s="48" t="s">
        <v>59</v>
      </c>
      <c r="R170" s="48" t="s">
        <v>59</v>
      </c>
      <c r="S170" s="48" t="s">
        <v>59</v>
      </c>
      <c r="T170" s="48" t="s">
        <v>59</v>
      </c>
      <c r="U170" s="48">
        <v>60</v>
      </c>
      <c r="V170" s="48">
        <v>60</v>
      </c>
      <c r="W170" s="48" t="s">
        <v>59</v>
      </c>
      <c r="X170" s="48" t="s">
        <v>59</v>
      </c>
      <c r="Y170" s="69">
        <v>9.0299999999999994</v>
      </c>
      <c r="Z170" s="69" t="s">
        <v>61</v>
      </c>
      <c r="AA170" s="69">
        <v>0.46</v>
      </c>
      <c r="AB170" s="69" t="s">
        <v>61</v>
      </c>
      <c r="AC170" s="69" t="s">
        <v>61</v>
      </c>
      <c r="AD170" s="69">
        <v>8.44</v>
      </c>
      <c r="AE170" s="48" t="s">
        <v>61</v>
      </c>
      <c r="AF170" s="69">
        <v>0.28999999999999998</v>
      </c>
      <c r="AG170" s="69" t="s">
        <v>61</v>
      </c>
      <c r="AH170" s="69" t="s">
        <v>61</v>
      </c>
      <c r="AI170" s="69" t="s">
        <v>59</v>
      </c>
      <c r="AJ170" s="69" t="s">
        <v>59</v>
      </c>
      <c r="AK170" s="69" t="s">
        <v>59</v>
      </c>
      <c r="AL170" s="69" t="s">
        <v>59</v>
      </c>
      <c r="AM170" s="69" t="s">
        <v>59</v>
      </c>
      <c r="AN170" s="69" t="s">
        <v>59</v>
      </c>
      <c r="AO170" s="69" t="s">
        <v>59</v>
      </c>
      <c r="AP170" s="69" t="s">
        <v>59</v>
      </c>
      <c r="AQ170" s="69" t="s">
        <v>59</v>
      </c>
      <c r="AR170" s="69" t="s">
        <v>59</v>
      </c>
      <c r="AS170" s="69" t="s">
        <v>156</v>
      </c>
      <c r="AT170" s="69" t="s">
        <v>64</v>
      </c>
      <c r="AU170" s="69" t="s">
        <v>59</v>
      </c>
      <c r="AV170" s="69" t="s">
        <v>59</v>
      </c>
      <c r="AW170" s="69" t="s">
        <v>59</v>
      </c>
      <c r="AX170" s="69" t="s">
        <v>59</v>
      </c>
      <c r="AY170" s="215">
        <v>60</v>
      </c>
      <c r="AZ170" s="215">
        <v>60</v>
      </c>
      <c r="BA170" s="215" t="s">
        <v>59</v>
      </c>
      <c r="BB170" s="215" t="s">
        <v>59</v>
      </c>
      <c r="BC170" s="69">
        <v>8.31</v>
      </c>
      <c r="BD170" s="48" t="s">
        <v>61</v>
      </c>
      <c r="BE170" s="69">
        <v>0.16</v>
      </c>
      <c r="BF170" s="48">
        <v>1</v>
      </c>
      <c r="BG170" s="48">
        <v>1</v>
      </c>
      <c r="BH170" s="69" t="s">
        <v>61</v>
      </c>
      <c r="BI170" s="69" t="s">
        <v>61</v>
      </c>
      <c r="BJ170" s="69" t="s">
        <v>61</v>
      </c>
      <c r="BK170" s="69" t="s">
        <v>61</v>
      </c>
      <c r="BL170" s="69" t="s">
        <v>61</v>
      </c>
      <c r="BM170" s="69" t="s">
        <v>61</v>
      </c>
      <c r="BN170" s="69" t="s">
        <v>61</v>
      </c>
      <c r="BO170" s="69" t="s">
        <v>156</v>
      </c>
      <c r="BP170" s="69">
        <v>6.73</v>
      </c>
      <c r="BQ170" s="26" t="s">
        <v>61</v>
      </c>
      <c r="BR170" s="69">
        <v>0.21</v>
      </c>
      <c r="BS170" s="69">
        <v>1</v>
      </c>
      <c r="BT170" s="26">
        <v>1</v>
      </c>
      <c r="BU170" s="69" t="s">
        <v>61</v>
      </c>
      <c r="BV170" s="69" t="s">
        <v>61</v>
      </c>
      <c r="BW170" s="69" t="s">
        <v>61</v>
      </c>
      <c r="BX170" s="69" t="s">
        <v>61</v>
      </c>
      <c r="BY170" s="69" t="s">
        <v>61</v>
      </c>
      <c r="BZ170" s="69" t="s">
        <v>61</v>
      </c>
      <c r="CA170" s="69" t="s">
        <v>61</v>
      </c>
      <c r="CB170" s="69" t="s">
        <v>180</v>
      </c>
      <c r="CC170" s="69" t="s">
        <v>59</v>
      </c>
      <c r="CD170" s="69" t="s">
        <v>59</v>
      </c>
      <c r="CE170" s="69" t="s">
        <v>59</v>
      </c>
      <c r="CF170" s="69"/>
      <c r="CG170" s="69"/>
      <c r="CH170" s="69" t="s">
        <v>59</v>
      </c>
      <c r="CI170" s="69" t="s">
        <v>59</v>
      </c>
      <c r="CJ170" s="69" t="s">
        <v>59</v>
      </c>
      <c r="CK170" s="69" t="s">
        <v>59</v>
      </c>
      <c r="CL170" s="69" t="s">
        <v>59</v>
      </c>
      <c r="CM170" s="69" t="s">
        <v>59</v>
      </c>
      <c r="CN170" s="69" t="s">
        <v>59</v>
      </c>
      <c r="CO170" s="69" t="s">
        <v>59</v>
      </c>
      <c r="CP170" s="69" t="s">
        <v>59</v>
      </c>
      <c r="CQ170" s="69" t="s">
        <v>59</v>
      </c>
      <c r="CR170" s="69" t="s">
        <v>59</v>
      </c>
      <c r="CS170" s="69"/>
      <c r="CT170" s="69"/>
      <c r="CU170" s="69" t="s">
        <v>59</v>
      </c>
      <c r="CV170" s="69" t="s">
        <v>59</v>
      </c>
      <c r="CW170" s="69" t="s">
        <v>59</v>
      </c>
      <c r="CX170" s="69" t="s">
        <v>59</v>
      </c>
      <c r="CY170" s="69" t="s">
        <v>59</v>
      </c>
      <c r="CZ170" s="69" t="s">
        <v>59</v>
      </c>
      <c r="DA170" s="69" t="s">
        <v>59</v>
      </c>
      <c r="DB170" s="69" t="s">
        <v>59</v>
      </c>
      <c r="DC170" s="69">
        <v>8</v>
      </c>
      <c r="DD170" s="55"/>
    </row>
    <row r="171" spans="1:114" s="43" customFormat="1">
      <c r="A171" s="34" t="s">
        <v>240</v>
      </c>
      <c r="B171" s="34">
        <v>6559</v>
      </c>
      <c r="C171" s="34">
        <v>2</v>
      </c>
      <c r="D171" s="43">
        <v>1</v>
      </c>
      <c r="E171" s="26" t="s">
        <v>139</v>
      </c>
      <c r="F171" s="26" t="s">
        <v>59</v>
      </c>
      <c r="G171" s="48">
        <f t="shared" si="2"/>
        <v>26</v>
      </c>
      <c r="H171" s="26" t="s">
        <v>59</v>
      </c>
      <c r="I171" s="26" t="s">
        <v>59</v>
      </c>
      <c r="J171" s="26" t="s">
        <v>59</v>
      </c>
      <c r="K171" s="26" t="s">
        <v>59</v>
      </c>
      <c r="L171" s="26" t="s">
        <v>59</v>
      </c>
      <c r="M171" s="26" t="s">
        <v>59</v>
      </c>
      <c r="N171" s="26" t="s">
        <v>59</v>
      </c>
      <c r="O171" s="26" t="s">
        <v>59</v>
      </c>
      <c r="P171" s="26" t="s">
        <v>59</v>
      </c>
      <c r="Q171" s="26" t="s">
        <v>59</v>
      </c>
      <c r="R171" s="26" t="s">
        <v>59</v>
      </c>
      <c r="S171" s="26" t="s">
        <v>60</v>
      </c>
      <c r="T171" s="26" t="s">
        <v>60</v>
      </c>
      <c r="U171" s="26">
        <v>13</v>
      </c>
      <c r="V171" s="26">
        <v>13</v>
      </c>
      <c r="W171" s="26" t="s">
        <v>60</v>
      </c>
      <c r="X171" s="26" t="s">
        <v>60</v>
      </c>
      <c r="Y171" s="26">
        <v>9.0500000000000007</v>
      </c>
      <c r="Z171" s="26" t="s">
        <v>61</v>
      </c>
      <c r="AA171" s="26" t="s">
        <v>61</v>
      </c>
      <c r="AB171" s="26" t="s">
        <v>61</v>
      </c>
      <c r="AC171" s="27" t="s">
        <v>61</v>
      </c>
      <c r="AD171" s="26">
        <v>9.51</v>
      </c>
      <c r="AE171" s="26" t="s">
        <v>61</v>
      </c>
      <c r="AF171" s="26" t="s">
        <v>61</v>
      </c>
      <c r="AG171" s="26" t="s">
        <v>61</v>
      </c>
      <c r="AH171" s="27" t="s">
        <v>61</v>
      </c>
      <c r="AI171" s="26" t="s">
        <v>60</v>
      </c>
      <c r="AJ171" s="26" t="s">
        <v>60</v>
      </c>
      <c r="AK171" s="26" t="s">
        <v>59</v>
      </c>
      <c r="AL171" s="26" t="s">
        <v>59</v>
      </c>
      <c r="AM171" s="26" t="s">
        <v>59</v>
      </c>
      <c r="AN171" s="26" t="s">
        <v>60</v>
      </c>
      <c r="AO171" s="26" t="s">
        <v>60</v>
      </c>
      <c r="AP171" s="26" t="s">
        <v>59</v>
      </c>
      <c r="AQ171" s="26" t="s">
        <v>59</v>
      </c>
      <c r="AR171" s="26" t="s">
        <v>59</v>
      </c>
      <c r="AS171" s="26" t="s">
        <v>61</v>
      </c>
      <c r="AT171" s="26" t="s">
        <v>64</v>
      </c>
      <c r="AU171" s="26" t="s">
        <v>59</v>
      </c>
      <c r="AV171" s="26" t="s">
        <v>59</v>
      </c>
      <c r="AW171" s="26" t="s">
        <v>59</v>
      </c>
      <c r="AX171" s="26" t="s">
        <v>59</v>
      </c>
      <c r="AY171" s="186">
        <v>13</v>
      </c>
      <c r="AZ171" s="186">
        <v>13</v>
      </c>
      <c r="BA171" s="186" t="s">
        <v>60</v>
      </c>
      <c r="BB171" s="186" t="s">
        <v>60</v>
      </c>
      <c r="BC171" s="26">
        <v>8.3699999999999992</v>
      </c>
      <c r="BD171" s="26" t="s">
        <v>61</v>
      </c>
      <c r="BE171" s="26" t="s">
        <v>61</v>
      </c>
      <c r="BF171" s="26">
        <v>9</v>
      </c>
      <c r="BG171" s="48">
        <v>1</v>
      </c>
      <c r="BH171" s="27" t="s">
        <v>61</v>
      </c>
      <c r="BI171" s="27" t="s">
        <v>61</v>
      </c>
      <c r="BJ171" s="26">
        <v>-0.68</v>
      </c>
      <c r="BK171" s="26" t="s">
        <v>61</v>
      </c>
      <c r="BL171" s="26" t="s">
        <v>61</v>
      </c>
      <c r="BM171" s="26" t="s">
        <v>61</v>
      </c>
      <c r="BN171" s="26" t="s">
        <v>61</v>
      </c>
      <c r="BO171" s="26" t="s">
        <v>61</v>
      </c>
      <c r="BP171" s="26">
        <v>7.48</v>
      </c>
      <c r="BQ171" s="26" t="s">
        <v>61</v>
      </c>
      <c r="BR171" s="26" t="s">
        <v>61</v>
      </c>
      <c r="BS171" s="26">
        <v>9</v>
      </c>
      <c r="BT171" s="26">
        <v>1</v>
      </c>
      <c r="BU171" s="27" t="s">
        <v>61</v>
      </c>
      <c r="BV171" s="27" t="s">
        <v>61</v>
      </c>
      <c r="BW171" s="26">
        <v>-2.0299999999999998</v>
      </c>
      <c r="BX171" s="26" t="s">
        <v>61</v>
      </c>
      <c r="BY171" s="27" t="s">
        <v>61</v>
      </c>
      <c r="BZ171" s="26" t="s">
        <v>61</v>
      </c>
      <c r="CA171" s="27" t="s">
        <v>61</v>
      </c>
      <c r="CB171" s="26" t="s">
        <v>61</v>
      </c>
      <c r="CC171" s="26" t="s">
        <v>60</v>
      </c>
      <c r="CD171" s="26" t="s">
        <v>60</v>
      </c>
      <c r="CE171" s="26" t="s">
        <v>59</v>
      </c>
      <c r="CF171" s="26"/>
      <c r="CG171" s="26"/>
      <c r="CH171" s="26" t="s">
        <v>59</v>
      </c>
      <c r="CI171" s="26" t="s">
        <v>59</v>
      </c>
      <c r="CJ171" s="26" t="s">
        <v>59</v>
      </c>
      <c r="CK171" s="26" t="s">
        <v>59</v>
      </c>
      <c r="CL171" s="26" t="s">
        <v>59</v>
      </c>
      <c r="CM171" s="26" t="s">
        <v>59</v>
      </c>
      <c r="CN171" s="26" t="s">
        <v>59</v>
      </c>
      <c r="CO171" s="26" t="s">
        <v>59</v>
      </c>
      <c r="CP171" s="26" t="s">
        <v>60</v>
      </c>
      <c r="CQ171" s="26" t="s">
        <v>60</v>
      </c>
      <c r="CR171" s="26" t="s">
        <v>59</v>
      </c>
      <c r="CS171" s="26"/>
      <c r="CT171" s="26"/>
      <c r="CU171" s="26" t="s">
        <v>59</v>
      </c>
      <c r="CV171" s="26" t="s">
        <v>59</v>
      </c>
      <c r="CW171" s="26" t="s">
        <v>59</v>
      </c>
      <c r="CX171" s="26" t="s">
        <v>59</v>
      </c>
      <c r="CY171" s="26" t="s">
        <v>59</v>
      </c>
      <c r="CZ171" s="26" t="s">
        <v>59</v>
      </c>
      <c r="DA171" s="26" t="s">
        <v>59</v>
      </c>
      <c r="DB171" s="26" t="s">
        <v>59</v>
      </c>
      <c r="DC171" s="26">
        <v>3</v>
      </c>
      <c r="DD171" s="29"/>
      <c r="DE171" s="22"/>
      <c r="DF171" s="22"/>
      <c r="DG171" s="26"/>
      <c r="DH171" s="27"/>
      <c r="DI171" s="22"/>
      <c r="DJ171" s="26"/>
    </row>
    <row r="172" spans="1:114" s="43" customFormat="1">
      <c r="A172" s="34" t="s">
        <v>251</v>
      </c>
      <c r="B172" s="34">
        <v>8081</v>
      </c>
      <c r="C172" s="34">
        <v>2</v>
      </c>
      <c r="D172" s="43">
        <v>1</v>
      </c>
      <c r="E172" s="26" t="s">
        <v>139</v>
      </c>
      <c r="F172" s="26" t="s">
        <v>59</v>
      </c>
      <c r="G172" s="48">
        <f t="shared" si="2"/>
        <v>79</v>
      </c>
      <c r="H172" s="26" t="s">
        <v>59</v>
      </c>
      <c r="I172" s="26" t="s">
        <v>59</v>
      </c>
      <c r="J172" s="26" t="s">
        <v>59</v>
      </c>
      <c r="K172" s="26" t="s">
        <v>59</v>
      </c>
      <c r="L172" s="26" t="s">
        <v>59</v>
      </c>
      <c r="M172" s="26" t="s">
        <v>59</v>
      </c>
      <c r="N172" s="26" t="s">
        <v>59</v>
      </c>
      <c r="O172" s="26" t="s">
        <v>59</v>
      </c>
      <c r="P172" s="26" t="s">
        <v>59</v>
      </c>
      <c r="Q172" s="26" t="s">
        <v>59</v>
      </c>
      <c r="R172" s="26" t="s">
        <v>59</v>
      </c>
      <c r="S172" s="26" t="s">
        <v>60</v>
      </c>
      <c r="T172" s="26" t="s">
        <v>60</v>
      </c>
      <c r="U172" s="26">
        <v>39</v>
      </c>
      <c r="V172" s="26">
        <v>40</v>
      </c>
      <c r="W172" s="26" t="s">
        <v>60</v>
      </c>
      <c r="X172" s="26" t="s">
        <v>60</v>
      </c>
      <c r="Y172" s="26">
        <v>9.1</v>
      </c>
      <c r="Z172" s="26">
        <v>1.3</v>
      </c>
      <c r="AA172" s="26" t="s">
        <v>61</v>
      </c>
      <c r="AB172" s="26" t="s">
        <v>61</v>
      </c>
      <c r="AC172" s="27" t="s">
        <v>61</v>
      </c>
      <c r="AD172" s="26">
        <v>9.4</v>
      </c>
      <c r="AE172" s="26">
        <v>1.5</v>
      </c>
      <c r="AF172" s="26" t="s">
        <v>61</v>
      </c>
      <c r="AG172" s="26" t="s">
        <v>61</v>
      </c>
      <c r="AH172" s="27" t="s">
        <v>61</v>
      </c>
      <c r="AI172" s="26" t="s">
        <v>60</v>
      </c>
      <c r="AJ172" s="26" t="s">
        <v>60</v>
      </c>
      <c r="AK172" s="26" t="s">
        <v>59</v>
      </c>
      <c r="AL172" s="26" t="s">
        <v>59</v>
      </c>
      <c r="AM172" s="26" t="s">
        <v>59</v>
      </c>
      <c r="AN172" s="26" t="s">
        <v>60</v>
      </c>
      <c r="AO172" s="26" t="s">
        <v>59</v>
      </c>
      <c r="AP172" s="26" t="s">
        <v>59</v>
      </c>
      <c r="AQ172" s="26" t="s">
        <v>59</v>
      </c>
      <c r="AR172" s="26" t="s">
        <v>59</v>
      </c>
      <c r="AS172" s="26">
        <v>0.25</v>
      </c>
      <c r="AT172" s="26" t="s">
        <v>64</v>
      </c>
      <c r="AU172" s="26" t="s">
        <v>59</v>
      </c>
      <c r="AV172" s="26" t="s">
        <v>59</v>
      </c>
      <c r="AW172" s="26" t="s">
        <v>59</v>
      </c>
      <c r="AX172" s="26" t="s">
        <v>59</v>
      </c>
      <c r="AY172" s="186">
        <v>39</v>
      </c>
      <c r="AZ172" s="186">
        <v>40</v>
      </c>
      <c r="BA172" s="186" t="s">
        <v>60</v>
      </c>
      <c r="BB172" s="186" t="s">
        <v>60</v>
      </c>
      <c r="BC172" s="26">
        <v>8.6999999999999993</v>
      </c>
      <c r="BD172" s="26" t="s">
        <v>61</v>
      </c>
      <c r="BE172" s="26" t="s">
        <v>61</v>
      </c>
      <c r="BF172" s="26">
        <v>9</v>
      </c>
      <c r="BG172" s="48">
        <v>1</v>
      </c>
      <c r="BH172" s="27" t="s">
        <v>61</v>
      </c>
      <c r="BI172" s="27" t="s">
        <v>61</v>
      </c>
      <c r="BJ172" s="26">
        <v>-0.4</v>
      </c>
      <c r="BK172" s="26">
        <v>1.4</v>
      </c>
      <c r="BL172" s="26" t="s">
        <v>61</v>
      </c>
      <c r="BM172" s="26" t="s">
        <v>61</v>
      </c>
      <c r="BN172" s="26" t="s">
        <v>61</v>
      </c>
      <c r="BO172" s="26" t="s">
        <v>61</v>
      </c>
      <c r="BP172" s="26">
        <v>8.1</v>
      </c>
      <c r="BQ172" s="26" t="s">
        <v>61</v>
      </c>
      <c r="BR172" s="26" t="s">
        <v>61</v>
      </c>
      <c r="BS172" s="26">
        <v>9</v>
      </c>
      <c r="BT172" s="26">
        <v>1</v>
      </c>
      <c r="BU172" s="27" t="s">
        <v>61</v>
      </c>
      <c r="BV172" s="27" t="s">
        <v>61</v>
      </c>
      <c r="BW172" s="26">
        <v>-1.3</v>
      </c>
      <c r="BX172" s="26">
        <v>1.3</v>
      </c>
      <c r="BY172" s="27" t="s">
        <v>61</v>
      </c>
      <c r="BZ172" s="26" t="s">
        <v>61</v>
      </c>
      <c r="CA172" s="27" t="s">
        <v>61</v>
      </c>
      <c r="CB172" s="26" t="s">
        <v>61</v>
      </c>
      <c r="CC172" s="26" t="s">
        <v>60</v>
      </c>
      <c r="CD172" s="26" t="s">
        <v>60</v>
      </c>
      <c r="CE172" s="27" t="s">
        <v>59</v>
      </c>
      <c r="CF172" s="27"/>
      <c r="CG172" s="27"/>
      <c r="CH172" s="27" t="s">
        <v>59</v>
      </c>
      <c r="CI172" s="27" t="s">
        <v>59</v>
      </c>
      <c r="CJ172" s="26" t="s">
        <v>59</v>
      </c>
      <c r="CK172" s="27" t="s">
        <v>59</v>
      </c>
      <c r="CL172" s="27" t="s">
        <v>59</v>
      </c>
      <c r="CM172" s="26" t="s">
        <v>59</v>
      </c>
      <c r="CN172" s="26" t="s">
        <v>59</v>
      </c>
      <c r="CO172" s="26" t="s">
        <v>59</v>
      </c>
      <c r="CP172" s="26" t="s">
        <v>60</v>
      </c>
      <c r="CQ172" s="26" t="s">
        <v>60</v>
      </c>
      <c r="CR172" s="27" t="s">
        <v>59</v>
      </c>
      <c r="CS172" s="27"/>
      <c r="CT172" s="27"/>
      <c r="CU172" s="27" t="s">
        <v>59</v>
      </c>
      <c r="CV172" s="27" t="s">
        <v>59</v>
      </c>
      <c r="CW172" s="26" t="s">
        <v>59</v>
      </c>
      <c r="CX172" s="27" t="s">
        <v>59</v>
      </c>
      <c r="CY172" s="27" t="s">
        <v>59</v>
      </c>
      <c r="CZ172" s="27" t="s">
        <v>59</v>
      </c>
      <c r="DA172" s="27" t="s">
        <v>59</v>
      </c>
      <c r="DB172" s="26" t="s">
        <v>59</v>
      </c>
      <c r="DC172" s="26">
        <v>7</v>
      </c>
      <c r="DD172" s="29"/>
      <c r="DE172" s="22"/>
      <c r="DF172" s="22"/>
      <c r="DG172" s="26"/>
      <c r="DH172" s="27"/>
      <c r="DI172" s="22"/>
      <c r="DJ172" s="26"/>
    </row>
    <row r="173" spans="1:114" s="43" customFormat="1">
      <c r="A173" s="34" t="s">
        <v>247</v>
      </c>
      <c r="B173" s="34">
        <v>8014</v>
      </c>
      <c r="C173" s="34">
        <v>2</v>
      </c>
      <c r="D173" s="43">
        <v>1</v>
      </c>
      <c r="E173" s="26" t="s">
        <v>139</v>
      </c>
      <c r="F173" s="26" t="s">
        <v>59</v>
      </c>
      <c r="G173" s="48">
        <f t="shared" si="2"/>
        <v>239</v>
      </c>
      <c r="H173" s="26" t="s">
        <v>59</v>
      </c>
      <c r="I173" s="26" t="s">
        <v>59</v>
      </c>
      <c r="J173" s="26" t="s">
        <v>59</v>
      </c>
      <c r="K173" s="26" t="s">
        <v>59</v>
      </c>
      <c r="L173" s="26" t="s">
        <v>59</v>
      </c>
      <c r="M173" s="26" t="s">
        <v>59</v>
      </c>
      <c r="N173" s="26" t="s">
        <v>59</v>
      </c>
      <c r="O173" s="26" t="s">
        <v>59</v>
      </c>
      <c r="P173" s="26" t="s">
        <v>59</v>
      </c>
      <c r="Q173" s="26" t="s">
        <v>59</v>
      </c>
      <c r="R173" s="26">
        <v>0.03</v>
      </c>
      <c r="S173" s="26" t="s">
        <v>60</v>
      </c>
      <c r="T173" s="26" t="s">
        <v>60</v>
      </c>
      <c r="U173" s="26">
        <v>106</v>
      </c>
      <c r="V173" s="26">
        <v>133</v>
      </c>
      <c r="W173" s="26" t="s">
        <v>60</v>
      </c>
      <c r="X173" s="26" t="s">
        <v>60</v>
      </c>
      <c r="Y173" s="26">
        <v>9.1999999999999993</v>
      </c>
      <c r="Z173" s="26">
        <v>1.5</v>
      </c>
      <c r="AA173" s="26" t="s">
        <v>61</v>
      </c>
      <c r="AB173" s="26" t="s">
        <v>61</v>
      </c>
      <c r="AC173" s="27" t="s">
        <v>61</v>
      </c>
      <c r="AD173" s="26">
        <v>9.1999999999999993</v>
      </c>
      <c r="AE173" s="26">
        <v>1.3</v>
      </c>
      <c r="AF173" s="26" t="s">
        <v>61</v>
      </c>
      <c r="AG173" s="26" t="s">
        <v>61</v>
      </c>
      <c r="AH173" s="27" t="s">
        <v>61</v>
      </c>
      <c r="AI173" s="26" t="s">
        <v>60</v>
      </c>
      <c r="AJ173" s="26" t="s">
        <v>60</v>
      </c>
      <c r="AK173" s="26" t="s">
        <v>59</v>
      </c>
      <c r="AL173" s="26" t="s">
        <v>59</v>
      </c>
      <c r="AM173" s="26" t="s">
        <v>59</v>
      </c>
      <c r="AN173" s="26" t="s">
        <v>60</v>
      </c>
      <c r="AO173" s="26" t="s">
        <v>60</v>
      </c>
      <c r="AP173" s="26" t="s">
        <v>59</v>
      </c>
      <c r="AQ173" s="26" t="s">
        <v>59</v>
      </c>
      <c r="AR173" s="26" t="s">
        <v>59</v>
      </c>
      <c r="AS173" s="26" t="s">
        <v>61</v>
      </c>
      <c r="AT173" s="26" t="s">
        <v>64</v>
      </c>
      <c r="AU173" s="26" t="s">
        <v>59</v>
      </c>
      <c r="AV173" s="26" t="s">
        <v>59</v>
      </c>
      <c r="AW173" s="26" t="s">
        <v>59</v>
      </c>
      <c r="AX173" s="26" t="s">
        <v>59</v>
      </c>
      <c r="AY173" s="186">
        <v>106</v>
      </c>
      <c r="AZ173" s="186">
        <v>133</v>
      </c>
      <c r="BA173" s="186" t="s">
        <v>60</v>
      </c>
      <c r="BB173" s="186" t="s">
        <v>60</v>
      </c>
      <c r="BC173" s="26">
        <v>8.6</v>
      </c>
      <c r="BD173" s="26" t="s">
        <v>61</v>
      </c>
      <c r="BE173" s="26" t="s">
        <v>61</v>
      </c>
      <c r="BF173" s="26">
        <v>9</v>
      </c>
      <c r="BG173" s="48">
        <v>1</v>
      </c>
      <c r="BH173" s="27" t="s">
        <v>61</v>
      </c>
      <c r="BI173" s="27" t="s">
        <v>61</v>
      </c>
      <c r="BJ173" s="26">
        <v>-0.5</v>
      </c>
      <c r="BK173" s="26" t="s">
        <v>61</v>
      </c>
      <c r="BL173" s="26" t="s">
        <v>61</v>
      </c>
      <c r="BM173" s="26" t="s">
        <v>61</v>
      </c>
      <c r="BN173" s="26" t="s">
        <v>61</v>
      </c>
      <c r="BO173" s="26" t="s">
        <v>61</v>
      </c>
      <c r="BP173" s="26">
        <v>8.3000000000000007</v>
      </c>
      <c r="BQ173" s="26" t="s">
        <v>61</v>
      </c>
      <c r="BR173" s="26" t="s">
        <v>61</v>
      </c>
      <c r="BS173" s="26">
        <v>9</v>
      </c>
      <c r="BT173" s="26">
        <v>1</v>
      </c>
      <c r="BU173" s="27" t="s">
        <v>61</v>
      </c>
      <c r="BV173" s="27" t="s">
        <v>61</v>
      </c>
      <c r="BW173" s="26">
        <v>-0.8</v>
      </c>
      <c r="BX173" s="26" t="s">
        <v>61</v>
      </c>
      <c r="BY173" s="27" t="s">
        <v>61</v>
      </c>
      <c r="BZ173" s="26" t="s">
        <v>61</v>
      </c>
      <c r="CA173" s="27" t="s">
        <v>61</v>
      </c>
      <c r="CB173" s="26" t="s">
        <v>61</v>
      </c>
      <c r="CC173" s="26" t="s">
        <v>60</v>
      </c>
      <c r="CD173" s="26" t="s">
        <v>60</v>
      </c>
      <c r="CE173" s="27" t="s">
        <v>59</v>
      </c>
      <c r="CF173" s="27"/>
      <c r="CG173" s="27"/>
      <c r="CH173" s="27" t="s">
        <v>59</v>
      </c>
      <c r="CI173" s="27" t="s">
        <v>59</v>
      </c>
      <c r="CJ173" s="26" t="s">
        <v>59</v>
      </c>
      <c r="CK173" s="27" t="s">
        <v>59</v>
      </c>
      <c r="CL173" s="27" t="s">
        <v>59</v>
      </c>
      <c r="CM173" s="26" t="s">
        <v>59</v>
      </c>
      <c r="CN173" s="26" t="s">
        <v>59</v>
      </c>
      <c r="CO173" s="26" t="s">
        <v>59</v>
      </c>
      <c r="CP173" s="26" t="s">
        <v>60</v>
      </c>
      <c r="CQ173" s="26" t="s">
        <v>60</v>
      </c>
      <c r="CR173" s="27" t="s">
        <v>59</v>
      </c>
      <c r="CS173" s="27"/>
      <c r="CT173" s="27"/>
      <c r="CU173" s="27" t="s">
        <v>59</v>
      </c>
      <c r="CV173" s="27" t="s">
        <v>59</v>
      </c>
      <c r="CW173" s="26" t="s">
        <v>59</v>
      </c>
      <c r="CX173" s="27" t="s">
        <v>59</v>
      </c>
      <c r="CY173" s="27" t="s">
        <v>59</v>
      </c>
      <c r="CZ173" s="27" t="s">
        <v>59</v>
      </c>
      <c r="DA173" s="27" t="s">
        <v>59</v>
      </c>
      <c r="DB173" s="26" t="s">
        <v>59</v>
      </c>
      <c r="DC173" s="26">
        <v>13</v>
      </c>
      <c r="DD173" s="22" t="s">
        <v>248</v>
      </c>
      <c r="DE173" s="22"/>
      <c r="DF173" s="22"/>
      <c r="DG173" s="26"/>
      <c r="DH173" s="27"/>
      <c r="DI173" s="22"/>
      <c r="DJ173" s="26"/>
    </row>
    <row r="174" spans="1:114" s="43" customFormat="1" ht="14">
      <c r="A174" s="49" t="s">
        <v>429</v>
      </c>
      <c r="B174" s="43">
        <v>12840</v>
      </c>
      <c r="C174" s="43">
        <v>3</v>
      </c>
      <c r="D174" s="43">
        <v>1</v>
      </c>
      <c r="E174" s="48" t="s">
        <v>139</v>
      </c>
      <c r="F174" s="26" t="s">
        <v>59</v>
      </c>
      <c r="G174" s="48">
        <f t="shared" si="2"/>
        <v>75</v>
      </c>
      <c r="H174" s="26" t="s">
        <v>59</v>
      </c>
      <c r="I174" s="26" t="s">
        <v>59</v>
      </c>
      <c r="J174" s="48" t="s">
        <v>59</v>
      </c>
      <c r="K174" s="26" t="s">
        <v>59</v>
      </c>
      <c r="L174" s="26" t="s">
        <v>59</v>
      </c>
      <c r="M174" s="26" t="s">
        <v>59</v>
      </c>
      <c r="N174" s="26" t="s">
        <v>59</v>
      </c>
      <c r="O174" s="26" t="s">
        <v>59</v>
      </c>
      <c r="P174" s="26" t="s">
        <v>59</v>
      </c>
      <c r="Q174" s="48" t="s">
        <v>59</v>
      </c>
      <c r="R174" s="48" t="s">
        <v>59</v>
      </c>
      <c r="S174" s="48" t="s">
        <v>59</v>
      </c>
      <c r="T174" s="48" t="s">
        <v>59</v>
      </c>
      <c r="U174" s="48">
        <v>28</v>
      </c>
      <c r="V174" s="48">
        <v>21</v>
      </c>
      <c r="W174" s="48">
        <v>26</v>
      </c>
      <c r="X174" s="48" t="s">
        <v>59</v>
      </c>
      <c r="Y174" s="69">
        <v>9.3000000000000007</v>
      </c>
      <c r="Z174" s="26" t="s">
        <v>61</v>
      </c>
      <c r="AA174" s="69">
        <v>0.3</v>
      </c>
      <c r="AB174" s="69" t="s">
        <v>61</v>
      </c>
      <c r="AC174" s="69" t="s">
        <v>61</v>
      </c>
      <c r="AD174" s="69">
        <v>9.3000000000000007</v>
      </c>
      <c r="AE174" s="69" t="s">
        <v>61</v>
      </c>
      <c r="AF174" s="69">
        <v>0.4</v>
      </c>
      <c r="AG174" s="69" t="s">
        <v>61</v>
      </c>
      <c r="AH174" s="69" t="s">
        <v>61</v>
      </c>
      <c r="AI174" s="69">
        <v>9.8000000000000007</v>
      </c>
      <c r="AJ174" s="69" t="s">
        <v>61</v>
      </c>
      <c r="AK174" s="69">
        <v>0.3</v>
      </c>
      <c r="AL174" s="69" t="s">
        <v>61</v>
      </c>
      <c r="AM174" s="69" t="s">
        <v>61</v>
      </c>
      <c r="AN174" s="69" t="s">
        <v>59</v>
      </c>
      <c r="AO174" s="69" t="s">
        <v>59</v>
      </c>
      <c r="AP174" s="69" t="s">
        <v>59</v>
      </c>
      <c r="AQ174" s="69" t="s">
        <v>59</v>
      </c>
      <c r="AR174" s="69" t="s">
        <v>59</v>
      </c>
      <c r="AS174" s="69" t="s">
        <v>61</v>
      </c>
      <c r="AT174" s="69" t="s">
        <v>64</v>
      </c>
      <c r="AU174" s="69" t="s">
        <v>59</v>
      </c>
      <c r="AV174" s="69" t="s">
        <v>59</v>
      </c>
      <c r="AW174" s="69" t="s">
        <v>59</v>
      </c>
      <c r="AX174" s="69" t="s">
        <v>59</v>
      </c>
      <c r="AY174" s="215">
        <v>28</v>
      </c>
      <c r="AZ174" s="215">
        <v>21</v>
      </c>
      <c r="BA174" s="215">
        <v>26</v>
      </c>
      <c r="BB174" s="215" t="s">
        <v>59</v>
      </c>
      <c r="BC174" s="69">
        <v>8.6</v>
      </c>
      <c r="BD174" s="69" t="s">
        <v>61</v>
      </c>
      <c r="BE174" s="69" t="s">
        <v>61</v>
      </c>
      <c r="BF174" s="26">
        <v>9</v>
      </c>
      <c r="BG174" s="48">
        <v>1</v>
      </c>
      <c r="BH174" s="69" t="s">
        <v>61</v>
      </c>
      <c r="BI174" s="69" t="s">
        <v>61</v>
      </c>
      <c r="BJ174" s="69">
        <v>-0.7</v>
      </c>
      <c r="BK174" s="69" t="s">
        <v>61</v>
      </c>
      <c r="BL174" s="69" t="s">
        <v>61</v>
      </c>
      <c r="BM174" s="69">
        <v>-1.4</v>
      </c>
      <c r="BN174" s="69">
        <v>0.1</v>
      </c>
      <c r="BO174" s="69" t="s">
        <v>61</v>
      </c>
      <c r="BP174" s="69">
        <v>7.8</v>
      </c>
      <c r="BQ174" s="69" t="s">
        <v>61</v>
      </c>
      <c r="BR174" s="69" t="s">
        <v>61</v>
      </c>
      <c r="BS174" s="26">
        <v>9</v>
      </c>
      <c r="BT174" s="26">
        <v>1</v>
      </c>
      <c r="BU174" s="69" t="s">
        <v>61</v>
      </c>
      <c r="BV174" s="69" t="s">
        <v>61</v>
      </c>
      <c r="BW174" s="69">
        <v>-1.5</v>
      </c>
      <c r="BX174" s="69" t="s">
        <v>61</v>
      </c>
      <c r="BY174" s="69" t="s">
        <v>61</v>
      </c>
      <c r="BZ174" s="69">
        <v>-2.4</v>
      </c>
      <c r="CA174" s="69">
        <v>-0.5</v>
      </c>
      <c r="CB174" s="69" t="s">
        <v>61</v>
      </c>
      <c r="CC174" s="69">
        <v>8.6</v>
      </c>
      <c r="CD174" s="69" t="s">
        <v>61</v>
      </c>
      <c r="CE174" s="69" t="s">
        <v>61</v>
      </c>
      <c r="CF174" s="69">
        <v>9</v>
      </c>
      <c r="CG174" s="69">
        <v>1</v>
      </c>
      <c r="CH174" s="69" t="s">
        <v>61</v>
      </c>
      <c r="CI174" s="69" t="s">
        <v>61</v>
      </c>
      <c r="CJ174" s="69">
        <v>-1.2</v>
      </c>
      <c r="CK174" s="69" t="s">
        <v>61</v>
      </c>
      <c r="CL174" s="69" t="s">
        <v>61</v>
      </c>
      <c r="CM174" s="69">
        <v>-2.1</v>
      </c>
      <c r="CN174" s="69">
        <v>-0.3</v>
      </c>
      <c r="CO174" s="69" t="s">
        <v>61</v>
      </c>
      <c r="CP174" s="69" t="s">
        <v>59</v>
      </c>
      <c r="CQ174" s="69" t="s">
        <v>59</v>
      </c>
      <c r="CR174" s="69" t="s">
        <v>59</v>
      </c>
      <c r="CS174" s="69"/>
      <c r="CT174" s="69"/>
      <c r="CU174" s="69" t="s">
        <v>59</v>
      </c>
      <c r="CV174" s="69" t="s">
        <v>59</v>
      </c>
      <c r="CW174" s="69" t="s">
        <v>59</v>
      </c>
      <c r="CX174" s="69" t="s">
        <v>59</v>
      </c>
      <c r="CY174" s="69" t="s">
        <v>59</v>
      </c>
      <c r="CZ174" s="69" t="s">
        <v>59</v>
      </c>
      <c r="DA174" s="69" t="s">
        <v>59</v>
      </c>
      <c r="DB174" s="69" t="s">
        <v>59</v>
      </c>
      <c r="DC174" s="69">
        <v>3</v>
      </c>
      <c r="DD174" s="55"/>
    </row>
    <row r="175" spans="1:114" s="43" customFormat="1" ht="14">
      <c r="A175" s="49" t="s">
        <v>401</v>
      </c>
      <c r="B175" s="43">
        <v>12208</v>
      </c>
      <c r="C175" s="34">
        <v>2</v>
      </c>
      <c r="D175" s="43">
        <v>1</v>
      </c>
      <c r="E175" s="48" t="s">
        <v>139</v>
      </c>
      <c r="F175" s="26" t="s">
        <v>59</v>
      </c>
      <c r="G175" s="48">
        <f t="shared" si="2"/>
        <v>105</v>
      </c>
      <c r="H175" s="26" t="s">
        <v>59</v>
      </c>
      <c r="I175" s="26" t="s">
        <v>59</v>
      </c>
      <c r="J175" s="48" t="s">
        <v>59</v>
      </c>
      <c r="K175" s="26" t="s">
        <v>59</v>
      </c>
      <c r="L175" s="26" t="s">
        <v>59</v>
      </c>
      <c r="M175" s="26" t="s">
        <v>59</v>
      </c>
      <c r="N175" s="26" t="s">
        <v>59</v>
      </c>
      <c r="O175" s="26" t="s">
        <v>59</v>
      </c>
      <c r="P175" s="26" t="s">
        <v>59</v>
      </c>
      <c r="Q175" s="48" t="s">
        <v>59</v>
      </c>
      <c r="R175" s="48" t="s">
        <v>59</v>
      </c>
      <c r="S175" s="48" t="s">
        <v>59</v>
      </c>
      <c r="T175" s="48" t="s">
        <v>59</v>
      </c>
      <c r="U175" s="48">
        <v>54</v>
      </c>
      <c r="V175" s="48">
        <v>51</v>
      </c>
      <c r="W175" s="48" t="s">
        <v>59</v>
      </c>
      <c r="X175" s="48" t="s">
        <v>59</v>
      </c>
      <c r="Y175" s="69">
        <v>9.5</v>
      </c>
      <c r="Z175" s="69">
        <v>1.8</v>
      </c>
      <c r="AA175" s="69" t="s">
        <v>61</v>
      </c>
      <c r="AB175" s="69" t="s">
        <v>61</v>
      </c>
      <c r="AC175" s="69" t="s">
        <v>61</v>
      </c>
      <c r="AD175" s="69">
        <v>9.6999999999999993</v>
      </c>
      <c r="AE175" s="69">
        <v>1.4</v>
      </c>
      <c r="AF175" s="69" t="s">
        <v>61</v>
      </c>
      <c r="AG175" s="69" t="s">
        <v>61</v>
      </c>
      <c r="AH175" s="69" t="s">
        <v>61</v>
      </c>
      <c r="AI175" s="69" t="s">
        <v>59</v>
      </c>
      <c r="AJ175" s="69" t="s">
        <v>59</v>
      </c>
      <c r="AK175" s="69" t="s">
        <v>59</v>
      </c>
      <c r="AL175" s="69" t="s">
        <v>59</v>
      </c>
      <c r="AM175" s="69" t="s">
        <v>59</v>
      </c>
      <c r="AN175" s="69" t="s">
        <v>59</v>
      </c>
      <c r="AO175" s="69" t="s">
        <v>59</v>
      </c>
      <c r="AP175" s="69" t="s">
        <v>59</v>
      </c>
      <c r="AQ175" s="69" t="s">
        <v>59</v>
      </c>
      <c r="AR175" s="69" t="s">
        <v>59</v>
      </c>
      <c r="AS175" s="69">
        <v>0.67</v>
      </c>
      <c r="AT175" s="69" t="s">
        <v>64</v>
      </c>
      <c r="AU175" s="69" t="s">
        <v>59</v>
      </c>
      <c r="AV175" s="69" t="s">
        <v>59</v>
      </c>
      <c r="AW175" s="69" t="s">
        <v>59</v>
      </c>
      <c r="AX175" s="69" t="s">
        <v>59</v>
      </c>
      <c r="AY175" s="215">
        <v>54</v>
      </c>
      <c r="AZ175" s="215">
        <v>51</v>
      </c>
      <c r="BA175" s="215" t="s">
        <v>59</v>
      </c>
      <c r="BB175" s="215" t="s">
        <v>59</v>
      </c>
      <c r="BC175" s="69">
        <v>9.1</v>
      </c>
      <c r="BD175" s="69" t="s">
        <v>61</v>
      </c>
      <c r="BE175" s="69" t="s">
        <v>61</v>
      </c>
      <c r="BF175" s="26">
        <v>9</v>
      </c>
      <c r="BG175" s="48">
        <v>1</v>
      </c>
      <c r="BH175" s="69" t="s">
        <v>61</v>
      </c>
      <c r="BI175" s="69" t="s">
        <v>61</v>
      </c>
      <c r="BJ175" s="69">
        <v>-0.4</v>
      </c>
      <c r="BK175" s="69">
        <v>1.19</v>
      </c>
      <c r="BL175" s="69" t="s">
        <v>61</v>
      </c>
      <c r="BM175" s="69" t="s">
        <v>61</v>
      </c>
      <c r="BN175" s="69" t="s">
        <v>61</v>
      </c>
      <c r="BO175" s="69" t="s">
        <v>61</v>
      </c>
      <c r="BP175" s="69">
        <v>8.1300000000000008</v>
      </c>
      <c r="BQ175" s="69" t="s">
        <v>61</v>
      </c>
      <c r="BR175" s="69" t="s">
        <v>61</v>
      </c>
      <c r="BS175" s="26">
        <v>9</v>
      </c>
      <c r="BT175" s="26">
        <v>1</v>
      </c>
      <c r="BU175" s="69" t="s">
        <v>61</v>
      </c>
      <c r="BV175" s="69" t="s">
        <v>61</v>
      </c>
      <c r="BW175" s="69">
        <v>-1.57</v>
      </c>
      <c r="BX175" s="69">
        <v>1.5</v>
      </c>
      <c r="BY175" s="69" t="s">
        <v>61</v>
      </c>
      <c r="BZ175" s="69" t="s">
        <v>61</v>
      </c>
      <c r="CA175" s="69" t="s">
        <v>61</v>
      </c>
      <c r="CB175" s="69" t="s">
        <v>61</v>
      </c>
      <c r="CC175" s="69" t="s">
        <v>59</v>
      </c>
      <c r="CD175" s="69" t="s">
        <v>59</v>
      </c>
      <c r="CE175" s="69" t="s">
        <v>59</v>
      </c>
      <c r="CF175" s="69"/>
      <c r="CG175" s="69"/>
      <c r="CH175" s="69" t="s">
        <v>59</v>
      </c>
      <c r="CI175" s="69" t="s">
        <v>59</v>
      </c>
      <c r="CJ175" s="69" t="s">
        <v>59</v>
      </c>
      <c r="CK175" s="69" t="s">
        <v>59</v>
      </c>
      <c r="CL175" s="69" t="s">
        <v>59</v>
      </c>
      <c r="CM175" s="69" t="s">
        <v>59</v>
      </c>
      <c r="CN175" s="69" t="s">
        <v>59</v>
      </c>
      <c r="CO175" s="69" t="s">
        <v>59</v>
      </c>
      <c r="CP175" s="69" t="s">
        <v>59</v>
      </c>
      <c r="CQ175" s="69" t="s">
        <v>59</v>
      </c>
      <c r="CR175" s="69" t="s">
        <v>59</v>
      </c>
      <c r="CS175" s="69"/>
      <c r="CT175" s="69"/>
      <c r="CU175" s="69" t="s">
        <v>59</v>
      </c>
      <c r="CV175" s="69" t="s">
        <v>59</v>
      </c>
      <c r="CW175" s="69" t="s">
        <v>59</v>
      </c>
      <c r="CX175" s="69" t="s">
        <v>59</v>
      </c>
      <c r="CY175" s="69" t="s">
        <v>59</v>
      </c>
      <c r="CZ175" s="69" t="s">
        <v>59</v>
      </c>
      <c r="DA175" s="69" t="s">
        <v>59</v>
      </c>
      <c r="DB175" s="69" t="s">
        <v>59</v>
      </c>
      <c r="DC175" s="69">
        <v>9</v>
      </c>
      <c r="DD175" s="55"/>
    </row>
    <row r="176" spans="1:114" s="43" customFormat="1" ht="14">
      <c r="A176" s="34" t="s">
        <v>234</v>
      </c>
      <c r="B176" s="34">
        <v>6287</v>
      </c>
      <c r="C176" s="34">
        <v>2</v>
      </c>
      <c r="D176" s="43">
        <v>1</v>
      </c>
      <c r="E176" s="26" t="s">
        <v>139</v>
      </c>
      <c r="F176" s="26" t="s">
        <v>59</v>
      </c>
      <c r="G176" s="48">
        <f t="shared" si="2"/>
        <v>127</v>
      </c>
      <c r="H176" s="26" t="s">
        <v>59</v>
      </c>
      <c r="I176" s="26" t="s">
        <v>59</v>
      </c>
      <c r="J176" s="26" t="s">
        <v>59</v>
      </c>
      <c r="K176" s="26" t="s">
        <v>59</v>
      </c>
      <c r="L176" s="26" t="s">
        <v>59</v>
      </c>
      <c r="M176" s="26" t="s">
        <v>59</v>
      </c>
      <c r="N176" s="26" t="s">
        <v>59</v>
      </c>
      <c r="O176" s="26" t="s">
        <v>59</v>
      </c>
      <c r="P176" s="26" t="s">
        <v>59</v>
      </c>
      <c r="Q176" s="26" t="s">
        <v>59</v>
      </c>
      <c r="R176" s="26" t="s">
        <v>59</v>
      </c>
      <c r="S176" s="26" t="s">
        <v>60</v>
      </c>
      <c r="T176" s="26" t="s">
        <v>60</v>
      </c>
      <c r="U176" s="26">
        <v>66</v>
      </c>
      <c r="V176" s="26">
        <v>61</v>
      </c>
      <c r="W176" s="26" t="s">
        <v>60</v>
      </c>
      <c r="X176" s="26" t="s">
        <v>60</v>
      </c>
      <c r="Y176" s="26">
        <v>9.5</v>
      </c>
      <c r="Z176" s="69" t="s">
        <v>61</v>
      </c>
      <c r="AA176" s="189">
        <v>0.3</v>
      </c>
      <c r="AB176" s="26" t="s">
        <v>61</v>
      </c>
      <c r="AC176" s="27" t="s">
        <v>61</v>
      </c>
      <c r="AD176" s="26">
        <v>9.5</v>
      </c>
      <c r="AE176" s="69" t="s">
        <v>61</v>
      </c>
      <c r="AF176" s="189">
        <v>0.3</v>
      </c>
      <c r="AG176" s="26" t="s">
        <v>61</v>
      </c>
      <c r="AH176" s="27" t="s">
        <v>61</v>
      </c>
      <c r="AI176" s="26" t="s">
        <v>60</v>
      </c>
      <c r="AJ176" s="26" t="s">
        <v>60</v>
      </c>
      <c r="AK176" s="26" t="s">
        <v>59</v>
      </c>
      <c r="AL176" s="26" t="s">
        <v>59</v>
      </c>
      <c r="AM176" s="26" t="s">
        <v>59</v>
      </c>
      <c r="AN176" s="26" t="s">
        <v>60</v>
      </c>
      <c r="AO176" s="26" t="s">
        <v>60</v>
      </c>
      <c r="AP176" s="26" t="s">
        <v>59</v>
      </c>
      <c r="AQ176" s="26" t="s">
        <v>59</v>
      </c>
      <c r="AR176" s="26" t="s">
        <v>59</v>
      </c>
      <c r="AS176" s="26" t="s">
        <v>61</v>
      </c>
      <c r="AT176" s="26" t="s">
        <v>64</v>
      </c>
      <c r="AU176" s="26" t="s">
        <v>59</v>
      </c>
      <c r="AV176" s="26" t="s">
        <v>59</v>
      </c>
      <c r="AW176" s="26" t="s">
        <v>59</v>
      </c>
      <c r="AX176" s="26" t="s">
        <v>59</v>
      </c>
      <c r="AY176" s="186">
        <v>66</v>
      </c>
      <c r="AZ176" s="186">
        <v>61</v>
      </c>
      <c r="BA176" s="186" t="s">
        <v>60</v>
      </c>
      <c r="BB176" s="186" t="s">
        <v>60</v>
      </c>
      <c r="BC176" s="26">
        <v>9.15</v>
      </c>
      <c r="BD176" s="26" t="s">
        <v>61</v>
      </c>
      <c r="BE176" s="26" t="s">
        <v>61</v>
      </c>
      <c r="BF176" s="26">
        <v>9</v>
      </c>
      <c r="BG176" s="48">
        <v>1</v>
      </c>
      <c r="BH176" s="27" t="s">
        <v>61</v>
      </c>
      <c r="BI176" s="27" t="s">
        <v>61</v>
      </c>
      <c r="BJ176" s="26">
        <v>-0.35</v>
      </c>
      <c r="BK176" s="26" t="s">
        <v>61</v>
      </c>
      <c r="BL176" s="26" t="s">
        <v>61</v>
      </c>
      <c r="BM176" s="26" t="s">
        <v>61</v>
      </c>
      <c r="BN176" s="26" t="s">
        <v>61</v>
      </c>
      <c r="BO176" s="26" t="s">
        <v>61</v>
      </c>
      <c r="BP176" s="26">
        <v>8.36</v>
      </c>
      <c r="BQ176" s="26" t="s">
        <v>61</v>
      </c>
      <c r="BR176" s="26" t="s">
        <v>61</v>
      </c>
      <c r="BS176" s="26">
        <v>9</v>
      </c>
      <c r="BT176" s="26">
        <v>1</v>
      </c>
      <c r="BU176" s="27" t="s">
        <v>61</v>
      </c>
      <c r="BV176" s="27" t="s">
        <v>61</v>
      </c>
      <c r="BW176" s="26">
        <v>-1.1399999999999999</v>
      </c>
      <c r="BX176" s="26" t="s">
        <v>61</v>
      </c>
      <c r="BY176" s="27" t="s">
        <v>61</v>
      </c>
      <c r="BZ176" s="26" t="s">
        <v>61</v>
      </c>
      <c r="CA176" s="27" t="s">
        <v>61</v>
      </c>
      <c r="CB176" s="26">
        <v>0.01</v>
      </c>
      <c r="CC176" s="26" t="s">
        <v>60</v>
      </c>
      <c r="CD176" s="26" t="s">
        <v>60</v>
      </c>
      <c r="CE176" s="26" t="s">
        <v>59</v>
      </c>
      <c r="CF176" s="26"/>
      <c r="CG176" s="26"/>
      <c r="CH176" s="26" t="s">
        <v>59</v>
      </c>
      <c r="CI176" s="26" t="s">
        <v>59</v>
      </c>
      <c r="CJ176" s="26" t="s">
        <v>59</v>
      </c>
      <c r="CK176" s="26" t="s">
        <v>59</v>
      </c>
      <c r="CL176" s="26" t="s">
        <v>59</v>
      </c>
      <c r="CM176" s="26" t="s">
        <v>59</v>
      </c>
      <c r="CN176" s="26" t="s">
        <v>59</v>
      </c>
      <c r="CO176" s="26" t="s">
        <v>59</v>
      </c>
      <c r="CP176" s="26" t="s">
        <v>60</v>
      </c>
      <c r="CQ176" s="26" t="s">
        <v>60</v>
      </c>
      <c r="CR176" s="26" t="s">
        <v>59</v>
      </c>
      <c r="CS176" s="26"/>
      <c r="CT176" s="26"/>
      <c r="CU176" s="26" t="s">
        <v>59</v>
      </c>
      <c r="CV176" s="26" t="s">
        <v>59</v>
      </c>
      <c r="CW176" s="26" t="s">
        <v>59</v>
      </c>
      <c r="CX176" s="26" t="s">
        <v>59</v>
      </c>
      <c r="CY176" s="26" t="s">
        <v>59</v>
      </c>
      <c r="CZ176" s="26" t="s">
        <v>59</v>
      </c>
      <c r="DA176" s="26" t="s">
        <v>59</v>
      </c>
      <c r="DB176" s="26" t="s">
        <v>59</v>
      </c>
      <c r="DC176" s="26">
        <v>12</v>
      </c>
      <c r="DD176" s="29"/>
      <c r="DE176" s="22"/>
      <c r="DF176" s="22"/>
      <c r="DG176" s="26"/>
      <c r="DH176" s="27"/>
      <c r="DI176" s="22"/>
      <c r="DJ176" s="26"/>
    </row>
    <row r="177" spans="1:114" s="43" customFormat="1">
      <c r="A177" s="34" t="s">
        <v>227</v>
      </c>
      <c r="B177" s="34">
        <v>6152</v>
      </c>
      <c r="C177" s="34">
        <v>2</v>
      </c>
      <c r="D177" s="43">
        <v>1</v>
      </c>
      <c r="E177" s="26" t="s">
        <v>139</v>
      </c>
      <c r="F177" s="26" t="s">
        <v>59</v>
      </c>
      <c r="G177" s="48">
        <f t="shared" si="2"/>
        <v>317</v>
      </c>
      <c r="H177" s="26" t="s">
        <v>59</v>
      </c>
      <c r="I177" s="26" t="s">
        <v>60</v>
      </c>
      <c r="J177" s="26" t="s">
        <v>59</v>
      </c>
      <c r="K177" s="26" t="s">
        <v>59</v>
      </c>
      <c r="L177" s="26" t="s">
        <v>59</v>
      </c>
      <c r="M177" s="26" t="s">
        <v>59</v>
      </c>
      <c r="N177" s="26" t="s">
        <v>59</v>
      </c>
      <c r="O177" s="26" t="s">
        <v>59</v>
      </c>
      <c r="P177" s="26" t="s">
        <v>59</v>
      </c>
      <c r="Q177" s="26" t="s">
        <v>60</v>
      </c>
      <c r="R177" s="26" t="s">
        <v>60</v>
      </c>
      <c r="S177" s="26" t="s">
        <v>60</v>
      </c>
      <c r="T177" s="26" t="s">
        <v>60</v>
      </c>
      <c r="U177" s="26">
        <v>172</v>
      </c>
      <c r="V177" s="26">
        <v>186</v>
      </c>
      <c r="W177" s="26" t="s">
        <v>60</v>
      </c>
      <c r="X177" s="26" t="s">
        <v>60</v>
      </c>
      <c r="Y177" s="26">
        <v>9.6999999999999993</v>
      </c>
      <c r="Z177" s="26" t="s">
        <v>61</v>
      </c>
      <c r="AA177" s="26">
        <v>0.1</v>
      </c>
      <c r="AB177" s="26" t="s">
        <v>61</v>
      </c>
      <c r="AC177" s="27" t="s">
        <v>61</v>
      </c>
      <c r="AD177" s="26">
        <v>9.6</v>
      </c>
      <c r="AE177" s="26" t="s">
        <v>61</v>
      </c>
      <c r="AF177" s="26">
        <v>0.1</v>
      </c>
      <c r="AG177" s="26" t="s">
        <v>61</v>
      </c>
      <c r="AH177" s="27" t="s">
        <v>61</v>
      </c>
      <c r="AI177" s="26" t="s">
        <v>60</v>
      </c>
      <c r="AJ177" s="26" t="s">
        <v>60</v>
      </c>
      <c r="AK177" s="26" t="s">
        <v>59</v>
      </c>
      <c r="AL177" s="26" t="s">
        <v>59</v>
      </c>
      <c r="AM177" s="26" t="s">
        <v>59</v>
      </c>
      <c r="AN177" s="26" t="s">
        <v>60</v>
      </c>
      <c r="AO177" s="26" t="s">
        <v>60</v>
      </c>
      <c r="AP177" s="26" t="s">
        <v>59</v>
      </c>
      <c r="AQ177" s="26" t="s">
        <v>59</v>
      </c>
      <c r="AR177" s="26" t="s">
        <v>59</v>
      </c>
      <c r="AS177" s="26">
        <v>0.57999999999999996</v>
      </c>
      <c r="AT177" s="26" t="s">
        <v>64</v>
      </c>
      <c r="AU177" s="26" t="s">
        <v>59</v>
      </c>
      <c r="AV177" s="26" t="s">
        <v>59</v>
      </c>
      <c r="AW177" s="26" t="s">
        <v>59</v>
      </c>
      <c r="AX177" s="26" t="s">
        <v>59</v>
      </c>
      <c r="AY177" s="186">
        <v>146</v>
      </c>
      <c r="AZ177" s="186">
        <v>171</v>
      </c>
      <c r="BA177" s="186" t="s">
        <v>60</v>
      </c>
      <c r="BB177" s="186" t="s">
        <v>60</v>
      </c>
      <c r="BC177" s="26">
        <v>8.5299999999999994</v>
      </c>
      <c r="BD177" s="26" t="s">
        <v>61</v>
      </c>
      <c r="BE177" s="26">
        <v>0.2</v>
      </c>
      <c r="BF177" s="48">
        <v>1</v>
      </c>
      <c r="BG177" s="48">
        <v>1</v>
      </c>
      <c r="BH177" s="27" t="s">
        <v>61</v>
      </c>
      <c r="BI177" s="27" t="s">
        <v>61</v>
      </c>
      <c r="BJ177" s="26">
        <v>-1.1299999999999999</v>
      </c>
      <c r="BK177" s="26" t="s">
        <v>61</v>
      </c>
      <c r="BL177" s="26" t="s">
        <v>61</v>
      </c>
      <c r="BM177" s="26" t="s">
        <v>61</v>
      </c>
      <c r="BN177" s="26" t="s">
        <v>61</v>
      </c>
      <c r="BO177" s="26" t="s">
        <v>61</v>
      </c>
      <c r="BP177" s="26">
        <v>7.66</v>
      </c>
      <c r="BQ177" s="26" t="s">
        <v>61</v>
      </c>
      <c r="BR177" s="26">
        <v>0.17</v>
      </c>
      <c r="BS177" s="69">
        <v>1</v>
      </c>
      <c r="BT177" s="26">
        <v>1</v>
      </c>
      <c r="BU177" s="27" t="s">
        <v>61</v>
      </c>
      <c r="BV177" s="27" t="s">
        <v>61</v>
      </c>
      <c r="BW177" s="26">
        <v>-1.88</v>
      </c>
      <c r="BX177" s="26" t="s">
        <v>61</v>
      </c>
      <c r="BY177" s="27" t="s">
        <v>61</v>
      </c>
      <c r="BZ177" s="26" t="s">
        <v>61</v>
      </c>
      <c r="CA177" s="27" t="s">
        <v>61</v>
      </c>
      <c r="CB177" s="26" t="s">
        <v>61</v>
      </c>
      <c r="CC177" s="26" t="s">
        <v>60</v>
      </c>
      <c r="CD177" s="26" t="s">
        <v>60</v>
      </c>
      <c r="CE177" s="26" t="s">
        <v>59</v>
      </c>
      <c r="CF177" s="26"/>
      <c r="CG177" s="26"/>
      <c r="CH177" s="26" t="s">
        <v>59</v>
      </c>
      <c r="CI177" s="26" t="s">
        <v>59</v>
      </c>
      <c r="CJ177" s="26" t="s">
        <v>59</v>
      </c>
      <c r="CK177" s="26" t="s">
        <v>59</v>
      </c>
      <c r="CL177" s="26" t="s">
        <v>59</v>
      </c>
      <c r="CM177" s="26" t="s">
        <v>59</v>
      </c>
      <c r="CN177" s="26" t="s">
        <v>59</v>
      </c>
      <c r="CO177" s="26" t="s">
        <v>59</v>
      </c>
      <c r="CP177" s="26" t="s">
        <v>60</v>
      </c>
      <c r="CQ177" s="26" t="s">
        <v>60</v>
      </c>
      <c r="CR177" s="26" t="s">
        <v>59</v>
      </c>
      <c r="CS177" s="26"/>
      <c r="CT177" s="26"/>
      <c r="CU177" s="26" t="s">
        <v>59</v>
      </c>
      <c r="CV177" s="26" t="s">
        <v>59</v>
      </c>
      <c r="CW177" s="26" t="s">
        <v>59</v>
      </c>
      <c r="CX177" s="26" t="s">
        <v>59</v>
      </c>
      <c r="CY177" s="26" t="s">
        <v>59</v>
      </c>
      <c r="CZ177" s="26" t="s">
        <v>59</v>
      </c>
      <c r="DA177" s="26" t="s">
        <v>59</v>
      </c>
      <c r="DB177" s="26" t="s">
        <v>59</v>
      </c>
      <c r="DC177" s="26">
        <v>36</v>
      </c>
      <c r="DD177" s="29"/>
      <c r="DE177" s="22"/>
      <c r="DF177" s="22"/>
      <c r="DG177" s="26"/>
      <c r="DH177" s="27"/>
      <c r="DI177" s="22"/>
      <c r="DJ177" s="26"/>
    </row>
    <row r="178" spans="1:114" s="43" customFormat="1" ht="14">
      <c r="A178" s="49" t="s">
        <v>354</v>
      </c>
      <c r="B178" s="43">
        <v>10205</v>
      </c>
      <c r="C178" s="34">
        <v>2</v>
      </c>
      <c r="D178" s="43">
        <v>1</v>
      </c>
      <c r="E178" s="48" t="s">
        <v>139</v>
      </c>
      <c r="F178" s="26" t="s">
        <v>59</v>
      </c>
      <c r="G178" s="48">
        <f t="shared" si="2"/>
        <v>201</v>
      </c>
      <c r="H178" s="26" t="s">
        <v>59</v>
      </c>
      <c r="I178" s="26" t="s">
        <v>59</v>
      </c>
      <c r="J178" s="48" t="s">
        <v>59</v>
      </c>
      <c r="K178" s="26" t="s">
        <v>59</v>
      </c>
      <c r="L178" s="26" t="s">
        <v>59</v>
      </c>
      <c r="M178" s="26" t="s">
        <v>59</v>
      </c>
      <c r="N178" s="26" t="s">
        <v>59</v>
      </c>
      <c r="O178" s="26" t="s">
        <v>59</v>
      </c>
      <c r="P178" s="26" t="s">
        <v>59</v>
      </c>
      <c r="Q178" s="48" t="s">
        <v>59</v>
      </c>
      <c r="R178" s="48" t="s">
        <v>59</v>
      </c>
      <c r="S178" s="48" t="s">
        <v>59</v>
      </c>
      <c r="T178" s="48" t="s">
        <v>59</v>
      </c>
      <c r="U178" s="48">
        <v>101</v>
      </c>
      <c r="V178" s="48">
        <v>100</v>
      </c>
      <c r="W178" s="48" t="s">
        <v>59</v>
      </c>
      <c r="X178" s="48" t="s">
        <v>59</v>
      </c>
      <c r="Y178" s="48">
        <v>9.8000000000000007</v>
      </c>
      <c r="Z178" s="48">
        <v>2.1</v>
      </c>
      <c r="AA178" s="48" t="s">
        <v>61</v>
      </c>
      <c r="AB178" s="48" t="s">
        <v>61</v>
      </c>
      <c r="AC178" s="48" t="s">
        <v>61</v>
      </c>
      <c r="AD178" s="48">
        <v>9.4</v>
      </c>
      <c r="AE178" s="48">
        <v>1.9</v>
      </c>
      <c r="AF178" s="48" t="s">
        <v>61</v>
      </c>
      <c r="AG178" s="48" t="s">
        <v>61</v>
      </c>
      <c r="AH178" s="48" t="s">
        <v>61</v>
      </c>
      <c r="AI178" s="48" t="s">
        <v>59</v>
      </c>
      <c r="AJ178" s="48" t="s">
        <v>59</v>
      </c>
      <c r="AK178" s="48" t="s">
        <v>59</v>
      </c>
      <c r="AL178" s="48" t="s">
        <v>59</v>
      </c>
      <c r="AM178" s="48" t="s">
        <v>59</v>
      </c>
      <c r="AN178" s="48" t="s">
        <v>59</v>
      </c>
      <c r="AO178" s="48" t="s">
        <v>59</v>
      </c>
      <c r="AP178" s="48" t="s">
        <v>59</v>
      </c>
      <c r="AQ178" s="48" t="s">
        <v>59</v>
      </c>
      <c r="AR178" s="48" t="s">
        <v>59</v>
      </c>
      <c r="AS178" s="48">
        <v>0.44</v>
      </c>
      <c r="AT178" s="48" t="s">
        <v>64</v>
      </c>
      <c r="AU178" s="48" t="s">
        <v>59</v>
      </c>
      <c r="AV178" s="48" t="s">
        <v>59</v>
      </c>
      <c r="AW178" s="48" t="s">
        <v>59</v>
      </c>
      <c r="AX178" s="48" t="s">
        <v>59</v>
      </c>
      <c r="AY178" s="73">
        <v>101</v>
      </c>
      <c r="AZ178" s="73">
        <v>100</v>
      </c>
      <c r="BA178" s="73" t="s">
        <v>59</v>
      </c>
      <c r="BB178" s="73" t="s">
        <v>59</v>
      </c>
      <c r="BC178" s="48">
        <v>9.1999999999999993</v>
      </c>
      <c r="BD178" s="69" t="s">
        <v>61</v>
      </c>
      <c r="BE178" s="48">
        <v>0.19</v>
      </c>
      <c r="BF178" s="48">
        <v>1</v>
      </c>
      <c r="BG178" s="48">
        <v>1</v>
      </c>
      <c r="BH178" s="48" t="s">
        <v>61</v>
      </c>
      <c r="BI178" s="48" t="s">
        <v>61</v>
      </c>
      <c r="BJ178" s="48" t="s">
        <v>61</v>
      </c>
      <c r="BK178" s="48" t="s">
        <v>61</v>
      </c>
      <c r="BL178" s="48" t="s">
        <v>61</v>
      </c>
      <c r="BM178" s="48" t="s">
        <v>61</v>
      </c>
      <c r="BN178" s="48" t="s">
        <v>61</v>
      </c>
      <c r="BO178" s="48" t="s">
        <v>61</v>
      </c>
      <c r="BP178" s="48">
        <v>8.9</v>
      </c>
      <c r="BQ178" s="26" t="s">
        <v>61</v>
      </c>
      <c r="BR178" s="48">
        <v>0.19</v>
      </c>
      <c r="BS178" s="69">
        <v>1</v>
      </c>
      <c r="BT178" s="26">
        <v>1</v>
      </c>
      <c r="BU178" s="48" t="s">
        <v>61</v>
      </c>
      <c r="BV178" s="48" t="s">
        <v>61</v>
      </c>
      <c r="BW178" s="48" t="s">
        <v>61</v>
      </c>
      <c r="BX178" s="48" t="s">
        <v>61</v>
      </c>
      <c r="BY178" s="48" t="s">
        <v>61</v>
      </c>
      <c r="BZ178" s="48" t="s">
        <v>61</v>
      </c>
      <c r="CA178" s="48" t="s">
        <v>61</v>
      </c>
      <c r="CB178" s="48" t="s">
        <v>61</v>
      </c>
      <c r="CC178" s="48" t="s">
        <v>59</v>
      </c>
      <c r="CD178" s="48" t="s">
        <v>59</v>
      </c>
      <c r="CE178" s="48" t="s">
        <v>59</v>
      </c>
      <c r="CF178" s="48"/>
      <c r="CG178" s="48"/>
      <c r="CH178" s="48" t="s">
        <v>59</v>
      </c>
      <c r="CI178" s="48" t="s">
        <v>59</v>
      </c>
      <c r="CJ178" s="48" t="s">
        <v>59</v>
      </c>
      <c r="CK178" s="48" t="s">
        <v>59</v>
      </c>
      <c r="CL178" s="48" t="s">
        <v>59</v>
      </c>
      <c r="CM178" s="48" t="s">
        <v>59</v>
      </c>
      <c r="CN178" s="48" t="s">
        <v>59</v>
      </c>
      <c r="CO178" s="48" t="s">
        <v>59</v>
      </c>
      <c r="CP178" s="48" t="s">
        <v>59</v>
      </c>
      <c r="CQ178" s="48" t="s">
        <v>59</v>
      </c>
      <c r="CR178" s="48" t="s">
        <v>59</v>
      </c>
      <c r="CS178" s="48"/>
      <c r="CT178" s="48"/>
      <c r="CU178" s="48" t="s">
        <v>59</v>
      </c>
      <c r="CV178" s="48" t="s">
        <v>59</v>
      </c>
      <c r="CW178" s="48" t="s">
        <v>59</v>
      </c>
      <c r="CX178" s="48" t="s">
        <v>59</v>
      </c>
      <c r="CY178" s="48" t="s">
        <v>59</v>
      </c>
      <c r="CZ178" s="48" t="s">
        <v>59</v>
      </c>
      <c r="DA178" s="48" t="s">
        <v>59</v>
      </c>
      <c r="DB178" s="48" t="s">
        <v>59</v>
      </c>
      <c r="DC178" s="48">
        <v>6</v>
      </c>
      <c r="DD178" s="55"/>
    </row>
    <row r="179" spans="1:114" s="43" customFormat="1">
      <c r="A179" s="34" t="s">
        <v>213</v>
      </c>
      <c r="B179" s="34">
        <v>5914</v>
      </c>
      <c r="C179" s="34">
        <v>2</v>
      </c>
      <c r="D179" s="43">
        <v>1</v>
      </c>
      <c r="E179" s="26" t="s">
        <v>139</v>
      </c>
      <c r="F179" s="26" t="s">
        <v>59</v>
      </c>
      <c r="G179" s="48">
        <f t="shared" si="2"/>
        <v>104</v>
      </c>
      <c r="H179" s="26" t="s">
        <v>59</v>
      </c>
      <c r="I179" s="26" t="s">
        <v>60</v>
      </c>
      <c r="J179" s="26" t="s">
        <v>59</v>
      </c>
      <c r="K179" s="26" t="s">
        <v>59</v>
      </c>
      <c r="L179" s="26" t="s">
        <v>59</v>
      </c>
      <c r="M179" s="26" t="s">
        <v>59</v>
      </c>
      <c r="N179" s="26" t="s">
        <v>59</v>
      </c>
      <c r="O179" s="26" t="s">
        <v>59</v>
      </c>
      <c r="P179" s="26" t="s">
        <v>59</v>
      </c>
      <c r="Q179" s="26" t="s">
        <v>60</v>
      </c>
      <c r="R179" s="26" t="s">
        <v>60</v>
      </c>
      <c r="S179" s="26" t="s">
        <v>60</v>
      </c>
      <c r="T179" s="26" t="s">
        <v>60</v>
      </c>
      <c r="U179" s="26">
        <v>52</v>
      </c>
      <c r="V179" s="26">
        <v>52</v>
      </c>
      <c r="W179" s="26" t="s">
        <v>60</v>
      </c>
      <c r="X179" s="26" t="s">
        <v>60</v>
      </c>
      <c r="Y179" s="26">
        <v>9.9</v>
      </c>
      <c r="Z179" s="26">
        <v>0.8</v>
      </c>
      <c r="AA179" s="26" t="s">
        <v>61</v>
      </c>
      <c r="AB179" s="26" t="s">
        <v>61</v>
      </c>
      <c r="AC179" s="27" t="s">
        <v>61</v>
      </c>
      <c r="AD179" s="26">
        <v>10</v>
      </c>
      <c r="AE179" s="26">
        <v>0.8</v>
      </c>
      <c r="AF179" s="26" t="s">
        <v>61</v>
      </c>
      <c r="AG179" s="26" t="s">
        <v>61</v>
      </c>
      <c r="AH179" s="27" t="s">
        <v>61</v>
      </c>
      <c r="AI179" s="26" t="s">
        <v>60</v>
      </c>
      <c r="AJ179" s="26" t="s">
        <v>60</v>
      </c>
      <c r="AK179" s="26" t="s">
        <v>59</v>
      </c>
      <c r="AL179" s="26" t="s">
        <v>59</v>
      </c>
      <c r="AM179" s="26" t="s">
        <v>59</v>
      </c>
      <c r="AN179" s="26" t="s">
        <v>60</v>
      </c>
      <c r="AO179" s="26" t="s">
        <v>60</v>
      </c>
      <c r="AP179" s="26" t="s">
        <v>59</v>
      </c>
      <c r="AQ179" s="26" t="s">
        <v>59</v>
      </c>
      <c r="AR179" s="26" t="s">
        <v>59</v>
      </c>
      <c r="AS179" s="26" t="s">
        <v>61</v>
      </c>
      <c r="AT179" s="26" t="s">
        <v>64</v>
      </c>
      <c r="AU179" s="26" t="s">
        <v>59</v>
      </c>
      <c r="AV179" s="26" t="s">
        <v>59</v>
      </c>
      <c r="AW179" s="26" t="s">
        <v>59</v>
      </c>
      <c r="AX179" s="26" t="s">
        <v>59</v>
      </c>
      <c r="AY179" s="186">
        <v>52</v>
      </c>
      <c r="AZ179" s="186">
        <v>52</v>
      </c>
      <c r="BA179" s="186" t="s">
        <v>60</v>
      </c>
      <c r="BB179" s="186" t="s">
        <v>60</v>
      </c>
      <c r="BC179" s="26">
        <v>8.6999999999999993</v>
      </c>
      <c r="BD179" s="26" t="s">
        <v>61</v>
      </c>
      <c r="BE179" s="26" t="s">
        <v>61</v>
      </c>
      <c r="BF179" s="26">
        <v>9</v>
      </c>
      <c r="BG179" s="48">
        <v>1</v>
      </c>
      <c r="BH179" s="27" t="s">
        <v>61</v>
      </c>
      <c r="BI179" s="27" t="s">
        <v>61</v>
      </c>
      <c r="BJ179" s="26">
        <v>-1.2</v>
      </c>
      <c r="BK179" s="26">
        <v>1.4</v>
      </c>
      <c r="BL179" s="26" t="s">
        <v>61</v>
      </c>
      <c r="BM179" s="26" t="s">
        <v>61</v>
      </c>
      <c r="BN179" s="26" t="s">
        <v>61</v>
      </c>
      <c r="BO179" s="26" t="s">
        <v>61</v>
      </c>
      <c r="BP179" s="26">
        <v>8.4</v>
      </c>
      <c r="BQ179" s="26" t="s">
        <v>61</v>
      </c>
      <c r="BR179" s="26" t="s">
        <v>61</v>
      </c>
      <c r="BS179" s="26">
        <v>9</v>
      </c>
      <c r="BT179" s="26">
        <v>1</v>
      </c>
      <c r="BU179" s="27" t="s">
        <v>61</v>
      </c>
      <c r="BV179" s="27" t="s">
        <v>61</v>
      </c>
      <c r="BW179" s="26">
        <v>-1.6</v>
      </c>
      <c r="BX179" s="26">
        <v>1.4</v>
      </c>
      <c r="BY179" s="27" t="s">
        <v>61</v>
      </c>
      <c r="BZ179" s="26" t="s">
        <v>61</v>
      </c>
      <c r="CA179" s="27" t="s">
        <v>61</v>
      </c>
      <c r="CB179" s="26" t="s">
        <v>119</v>
      </c>
      <c r="CC179" s="26" t="s">
        <v>60</v>
      </c>
      <c r="CD179" s="26" t="s">
        <v>60</v>
      </c>
      <c r="CE179" s="26" t="s">
        <v>59</v>
      </c>
      <c r="CF179" s="26"/>
      <c r="CG179" s="26"/>
      <c r="CH179" s="26" t="s">
        <v>59</v>
      </c>
      <c r="CI179" s="26" t="s">
        <v>59</v>
      </c>
      <c r="CJ179" s="26" t="s">
        <v>59</v>
      </c>
      <c r="CK179" s="26" t="s">
        <v>59</v>
      </c>
      <c r="CL179" s="26" t="s">
        <v>59</v>
      </c>
      <c r="CM179" s="26" t="s">
        <v>59</v>
      </c>
      <c r="CN179" s="26" t="s">
        <v>59</v>
      </c>
      <c r="CO179" s="26" t="s">
        <v>59</v>
      </c>
      <c r="CP179" s="26" t="s">
        <v>60</v>
      </c>
      <c r="CQ179" s="26" t="s">
        <v>60</v>
      </c>
      <c r="CR179" s="26" t="s">
        <v>59</v>
      </c>
      <c r="CS179" s="26"/>
      <c r="CT179" s="26"/>
      <c r="CU179" s="26" t="s">
        <v>59</v>
      </c>
      <c r="CV179" s="26" t="s">
        <v>59</v>
      </c>
      <c r="CW179" s="26" t="s">
        <v>59</v>
      </c>
      <c r="CX179" s="26" t="s">
        <v>59</v>
      </c>
      <c r="CY179" s="26" t="s">
        <v>59</v>
      </c>
      <c r="CZ179" s="26" t="s">
        <v>59</v>
      </c>
      <c r="DA179" s="26" t="s">
        <v>59</v>
      </c>
      <c r="DB179" s="26" t="s">
        <v>59</v>
      </c>
      <c r="DC179" s="26">
        <v>12</v>
      </c>
      <c r="DD179" s="29"/>
      <c r="DE179" s="22"/>
      <c r="DF179" s="22"/>
      <c r="DG179" s="26"/>
      <c r="DH179" s="27"/>
      <c r="DI179" s="22"/>
      <c r="DJ179" s="26"/>
    </row>
    <row r="180" spans="1:114" s="43" customFormat="1" ht="14">
      <c r="A180" s="49" t="s">
        <v>347</v>
      </c>
      <c r="B180" s="43">
        <v>10150</v>
      </c>
      <c r="C180" s="43">
        <v>3</v>
      </c>
      <c r="D180" s="43">
        <v>1</v>
      </c>
      <c r="E180" s="48" t="s">
        <v>139</v>
      </c>
      <c r="F180" s="26" t="s">
        <v>59</v>
      </c>
      <c r="G180" s="48">
        <f t="shared" si="2"/>
        <v>117</v>
      </c>
      <c r="H180" s="26" t="s">
        <v>59</v>
      </c>
      <c r="I180" s="26" t="s">
        <v>59</v>
      </c>
      <c r="J180" s="48" t="s">
        <v>59</v>
      </c>
      <c r="K180" s="26" t="s">
        <v>59</v>
      </c>
      <c r="L180" s="26" t="s">
        <v>59</v>
      </c>
      <c r="M180" s="26" t="s">
        <v>59</v>
      </c>
      <c r="N180" s="26" t="s">
        <v>59</v>
      </c>
      <c r="O180" s="26" t="s">
        <v>59</v>
      </c>
      <c r="P180" s="26" t="s">
        <v>59</v>
      </c>
      <c r="Q180" s="48" t="s">
        <v>59</v>
      </c>
      <c r="R180" s="48" t="s">
        <v>59</v>
      </c>
      <c r="S180" s="48" t="s">
        <v>59</v>
      </c>
      <c r="T180" s="48" t="s">
        <v>59</v>
      </c>
      <c r="U180" s="48">
        <v>39</v>
      </c>
      <c r="V180" s="48">
        <v>38</v>
      </c>
      <c r="W180" s="48">
        <v>40</v>
      </c>
      <c r="X180" s="48" t="s">
        <v>59</v>
      </c>
      <c r="Y180" s="69">
        <v>9.9</v>
      </c>
      <c r="Z180" s="69">
        <v>1.6</v>
      </c>
      <c r="AA180" s="69" t="s">
        <v>61</v>
      </c>
      <c r="AB180" s="69" t="s">
        <v>61</v>
      </c>
      <c r="AC180" s="69" t="s">
        <v>61</v>
      </c>
      <c r="AD180" s="69">
        <v>9.8000000000000007</v>
      </c>
      <c r="AE180" s="69">
        <v>1.8</v>
      </c>
      <c r="AF180" s="69" t="s">
        <v>61</v>
      </c>
      <c r="AG180" s="69" t="s">
        <v>61</v>
      </c>
      <c r="AH180" s="69" t="s">
        <v>61</v>
      </c>
      <c r="AI180" s="69">
        <v>9.5</v>
      </c>
      <c r="AJ180" s="69">
        <v>1.2</v>
      </c>
      <c r="AK180" s="69" t="s">
        <v>61</v>
      </c>
      <c r="AL180" s="69" t="s">
        <v>61</v>
      </c>
      <c r="AM180" s="69" t="s">
        <v>61</v>
      </c>
      <c r="AN180" s="69" t="s">
        <v>59</v>
      </c>
      <c r="AO180" s="69" t="s">
        <v>59</v>
      </c>
      <c r="AP180" s="69" t="s">
        <v>59</v>
      </c>
      <c r="AQ180" s="69" t="s">
        <v>59</v>
      </c>
      <c r="AR180" s="69" t="s">
        <v>59</v>
      </c>
      <c r="AS180" s="69" t="s">
        <v>61</v>
      </c>
      <c r="AT180" s="69" t="s">
        <v>64</v>
      </c>
      <c r="AU180" s="69" t="s">
        <v>59</v>
      </c>
      <c r="AV180" s="69" t="s">
        <v>59</v>
      </c>
      <c r="AW180" s="69" t="s">
        <v>59</v>
      </c>
      <c r="AX180" s="69" t="s">
        <v>59</v>
      </c>
      <c r="AY180" s="215">
        <v>39</v>
      </c>
      <c r="AZ180" s="215">
        <v>38</v>
      </c>
      <c r="BA180" s="215">
        <v>40</v>
      </c>
      <c r="BB180" s="215" t="s">
        <v>59</v>
      </c>
      <c r="BC180" s="69">
        <v>9.89</v>
      </c>
      <c r="BD180" s="69" t="s">
        <v>61</v>
      </c>
      <c r="BE180" s="69" t="s">
        <v>61</v>
      </c>
      <c r="BF180" s="26">
        <v>9</v>
      </c>
      <c r="BG180" s="48">
        <v>1</v>
      </c>
      <c r="BH180" s="69" t="s">
        <v>61</v>
      </c>
      <c r="BI180" s="69" t="s">
        <v>61</v>
      </c>
      <c r="BJ180" s="69">
        <v>-0.01</v>
      </c>
      <c r="BK180" s="69" t="s">
        <v>61</v>
      </c>
      <c r="BL180" s="69" t="s">
        <v>61</v>
      </c>
      <c r="BM180" s="69">
        <v>-0.52</v>
      </c>
      <c r="BN180" s="69">
        <v>0.51</v>
      </c>
      <c r="BO180" s="69" t="s">
        <v>61</v>
      </c>
      <c r="BP180" s="69">
        <v>8.7200000000000006</v>
      </c>
      <c r="BQ180" s="69" t="s">
        <v>61</v>
      </c>
      <c r="BR180" s="69" t="s">
        <v>61</v>
      </c>
      <c r="BS180" s="26">
        <v>9</v>
      </c>
      <c r="BT180" s="26">
        <v>1</v>
      </c>
      <c r="BU180" s="69" t="s">
        <v>61</v>
      </c>
      <c r="BV180" s="69" t="s">
        <v>61</v>
      </c>
      <c r="BW180" s="69">
        <v>-1.08</v>
      </c>
      <c r="BX180" s="69" t="s">
        <v>61</v>
      </c>
      <c r="BY180" s="69" t="s">
        <v>61</v>
      </c>
      <c r="BZ180" s="69">
        <v>-1.62</v>
      </c>
      <c r="CA180" s="69">
        <v>-0.54</v>
      </c>
      <c r="CB180" s="69" t="s">
        <v>61</v>
      </c>
      <c r="CC180" s="69">
        <v>9.0399999999999991</v>
      </c>
      <c r="CD180" s="69" t="s">
        <v>61</v>
      </c>
      <c r="CE180" s="69" t="s">
        <v>61</v>
      </c>
      <c r="CF180" s="69">
        <v>9</v>
      </c>
      <c r="CG180" s="69">
        <v>1</v>
      </c>
      <c r="CH180" s="69" t="s">
        <v>61</v>
      </c>
      <c r="CI180" s="69" t="s">
        <v>61</v>
      </c>
      <c r="CJ180" s="69">
        <v>-0.46</v>
      </c>
      <c r="CK180" s="69" t="s">
        <v>61</v>
      </c>
      <c r="CL180" s="69" t="s">
        <v>61</v>
      </c>
      <c r="CM180" s="69">
        <v>-1.02</v>
      </c>
      <c r="CN180" s="69">
        <v>0.1</v>
      </c>
      <c r="CO180" s="69" t="s">
        <v>61</v>
      </c>
      <c r="CP180" s="69" t="s">
        <v>59</v>
      </c>
      <c r="CQ180" s="69" t="s">
        <v>59</v>
      </c>
      <c r="CR180" s="69" t="s">
        <v>59</v>
      </c>
      <c r="CS180" s="69"/>
      <c r="CT180" s="69"/>
      <c r="CU180" s="69" t="s">
        <v>59</v>
      </c>
      <c r="CV180" s="69" t="s">
        <v>59</v>
      </c>
      <c r="CW180" s="69" t="s">
        <v>59</v>
      </c>
      <c r="CX180" s="69" t="s">
        <v>59</v>
      </c>
      <c r="CY180" s="69" t="s">
        <v>59</v>
      </c>
      <c r="CZ180" s="69" t="s">
        <v>59</v>
      </c>
      <c r="DA180" s="69" t="s">
        <v>59</v>
      </c>
      <c r="DB180" s="69" t="s">
        <v>59</v>
      </c>
      <c r="DC180" s="69">
        <v>6</v>
      </c>
      <c r="DD180" s="55"/>
    </row>
    <row r="181" spans="1:114" s="43" customFormat="1" ht="14">
      <c r="A181" s="34" t="s">
        <v>170</v>
      </c>
      <c r="B181" s="38">
        <v>2264</v>
      </c>
      <c r="C181" s="43">
        <v>4</v>
      </c>
      <c r="D181" s="43">
        <v>1</v>
      </c>
      <c r="E181" s="26" t="s">
        <v>139</v>
      </c>
      <c r="F181" s="26" t="s">
        <v>59</v>
      </c>
      <c r="G181" s="48">
        <f t="shared" si="2"/>
        <v>247</v>
      </c>
      <c r="H181" s="26" t="s">
        <v>59</v>
      </c>
      <c r="I181" s="26" t="s">
        <v>59</v>
      </c>
      <c r="J181" s="26" t="s">
        <v>59</v>
      </c>
      <c r="K181" s="26" t="s">
        <v>59</v>
      </c>
      <c r="L181" s="26" t="s">
        <v>59</v>
      </c>
      <c r="M181" s="26" t="s">
        <v>59</v>
      </c>
      <c r="N181" s="26" t="s">
        <v>59</v>
      </c>
      <c r="O181" s="26" t="s">
        <v>59</v>
      </c>
      <c r="P181" s="26" t="s">
        <v>59</v>
      </c>
      <c r="Q181" s="26" t="s">
        <v>59</v>
      </c>
      <c r="R181" s="26" t="s">
        <v>59</v>
      </c>
      <c r="S181" s="26" t="s">
        <v>59</v>
      </c>
      <c r="T181" s="26" t="s">
        <v>60</v>
      </c>
      <c r="U181" s="26">
        <v>67</v>
      </c>
      <c r="V181" s="26">
        <v>64</v>
      </c>
      <c r="W181" s="26">
        <v>60</v>
      </c>
      <c r="X181" s="26">
        <v>56</v>
      </c>
      <c r="Y181" s="26">
        <v>10.19</v>
      </c>
      <c r="Z181" s="33" t="s">
        <v>61</v>
      </c>
      <c r="AA181" s="33" t="s">
        <v>61</v>
      </c>
      <c r="AB181" s="33" t="s">
        <v>61</v>
      </c>
      <c r="AC181" s="33" t="s">
        <v>61</v>
      </c>
      <c r="AD181" s="26">
        <v>10.17</v>
      </c>
      <c r="AE181" s="26" t="s">
        <v>61</v>
      </c>
      <c r="AF181" s="26" t="s">
        <v>61</v>
      </c>
      <c r="AG181" s="27" t="s">
        <v>61</v>
      </c>
      <c r="AH181" s="27" t="s">
        <v>61</v>
      </c>
      <c r="AI181" s="26">
        <v>10.51</v>
      </c>
      <c r="AJ181" s="26" t="s">
        <v>61</v>
      </c>
      <c r="AK181" s="26" t="s">
        <v>61</v>
      </c>
      <c r="AL181" s="26" t="s">
        <v>61</v>
      </c>
      <c r="AM181" s="26" t="s">
        <v>61</v>
      </c>
      <c r="AN181" s="26">
        <v>11.34</v>
      </c>
      <c r="AO181" s="26" t="s">
        <v>61</v>
      </c>
      <c r="AP181" s="26" t="s">
        <v>61</v>
      </c>
      <c r="AQ181" s="26" t="s">
        <v>61</v>
      </c>
      <c r="AR181" s="26" t="s">
        <v>61</v>
      </c>
      <c r="AS181" s="26" t="s">
        <v>61</v>
      </c>
      <c r="AT181" s="26" t="s">
        <v>64</v>
      </c>
      <c r="AU181" s="26" t="s">
        <v>61</v>
      </c>
      <c r="AV181" s="26" t="s">
        <v>61</v>
      </c>
      <c r="AW181" s="26" t="s">
        <v>61</v>
      </c>
      <c r="AX181" s="26" t="s">
        <v>61</v>
      </c>
      <c r="AY181" s="26">
        <v>67</v>
      </c>
      <c r="AZ181" s="26">
        <v>64</v>
      </c>
      <c r="BA181" s="26">
        <v>60</v>
      </c>
      <c r="BB181" s="26">
        <v>56</v>
      </c>
      <c r="BC181" s="26">
        <v>10.74</v>
      </c>
      <c r="BD181" s="26" t="s">
        <v>61</v>
      </c>
      <c r="BE181" s="26" t="s">
        <v>61</v>
      </c>
      <c r="BF181" s="26">
        <v>9</v>
      </c>
      <c r="BG181" s="48">
        <v>1</v>
      </c>
      <c r="BH181" s="26" t="s">
        <v>61</v>
      </c>
      <c r="BI181" s="26" t="s">
        <v>61</v>
      </c>
      <c r="BJ181" s="26">
        <v>0.56000000000000005</v>
      </c>
      <c r="BK181" s="26" t="s">
        <v>61</v>
      </c>
      <c r="BL181" s="26" t="s">
        <v>61</v>
      </c>
      <c r="BM181" s="26" t="s">
        <v>61</v>
      </c>
      <c r="BN181" s="26" t="s">
        <v>61</v>
      </c>
      <c r="BO181" s="26" t="s">
        <v>61</v>
      </c>
      <c r="BP181" s="26">
        <v>10.23</v>
      </c>
      <c r="BQ181" s="26" t="s">
        <v>61</v>
      </c>
      <c r="BR181" s="26" t="s">
        <v>61</v>
      </c>
      <c r="BS181" s="26">
        <v>9</v>
      </c>
      <c r="BT181" s="26">
        <v>1</v>
      </c>
      <c r="BU181" s="26" t="s">
        <v>61</v>
      </c>
      <c r="BV181" s="26" t="s">
        <v>61</v>
      </c>
      <c r="BW181" s="26">
        <v>0.06</v>
      </c>
      <c r="BX181" s="26" t="s">
        <v>61</v>
      </c>
      <c r="BY181" s="26" t="s">
        <v>61</v>
      </c>
      <c r="BZ181" s="26" t="s">
        <v>61</v>
      </c>
      <c r="CA181" s="26" t="s">
        <v>61</v>
      </c>
      <c r="CB181" s="26" t="s">
        <v>61</v>
      </c>
      <c r="CC181" s="33">
        <v>10.65</v>
      </c>
      <c r="CD181" s="26" t="s">
        <v>61</v>
      </c>
      <c r="CE181" s="26" t="s">
        <v>61</v>
      </c>
      <c r="CF181" s="69">
        <v>9</v>
      </c>
      <c r="CG181" s="69">
        <v>1</v>
      </c>
      <c r="CH181" s="26" t="s">
        <v>61</v>
      </c>
      <c r="CI181" s="26" t="s">
        <v>61</v>
      </c>
      <c r="CJ181" s="26">
        <v>0.14000000000000001</v>
      </c>
      <c r="CK181" s="26" t="s">
        <v>61</v>
      </c>
      <c r="CL181" s="26" t="s">
        <v>61</v>
      </c>
      <c r="CM181" s="26" t="s">
        <v>61</v>
      </c>
      <c r="CN181" s="26" t="s">
        <v>61</v>
      </c>
      <c r="CO181" s="26" t="s">
        <v>61</v>
      </c>
      <c r="CP181" s="26">
        <v>10.42</v>
      </c>
      <c r="CQ181" s="26" t="s">
        <v>61</v>
      </c>
      <c r="CR181" s="26" t="s">
        <v>61</v>
      </c>
      <c r="CS181" s="69">
        <v>9</v>
      </c>
      <c r="CT181" s="69">
        <v>1</v>
      </c>
      <c r="CU181" s="26" t="s">
        <v>61</v>
      </c>
      <c r="CV181" s="26" t="s">
        <v>61</v>
      </c>
      <c r="CW181" s="26">
        <v>-0.92</v>
      </c>
      <c r="CX181" s="26" t="s">
        <v>61</v>
      </c>
      <c r="CY181" s="26" t="s">
        <v>61</v>
      </c>
      <c r="CZ181" s="26" t="s">
        <v>61</v>
      </c>
      <c r="DA181" s="26" t="s">
        <v>61</v>
      </c>
      <c r="DB181" s="26" t="s">
        <v>61</v>
      </c>
      <c r="DC181" s="26">
        <v>48</v>
      </c>
      <c r="DD181" s="29" t="s">
        <v>69</v>
      </c>
      <c r="DE181" s="29"/>
      <c r="DF181" s="29"/>
      <c r="DG181" s="26"/>
      <c r="DH181" s="27"/>
      <c r="DI181" s="29"/>
      <c r="DJ181" s="26"/>
    </row>
    <row r="182" spans="1:114" s="43" customFormat="1">
      <c r="A182" s="34" t="s">
        <v>219</v>
      </c>
      <c r="B182" s="34">
        <v>5978</v>
      </c>
      <c r="C182" s="34">
        <v>2</v>
      </c>
      <c r="D182" s="43">
        <v>1</v>
      </c>
      <c r="E182" s="26" t="s">
        <v>139</v>
      </c>
      <c r="F182" s="26" t="s">
        <v>59</v>
      </c>
      <c r="G182" s="48">
        <f t="shared" si="2"/>
        <v>66</v>
      </c>
      <c r="H182" s="26" t="s">
        <v>59</v>
      </c>
      <c r="I182" s="26" t="s">
        <v>60</v>
      </c>
      <c r="J182" s="26" t="s">
        <v>59</v>
      </c>
      <c r="K182" s="26" t="s">
        <v>59</v>
      </c>
      <c r="L182" s="26" t="s">
        <v>59</v>
      </c>
      <c r="M182" s="26" t="s">
        <v>59</v>
      </c>
      <c r="N182" s="26" t="s">
        <v>59</v>
      </c>
      <c r="O182" s="26" t="s">
        <v>59</v>
      </c>
      <c r="P182" s="26" t="s">
        <v>59</v>
      </c>
      <c r="Q182" s="26" t="s">
        <v>60</v>
      </c>
      <c r="R182" s="26" t="s">
        <v>60</v>
      </c>
      <c r="S182" s="26" t="s">
        <v>60</v>
      </c>
      <c r="T182" s="26" t="s">
        <v>60</v>
      </c>
      <c r="U182" s="26">
        <v>34</v>
      </c>
      <c r="V182" s="26">
        <v>43</v>
      </c>
      <c r="W182" s="26" t="s">
        <v>60</v>
      </c>
      <c r="X182" s="26" t="s">
        <v>60</v>
      </c>
      <c r="Y182" s="26">
        <v>10.6</v>
      </c>
      <c r="Z182" s="26">
        <v>1.4</v>
      </c>
      <c r="AA182" s="26" t="s">
        <v>61</v>
      </c>
      <c r="AB182" s="26" t="s">
        <v>61</v>
      </c>
      <c r="AC182" s="27" t="s">
        <v>61</v>
      </c>
      <c r="AD182" s="26">
        <v>10.199999999999999</v>
      </c>
      <c r="AE182" s="26">
        <v>0.8</v>
      </c>
      <c r="AF182" s="26" t="s">
        <v>61</v>
      </c>
      <c r="AG182" s="26" t="s">
        <v>61</v>
      </c>
      <c r="AH182" s="27" t="s">
        <v>61</v>
      </c>
      <c r="AI182" s="26" t="s">
        <v>60</v>
      </c>
      <c r="AJ182" s="26" t="s">
        <v>60</v>
      </c>
      <c r="AK182" s="26" t="s">
        <v>59</v>
      </c>
      <c r="AL182" s="26" t="s">
        <v>59</v>
      </c>
      <c r="AM182" s="26" t="s">
        <v>59</v>
      </c>
      <c r="AN182" s="26" t="s">
        <v>60</v>
      </c>
      <c r="AO182" s="26" t="s">
        <v>60</v>
      </c>
      <c r="AP182" s="26" t="s">
        <v>59</v>
      </c>
      <c r="AQ182" s="26" t="s">
        <v>59</v>
      </c>
      <c r="AR182" s="26" t="s">
        <v>59</v>
      </c>
      <c r="AS182" s="26">
        <v>0.11</v>
      </c>
      <c r="AT182" s="26" t="s">
        <v>64</v>
      </c>
      <c r="AU182" s="26" t="s">
        <v>59</v>
      </c>
      <c r="AV182" s="26" t="s">
        <v>59</v>
      </c>
      <c r="AW182" s="26" t="s">
        <v>59</v>
      </c>
      <c r="AX182" s="26" t="s">
        <v>59</v>
      </c>
      <c r="AY182" s="186">
        <v>27</v>
      </c>
      <c r="AZ182" s="186">
        <v>39</v>
      </c>
      <c r="BA182" s="186" t="s">
        <v>60</v>
      </c>
      <c r="BB182" s="186" t="s">
        <v>60</v>
      </c>
      <c r="BC182" s="26">
        <v>8.4</v>
      </c>
      <c r="BD182" s="26" t="s">
        <v>61</v>
      </c>
      <c r="BE182" s="26" t="s">
        <v>61</v>
      </c>
      <c r="BF182" s="26">
        <v>9</v>
      </c>
      <c r="BG182" s="48">
        <v>1</v>
      </c>
      <c r="BH182" s="27" t="s">
        <v>61</v>
      </c>
      <c r="BI182" s="27" t="s">
        <v>61</v>
      </c>
      <c r="BJ182" s="26" t="s">
        <v>61</v>
      </c>
      <c r="BK182" s="26" t="s">
        <v>61</v>
      </c>
      <c r="BL182" s="26" t="s">
        <v>61</v>
      </c>
      <c r="BM182" s="26" t="s">
        <v>61</v>
      </c>
      <c r="BN182" s="26" t="s">
        <v>61</v>
      </c>
      <c r="BO182" s="26">
        <v>1E-3</v>
      </c>
      <c r="BP182" s="26">
        <v>8.1999999999999993</v>
      </c>
      <c r="BQ182" s="26" t="s">
        <v>61</v>
      </c>
      <c r="BR182" s="26" t="s">
        <v>61</v>
      </c>
      <c r="BS182" s="26">
        <v>9</v>
      </c>
      <c r="BT182" s="26">
        <v>1</v>
      </c>
      <c r="BU182" s="27" t="s">
        <v>61</v>
      </c>
      <c r="BV182" s="27" t="s">
        <v>61</v>
      </c>
      <c r="BW182" s="26" t="s">
        <v>61</v>
      </c>
      <c r="BX182" s="26" t="s">
        <v>61</v>
      </c>
      <c r="BY182" s="27" t="s">
        <v>61</v>
      </c>
      <c r="BZ182" s="26" t="s">
        <v>61</v>
      </c>
      <c r="CA182" s="27" t="s">
        <v>61</v>
      </c>
      <c r="CB182" s="26">
        <v>1E-3</v>
      </c>
      <c r="CC182" s="26" t="s">
        <v>60</v>
      </c>
      <c r="CD182" s="26" t="s">
        <v>60</v>
      </c>
      <c r="CE182" s="26" t="s">
        <v>59</v>
      </c>
      <c r="CF182" s="26"/>
      <c r="CG182" s="26"/>
      <c r="CH182" s="26" t="s">
        <v>59</v>
      </c>
      <c r="CI182" s="26" t="s">
        <v>59</v>
      </c>
      <c r="CJ182" s="26" t="s">
        <v>59</v>
      </c>
      <c r="CK182" s="26" t="s">
        <v>59</v>
      </c>
      <c r="CL182" s="26" t="s">
        <v>59</v>
      </c>
      <c r="CM182" s="26" t="s">
        <v>59</v>
      </c>
      <c r="CN182" s="26" t="s">
        <v>59</v>
      </c>
      <c r="CO182" s="26" t="s">
        <v>59</v>
      </c>
      <c r="CP182" s="26" t="s">
        <v>60</v>
      </c>
      <c r="CQ182" s="26" t="s">
        <v>60</v>
      </c>
      <c r="CR182" s="26" t="s">
        <v>59</v>
      </c>
      <c r="CS182" s="26"/>
      <c r="CT182" s="26"/>
      <c r="CU182" s="26" t="s">
        <v>59</v>
      </c>
      <c r="CV182" s="26" t="s">
        <v>59</v>
      </c>
      <c r="CW182" s="26" t="s">
        <v>59</v>
      </c>
      <c r="CX182" s="26" t="s">
        <v>59</v>
      </c>
      <c r="CY182" s="26" t="s">
        <v>59</v>
      </c>
      <c r="CZ182" s="26" t="s">
        <v>59</v>
      </c>
      <c r="DA182" s="26" t="s">
        <v>59</v>
      </c>
      <c r="DB182" s="26" t="s">
        <v>59</v>
      </c>
      <c r="DC182" s="26">
        <v>12</v>
      </c>
      <c r="DD182" s="29"/>
      <c r="DE182" s="22"/>
      <c r="DF182" s="22"/>
      <c r="DG182" s="26"/>
      <c r="DH182" s="27"/>
      <c r="DI182" s="22"/>
      <c r="DJ182" s="26"/>
    </row>
    <row r="183" spans="1:114" s="43" customFormat="1">
      <c r="A183" s="34" t="s">
        <v>228</v>
      </c>
      <c r="B183" s="34">
        <v>6191</v>
      </c>
      <c r="C183" s="34">
        <v>2</v>
      </c>
      <c r="D183" s="43">
        <v>1</v>
      </c>
      <c r="E183" s="26" t="s">
        <v>139</v>
      </c>
      <c r="F183" s="26" t="s">
        <v>59</v>
      </c>
      <c r="G183" s="48">
        <f t="shared" si="2"/>
        <v>117</v>
      </c>
      <c r="H183" s="26" t="s">
        <v>59</v>
      </c>
      <c r="I183" s="26" t="s">
        <v>60</v>
      </c>
      <c r="J183" s="26" t="s">
        <v>59</v>
      </c>
      <c r="K183" s="26" t="s">
        <v>59</v>
      </c>
      <c r="L183" s="26" t="s">
        <v>59</v>
      </c>
      <c r="M183" s="26" t="s">
        <v>59</v>
      </c>
      <c r="N183" s="26" t="s">
        <v>59</v>
      </c>
      <c r="O183" s="26" t="s">
        <v>59</v>
      </c>
      <c r="P183" s="26" t="s">
        <v>59</v>
      </c>
      <c r="Q183" s="26" t="s">
        <v>60</v>
      </c>
      <c r="R183" s="26" t="s">
        <v>60</v>
      </c>
      <c r="S183" s="26" t="s">
        <v>60</v>
      </c>
      <c r="T183" s="26" t="s">
        <v>60</v>
      </c>
      <c r="U183" s="26">
        <v>78</v>
      </c>
      <c r="V183" s="26">
        <v>89</v>
      </c>
      <c r="W183" s="26" t="s">
        <v>60</v>
      </c>
      <c r="X183" s="26" t="s">
        <v>60</v>
      </c>
      <c r="Y183" s="26">
        <v>10.6</v>
      </c>
      <c r="Z183" s="26">
        <v>1.9</v>
      </c>
      <c r="AA183" s="26" t="s">
        <v>61</v>
      </c>
      <c r="AB183" s="26" t="s">
        <v>61</v>
      </c>
      <c r="AC183" s="27" t="s">
        <v>61</v>
      </c>
      <c r="AD183" s="26">
        <v>10.199999999999999</v>
      </c>
      <c r="AE183" s="26">
        <v>1.7</v>
      </c>
      <c r="AF183" s="26" t="s">
        <v>61</v>
      </c>
      <c r="AG183" s="26" t="s">
        <v>61</v>
      </c>
      <c r="AH183" s="27" t="s">
        <v>61</v>
      </c>
      <c r="AI183" s="26" t="s">
        <v>60</v>
      </c>
      <c r="AJ183" s="26" t="s">
        <v>60</v>
      </c>
      <c r="AK183" s="26" t="s">
        <v>59</v>
      </c>
      <c r="AL183" s="26" t="s">
        <v>59</v>
      </c>
      <c r="AM183" s="26" t="s">
        <v>59</v>
      </c>
      <c r="AN183" s="26" t="s">
        <v>60</v>
      </c>
      <c r="AO183" s="26" t="s">
        <v>60</v>
      </c>
      <c r="AP183" s="26" t="s">
        <v>59</v>
      </c>
      <c r="AQ183" s="26" t="s">
        <v>59</v>
      </c>
      <c r="AR183" s="26" t="s">
        <v>59</v>
      </c>
      <c r="AS183" s="26">
        <v>0.11600000000000001</v>
      </c>
      <c r="AT183" s="26" t="s">
        <v>64</v>
      </c>
      <c r="AU183" s="26" t="s">
        <v>59</v>
      </c>
      <c r="AV183" s="26" t="s">
        <v>59</v>
      </c>
      <c r="AW183" s="26" t="s">
        <v>59</v>
      </c>
      <c r="AX183" s="26" t="s">
        <v>59</v>
      </c>
      <c r="AY183" s="186">
        <v>52</v>
      </c>
      <c r="AZ183" s="186">
        <v>65</v>
      </c>
      <c r="BA183" s="186" t="s">
        <v>60</v>
      </c>
      <c r="BB183" s="186" t="s">
        <v>60</v>
      </c>
      <c r="BC183" s="26">
        <v>8.6999999999999993</v>
      </c>
      <c r="BD183" s="26" t="s">
        <v>61</v>
      </c>
      <c r="BE183" s="26" t="s">
        <v>61</v>
      </c>
      <c r="BF183" s="26">
        <v>9</v>
      </c>
      <c r="BG183" s="48">
        <v>1</v>
      </c>
      <c r="BH183" s="27" t="s">
        <v>61</v>
      </c>
      <c r="BI183" s="27" t="s">
        <v>61</v>
      </c>
      <c r="BJ183" s="26">
        <v>-1.7</v>
      </c>
      <c r="BK183" s="26" t="s">
        <v>61</v>
      </c>
      <c r="BL183" s="26" t="s">
        <v>61</v>
      </c>
      <c r="BM183" s="26" t="s">
        <v>61</v>
      </c>
      <c r="BN183" s="26" t="s">
        <v>61</v>
      </c>
      <c r="BO183" s="26" t="s">
        <v>119</v>
      </c>
      <c r="BP183" s="26">
        <v>7.9</v>
      </c>
      <c r="BQ183" s="26" t="s">
        <v>61</v>
      </c>
      <c r="BR183" s="26" t="s">
        <v>61</v>
      </c>
      <c r="BS183" s="26">
        <v>9</v>
      </c>
      <c r="BT183" s="26">
        <v>1</v>
      </c>
      <c r="BU183" s="27" t="s">
        <v>61</v>
      </c>
      <c r="BV183" s="27" t="s">
        <v>61</v>
      </c>
      <c r="BW183" s="26">
        <v>-2.2999999999999998</v>
      </c>
      <c r="BX183" s="26" t="s">
        <v>61</v>
      </c>
      <c r="BY183" s="27" t="s">
        <v>61</v>
      </c>
      <c r="BZ183" s="26" t="s">
        <v>61</v>
      </c>
      <c r="CA183" s="27" t="s">
        <v>61</v>
      </c>
      <c r="CB183" s="26" t="s">
        <v>119</v>
      </c>
      <c r="CC183" s="26" t="s">
        <v>60</v>
      </c>
      <c r="CD183" s="26" t="s">
        <v>60</v>
      </c>
      <c r="CE183" s="26" t="s">
        <v>59</v>
      </c>
      <c r="CF183" s="26"/>
      <c r="CG183" s="26"/>
      <c r="CH183" s="26" t="s">
        <v>59</v>
      </c>
      <c r="CI183" s="26" t="s">
        <v>59</v>
      </c>
      <c r="CJ183" s="26" t="s">
        <v>59</v>
      </c>
      <c r="CK183" s="26" t="s">
        <v>59</v>
      </c>
      <c r="CL183" s="26" t="s">
        <v>59</v>
      </c>
      <c r="CM183" s="26" t="s">
        <v>59</v>
      </c>
      <c r="CN183" s="26" t="s">
        <v>59</v>
      </c>
      <c r="CO183" s="26" t="s">
        <v>59</v>
      </c>
      <c r="CP183" s="26" t="s">
        <v>60</v>
      </c>
      <c r="CQ183" s="26" t="s">
        <v>60</v>
      </c>
      <c r="CR183" s="26" t="s">
        <v>59</v>
      </c>
      <c r="CS183" s="26"/>
      <c r="CT183" s="26"/>
      <c r="CU183" s="26" t="s">
        <v>59</v>
      </c>
      <c r="CV183" s="26" t="s">
        <v>59</v>
      </c>
      <c r="CW183" s="26" t="s">
        <v>59</v>
      </c>
      <c r="CX183" s="26" t="s">
        <v>59</v>
      </c>
      <c r="CY183" s="26" t="s">
        <v>59</v>
      </c>
      <c r="CZ183" s="26" t="s">
        <v>59</v>
      </c>
      <c r="DA183" s="26" t="s">
        <v>59</v>
      </c>
      <c r="DB183" s="26" t="s">
        <v>59</v>
      </c>
      <c r="DC183" s="26">
        <v>6</v>
      </c>
      <c r="DD183" s="29" t="s">
        <v>229</v>
      </c>
      <c r="DE183" s="22"/>
      <c r="DF183" s="22"/>
      <c r="DG183" s="26"/>
      <c r="DH183" s="27"/>
      <c r="DI183" s="22"/>
      <c r="DJ183" s="26"/>
    </row>
    <row r="184" spans="1:114" s="43" customFormat="1" ht="14">
      <c r="A184" s="34" t="s">
        <v>154</v>
      </c>
      <c r="B184" s="34">
        <v>687</v>
      </c>
      <c r="C184" s="34">
        <v>2</v>
      </c>
      <c r="D184" s="43">
        <v>1</v>
      </c>
      <c r="E184" s="26" t="s">
        <v>139</v>
      </c>
      <c r="F184" s="26" t="s">
        <v>59</v>
      </c>
      <c r="G184" s="48">
        <f t="shared" si="2"/>
        <v>119</v>
      </c>
      <c r="H184" s="26" t="s">
        <v>59</v>
      </c>
      <c r="I184" s="26" t="s">
        <v>60</v>
      </c>
      <c r="J184" s="26" t="s">
        <v>59</v>
      </c>
      <c r="K184" s="26" t="s">
        <v>59</v>
      </c>
      <c r="L184" s="26" t="s">
        <v>59</v>
      </c>
      <c r="M184" s="26" t="s">
        <v>59</v>
      </c>
      <c r="N184" s="26" t="s">
        <v>59</v>
      </c>
      <c r="O184" s="26" t="s">
        <v>59</v>
      </c>
      <c r="P184" s="26" t="s">
        <v>59</v>
      </c>
      <c r="Q184" s="26" t="s">
        <v>60</v>
      </c>
      <c r="R184" s="26" t="s">
        <v>60</v>
      </c>
      <c r="S184" s="26" t="s">
        <v>60</v>
      </c>
      <c r="T184" s="26" t="s">
        <v>60</v>
      </c>
      <c r="U184" s="26">
        <v>61</v>
      </c>
      <c r="V184" s="26">
        <v>59</v>
      </c>
      <c r="W184" s="26" t="s">
        <v>60</v>
      </c>
      <c r="X184" s="26" t="s">
        <v>60</v>
      </c>
      <c r="Y184" s="26">
        <v>10.6</v>
      </c>
      <c r="Z184" s="26" t="s">
        <v>61</v>
      </c>
      <c r="AA184" s="26" t="s">
        <v>61</v>
      </c>
      <c r="AB184" s="26" t="s">
        <v>61</v>
      </c>
      <c r="AC184" s="27" t="s">
        <v>61</v>
      </c>
      <c r="AD184" s="26">
        <v>10.3</v>
      </c>
      <c r="AE184" s="26" t="s">
        <v>61</v>
      </c>
      <c r="AF184" s="26" t="s">
        <v>61</v>
      </c>
      <c r="AG184" s="26" t="s">
        <v>61</v>
      </c>
      <c r="AH184" s="27" t="s">
        <v>61</v>
      </c>
      <c r="AI184" s="26" t="s">
        <v>60</v>
      </c>
      <c r="AJ184" s="26" t="s">
        <v>60</v>
      </c>
      <c r="AK184" s="26" t="s">
        <v>59</v>
      </c>
      <c r="AL184" s="26" t="s">
        <v>59</v>
      </c>
      <c r="AM184" s="26" t="s">
        <v>59</v>
      </c>
      <c r="AN184" s="26" t="s">
        <v>60</v>
      </c>
      <c r="AO184" s="26" t="s">
        <v>60</v>
      </c>
      <c r="AP184" s="26" t="s">
        <v>59</v>
      </c>
      <c r="AQ184" s="26" t="s">
        <v>59</v>
      </c>
      <c r="AR184" s="26" t="s">
        <v>59</v>
      </c>
      <c r="AS184" s="26" t="s">
        <v>61</v>
      </c>
      <c r="AT184" s="26" t="s">
        <v>64</v>
      </c>
      <c r="AU184" s="26" t="s">
        <v>59</v>
      </c>
      <c r="AV184" s="26" t="s">
        <v>59</v>
      </c>
      <c r="AW184" s="26" t="s">
        <v>59</v>
      </c>
      <c r="AX184" s="26" t="s">
        <v>59</v>
      </c>
      <c r="AY184" s="186">
        <v>61</v>
      </c>
      <c r="AZ184" s="186">
        <v>58</v>
      </c>
      <c r="BA184" s="186" t="s">
        <v>60</v>
      </c>
      <c r="BB184" s="186" t="s">
        <v>60</v>
      </c>
      <c r="BC184" s="26">
        <v>9.6999999999999993</v>
      </c>
      <c r="BD184" s="27" t="s">
        <v>61</v>
      </c>
      <c r="BE184" s="26" t="s">
        <v>61</v>
      </c>
      <c r="BF184" s="26">
        <v>9</v>
      </c>
      <c r="BG184" s="48">
        <v>1</v>
      </c>
      <c r="BH184" s="27" t="s">
        <v>61</v>
      </c>
      <c r="BI184" s="27" t="s">
        <v>61</v>
      </c>
      <c r="BJ184" s="26" t="s">
        <v>61</v>
      </c>
      <c r="BK184" s="26" t="s">
        <v>61</v>
      </c>
      <c r="BL184" s="26" t="s">
        <v>61</v>
      </c>
      <c r="BM184" s="26" t="s">
        <v>61</v>
      </c>
      <c r="BN184" s="26" t="s">
        <v>61</v>
      </c>
      <c r="BO184" s="26" t="s">
        <v>61</v>
      </c>
      <c r="BP184" s="26">
        <v>9.5</v>
      </c>
      <c r="BQ184" s="69" t="s">
        <v>61</v>
      </c>
      <c r="BR184" s="26" t="s">
        <v>61</v>
      </c>
      <c r="BS184" s="26">
        <v>9</v>
      </c>
      <c r="BT184" s="26">
        <v>1</v>
      </c>
      <c r="BU184" s="27" t="s">
        <v>61</v>
      </c>
      <c r="BV184" s="27" t="s">
        <v>61</v>
      </c>
      <c r="BW184" s="26" t="s">
        <v>61</v>
      </c>
      <c r="BX184" s="26" t="s">
        <v>61</v>
      </c>
      <c r="BY184" s="27" t="s">
        <v>61</v>
      </c>
      <c r="BZ184" s="26" t="s">
        <v>61</v>
      </c>
      <c r="CA184" s="27" t="s">
        <v>61</v>
      </c>
      <c r="CB184" s="26" t="s">
        <v>61</v>
      </c>
      <c r="CC184" s="26" t="s">
        <v>60</v>
      </c>
      <c r="CD184" s="26" t="s">
        <v>60</v>
      </c>
      <c r="CE184" s="26" t="s">
        <v>59</v>
      </c>
      <c r="CF184" s="26"/>
      <c r="CG184" s="26"/>
      <c r="CH184" s="26" t="s">
        <v>59</v>
      </c>
      <c r="CI184" s="26" t="s">
        <v>59</v>
      </c>
      <c r="CJ184" s="26" t="s">
        <v>59</v>
      </c>
      <c r="CK184" s="26" t="s">
        <v>59</v>
      </c>
      <c r="CL184" s="26" t="s">
        <v>59</v>
      </c>
      <c r="CM184" s="26" t="s">
        <v>59</v>
      </c>
      <c r="CN184" s="26" t="s">
        <v>59</v>
      </c>
      <c r="CO184" s="26" t="s">
        <v>59</v>
      </c>
      <c r="CP184" s="26" t="s">
        <v>60</v>
      </c>
      <c r="CQ184" s="26" t="s">
        <v>60</v>
      </c>
      <c r="CR184" s="26" t="s">
        <v>59</v>
      </c>
      <c r="CS184" s="26"/>
      <c r="CT184" s="26"/>
      <c r="CU184" s="26" t="s">
        <v>59</v>
      </c>
      <c r="CV184" s="26" t="s">
        <v>59</v>
      </c>
      <c r="CW184" s="26" t="s">
        <v>59</v>
      </c>
      <c r="CX184" s="26" t="s">
        <v>59</v>
      </c>
      <c r="CY184" s="26" t="s">
        <v>59</v>
      </c>
      <c r="CZ184" s="26" t="s">
        <v>59</v>
      </c>
      <c r="DA184" s="26" t="s">
        <v>59</v>
      </c>
      <c r="DB184" s="26" t="s">
        <v>59</v>
      </c>
      <c r="DC184" s="26">
        <v>6</v>
      </c>
      <c r="DD184" s="29"/>
      <c r="DE184" s="22"/>
      <c r="DF184" s="22"/>
      <c r="DG184" s="26"/>
      <c r="DH184" s="27"/>
      <c r="DI184" s="22"/>
      <c r="DJ184" s="26"/>
    </row>
    <row r="185" spans="1:114" s="43" customFormat="1">
      <c r="A185" s="34" t="s">
        <v>178</v>
      </c>
      <c r="B185" s="34">
        <v>3575</v>
      </c>
      <c r="C185" s="34">
        <v>2</v>
      </c>
      <c r="D185" s="43">
        <v>1</v>
      </c>
      <c r="E185" s="26" t="s">
        <v>139</v>
      </c>
      <c r="F185" s="26" t="s">
        <v>59</v>
      </c>
      <c r="G185" s="48">
        <f t="shared" si="2"/>
        <v>251</v>
      </c>
      <c r="H185" s="26" t="s">
        <v>59</v>
      </c>
      <c r="I185" s="26" t="s">
        <v>60</v>
      </c>
      <c r="J185" s="26" t="s">
        <v>59</v>
      </c>
      <c r="K185" s="26" t="s">
        <v>59</v>
      </c>
      <c r="L185" s="26" t="s">
        <v>59</v>
      </c>
      <c r="M185" s="26" t="s">
        <v>59</v>
      </c>
      <c r="N185" s="26" t="s">
        <v>59</v>
      </c>
      <c r="O185" s="26" t="s">
        <v>59</v>
      </c>
      <c r="P185" s="26" t="s">
        <v>59</v>
      </c>
      <c r="Q185" s="26" t="s">
        <v>60</v>
      </c>
      <c r="R185" s="26" t="s">
        <v>60</v>
      </c>
      <c r="S185" s="26" t="s">
        <v>60</v>
      </c>
      <c r="T185" s="26" t="s">
        <v>60</v>
      </c>
      <c r="U185" s="26">
        <v>71</v>
      </c>
      <c r="V185" s="26">
        <v>204</v>
      </c>
      <c r="W185" s="26" t="s">
        <v>60</v>
      </c>
      <c r="X185" s="26" t="s">
        <v>60</v>
      </c>
      <c r="Y185" s="26">
        <v>10.7</v>
      </c>
      <c r="Z185" s="26">
        <v>3.4</v>
      </c>
      <c r="AA185" s="26" t="s">
        <v>61</v>
      </c>
      <c r="AB185" s="26" t="s">
        <v>61</v>
      </c>
      <c r="AC185" s="27" t="s">
        <v>61</v>
      </c>
      <c r="AD185" s="26">
        <v>10.7</v>
      </c>
      <c r="AE185" s="26">
        <v>3.3</v>
      </c>
      <c r="AF185" s="26" t="s">
        <v>61</v>
      </c>
      <c r="AG185" s="26" t="s">
        <v>61</v>
      </c>
      <c r="AH185" s="27" t="s">
        <v>61</v>
      </c>
      <c r="AI185" s="26" t="s">
        <v>60</v>
      </c>
      <c r="AJ185" s="26" t="s">
        <v>60</v>
      </c>
      <c r="AK185" s="26" t="s">
        <v>59</v>
      </c>
      <c r="AL185" s="26" t="s">
        <v>59</v>
      </c>
      <c r="AM185" s="26" t="s">
        <v>59</v>
      </c>
      <c r="AN185" s="26" t="s">
        <v>60</v>
      </c>
      <c r="AO185" s="26" t="s">
        <v>60</v>
      </c>
      <c r="AP185" s="26" t="s">
        <v>59</v>
      </c>
      <c r="AQ185" s="26" t="s">
        <v>59</v>
      </c>
      <c r="AR185" s="26" t="s">
        <v>59</v>
      </c>
      <c r="AS185" s="26" t="s">
        <v>61</v>
      </c>
      <c r="AT185" s="26" t="s">
        <v>64</v>
      </c>
      <c r="AU185" s="26" t="s">
        <v>59</v>
      </c>
      <c r="AV185" s="26" t="s">
        <v>59</v>
      </c>
      <c r="AW185" s="26" t="s">
        <v>59</v>
      </c>
      <c r="AX185" s="26" t="s">
        <v>59</v>
      </c>
      <c r="AY185" s="186">
        <v>63</v>
      </c>
      <c r="AZ185" s="186">
        <v>188</v>
      </c>
      <c r="BA185" s="186" t="s">
        <v>60</v>
      </c>
      <c r="BB185" s="186" t="s">
        <v>60</v>
      </c>
      <c r="BC185" s="26">
        <v>11.1</v>
      </c>
      <c r="BD185" s="26" t="s">
        <v>61</v>
      </c>
      <c r="BE185" s="26">
        <v>0.3</v>
      </c>
      <c r="BF185" s="48">
        <v>1</v>
      </c>
      <c r="BG185" s="48">
        <v>1</v>
      </c>
      <c r="BH185" s="27" t="s">
        <v>61</v>
      </c>
      <c r="BI185" s="27" t="s">
        <v>61</v>
      </c>
      <c r="BJ185" s="26" t="s">
        <v>61</v>
      </c>
      <c r="BK185" s="26" t="s">
        <v>61</v>
      </c>
      <c r="BL185" s="26" t="s">
        <v>61</v>
      </c>
      <c r="BM185" s="26" t="s">
        <v>61</v>
      </c>
      <c r="BN185" s="26" t="s">
        <v>61</v>
      </c>
      <c r="BO185" s="26" t="s">
        <v>61</v>
      </c>
      <c r="BP185" s="26">
        <v>10.5</v>
      </c>
      <c r="BQ185" s="26" t="s">
        <v>61</v>
      </c>
      <c r="BR185" s="26">
        <v>0.2</v>
      </c>
      <c r="BS185" s="69">
        <v>1</v>
      </c>
      <c r="BT185" s="26">
        <v>1</v>
      </c>
      <c r="BU185" s="27" t="s">
        <v>61</v>
      </c>
      <c r="BV185" s="27" t="s">
        <v>61</v>
      </c>
      <c r="BW185" s="26" t="s">
        <v>61</v>
      </c>
      <c r="BX185" s="26" t="s">
        <v>61</v>
      </c>
      <c r="BY185" s="27" t="s">
        <v>61</v>
      </c>
      <c r="BZ185" s="26" t="s">
        <v>61</v>
      </c>
      <c r="CA185" s="27" t="s">
        <v>61</v>
      </c>
      <c r="CB185" s="26" t="s">
        <v>61</v>
      </c>
      <c r="CC185" s="26" t="s">
        <v>60</v>
      </c>
      <c r="CD185" s="26" t="s">
        <v>60</v>
      </c>
      <c r="CE185" s="26" t="s">
        <v>59</v>
      </c>
      <c r="CF185" s="26"/>
      <c r="CG185" s="26"/>
      <c r="CH185" s="26" t="s">
        <v>59</v>
      </c>
      <c r="CI185" s="26" t="s">
        <v>59</v>
      </c>
      <c r="CJ185" s="26" t="s">
        <v>59</v>
      </c>
      <c r="CK185" s="26" t="s">
        <v>59</v>
      </c>
      <c r="CL185" s="26" t="s">
        <v>59</v>
      </c>
      <c r="CM185" s="26" t="s">
        <v>59</v>
      </c>
      <c r="CN185" s="26" t="s">
        <v>59</v>
      </c>
      <c r="CO185" s="26" t="s">
        <v>59</v>
      </c>
      <c r="CP185" s="26" t="s">
        <v>60</v>
      </c>
      <c r="CQ185" s="26" t="s">
        <v>60</v>
      </c>
      <c r="CR185" s="26" t="s">
        <v>59</v>
      </c>
      <c r="CS185" s="26"/>
      <c r="CT185" s="26"/>
      <c r="CU185" s="26" t="s">
        <v>59</v>
      </c>
      <c r="CV185" s="26" t="s">
        <v>59</v>
      </c>
      <c r="CW185" s="26" t="s">
        <v>59</v>
      </c>
      <c r="CX185" s="26" t="s">
        <v>59</v>
      </c>
      <c r="CY185" s="26" t="s">
        <v>59</v>
      </c>
      <c r="CZ185" s="26" t="s">
        <v>59</v>
      </c>
      <c r="DA185" s="26" t="s">
        <v>59</v>
      </c>
      <c r="DB185" s="26" t="s">
        <v>59</v>
      </c>
      <c r="DC185" s="26">
        <v>12</v>
      </c>
      <c r="DD185" s="29"/>
      <c r="DE185" s="22"/>
      <c r="DF185" s="22"/>
      <c r="DG185" s="26"/>
      <c r="DH185" s="27"/>
      <c r="DI185" s="22"/>
      <c r="DJ185" s="26"/>
    </row>
    <row r="186" spans="1:114" s="43" customFormat="1">
      <c r="A186" s="34" t="s">
        <v>217</v>
      </c>
      <c r="B186" s="34">
        <v>5972</v>
      </c>
      <c r="C186" s="34">
        <v>2</v>
      </c>
      <c r="D186" s="43">
        <v>1</v>
      </c>
      <c r="E186" s="26" t="s">
        <v>139</v>
      </c>
      <c r="F186" s="26" t="s">
        <v>59</v>
      </c>
      <c r="G186" s="48">
        <f t="shared" si="2"/>
        <v>194</v>
      </c>
      <c r="H186" s="26" t="s">
        <v>59</v>
      </c>
      <c r="I186" s="26" t="s">
        <v>60</v>
      </c>
      <c r="J186" s="26" t="s">
        <v>59</v>
      </c>
      <c r="K186" s="26" t="s">
        <v>59</v>
      </c>
      <c r="L186" s="26" t="s">
        <v>59</v>
      </c>
      <c r="M186" s="26" t="s">
        <v>59</v>
      </c>
      <c r="N186" s="26" t="s">
        <v>59</v>
      </c>
      <c r="O186" s="26" t="s">
        <v>59</v>
      </c>
      <c r="P186" s="26" t="s">
        <v>59</v>
      </c>
      <c r="Q186" s="26" t="s">
        <v>60</v>
      </c>
      <c r="R186" s="26" t="s">
        <v>60</v>
      </c>
      <c r="S186" s="26" t="s">
        <v>60</v>
      </c>
      <c r="T186" s="26" t="s">
        <v>60</v>
      </c>
      <c r="U186" s="26">
        <v>105</v>
      </c>
      <c r="V186" s="26">
        <v>112</v>
      </c>
      <c r="W186" s="26" t="s">
        <v>60</v>
      </c>
      <c r="X186" s="26" t="s">
        <v>60</v>
      </c>
      <c r="Y186" s="26">
        <v>11</v>
      </c>
      <c r="Z186" s="26">
        <v>3</v>
      </c>
      <c r="AA186" s="26" t="s">
        <v>61</v>
      </c>
      <c r="AB186" s="26" t="s">
        <v>61</v>
      </c>
      <c r="AC186" s="27" t="s">
        <v>61</v>
      </c>
      <c r="AD186" s="26">
        <v>11</v>
      </c>
      <c r="AE186" s="26">
        <v>2</v>
      </c>
      <c r="AF186" s="26" t="s">
        <v>61</v>
      </c>
      <c r="AG186" s="26" t="s">
        <v>61</v>
      </c>
      <c r="AH186" s="27" t="s">
        <v>61</v>
      </c>
      <c r="AI186" s="26" t="s">
        <v>60</v>
      </c>
      <c r="AJ186" s="26" t="s">
        <v>60</v>
      </c>
      <c r="AK186" s="26" t="s">
        <v>59</v>
      </c>
      <c r="AL186" s="26" t="s">
        <v>59</v>
      </c>
      <c r="AM186" s="26" t="s">
        <v>59</v>
      </c>
      <c r="AN186" s="26" t="s">
        <v>60</v>
      </c>
      <c r="AO186" s="26" t="s">
        <v>60</v>
      </c>
      <c r="AP186" s="26" t="s">
        <v>59</v>
      </c>
      <c r="AQ186" s="26" t="s">
        <v>59</v>
      </c>
      <c r="AR186" s="26" t="s">
        <v>59</v>
      </c>
      <c r="AS186" s="26" t="s">
        <v>61</v>
      </c>
      <c r="AT186" s="26" t="s">
        <v>64</v>
      </c>
      <c r="AU186" s="26" t="s">
        <v>59</v>
      </c>
      <c r="AV186" s="26" t="s">
        <v>59</v>
      </c>
      <c r="AW186" s="26" t="s">
        <v>59</v>
      </c>
      <c r="AX186" s="26" t="s">
        <v>59</v>
      </c>
      <c r="AY186" s="186">
        <v>95</v>
      </c>
      <c r="AZ186" s="186">
        <v>99</v>
      </c>
      <c r="BA186" s="186" t="s">
        <v>60</v>
      </c>
      <c r="BB186" s="186" t="s">
        <v>60</v>
      </c>
      <c r="BC186" s="26">
        <v>9.4</v>
      </c>
      <c r="BD186" s="188" t="s">
        <v>61</v>
      </c>
      <c r="BE186" s="26" t="s">
        <v>61</v>
      </c>
      <c r="BF186" s="26">
        <v>9</v>
      </c>
      <c r="BG186" s="48">
        <v>1</v>
      </c>
      <c r="BH186" s="27" t="s">
        <v>61</v>
      </c>
      <c r="BI186" s="27" t="s">
        <v>61</v>
      </c>
      <c r="BJ186" s="26">
        <v>-1.6</v>
      </c>
      <c r="BK186" s="26" t="s">
        <v>61</v>
      </c>
      <c r="BL186" s="26" t="s">
        <v>61</v>
      </c>
      <c r="BM186" s="26" t="s">
        <v>61</v>
      </c>
      <c r="BN186" s="26" t="s">
        <v>61</v>
      </c>
      <c r="BO186" s="26" t="s">
        <v>61</v>
      </c>
      <c r="BP186" s="26">
        <v>8.5</v>
      </c>
      <c r="BQ186" s="26" t="s">
        <v>61</v>
      </c>
      <c r="BR186" s="26" t="s">
        <v>61</v>
      </c>
      <c r="BS186" s="26">
        <v>9</v>
      </c>
      <c r="BT186" s="26">
        <v>1</v>
      </c>
      <c r="BU186" s="27" t="s">
        <v>61</v>
      </c>
      <c r="BV186" s="27" t="s">
        <v>61</v>
      </c>
      <c r="BW186" s="26">
        <v>-2.5</v>
      </c>
      <c r="BX186" s="26" t="s">
        <v>61</v>
      </c>
      <c r="BY186" s="27" t="s">
        <v>61</v>
      </c>
      <c r="BZ186" s="26" t="s">
        <v>61</v>
      </c>
      <c r="CA186" s="27" t="s">
        <v>61</v>
      </c>
      <c r="CB186" s="26" t="s">
        <v>61</v>
      </c>
      <c r="CC186" s="26" t="s">
        <v>59</v>
      </c>
      <c r="CD186" s="26" t="s">
        <v>60</v>
      </c>
      <c r="CE186" s="26" t="s">
        <v>59</v>
      </c>
      <c r="CF186" s="26"/>
      <c r="CG186" s="26"/>
      <c r="CH186" s="26" t="s">
        <v>59</v>
      </c>
      <c r="CI186" s="26" t="s">
        <v>59</v>
      </c>
      <c r="CJ186" s="26" t="s">
        <v>59</v>
      </c>
      <c r="CK186" s="26" t="s">
        <v>59</v>
      </c>
      <c r="CL186" s="26" t="s">
        <v>59</v>
      </c>
      <c r="CM186" s="26" t="s">
        <v>59</v>
      </c>
      <c r="CN186" s="26" t="s">
        <v>59</v>
      </c>
      <c r="CO186" s="26" t="s">
        <v>59</v>
      </c>
      <c r="CP186" s="26" t="s">
        <v>60</v>
      </c>
      <c r="CQ186" s="26" t="s">
        <v>60</v>
      </c>
      <c r="CR186" s="26" t="s">
        <v>59</v>
      </c>
      <c r="CS186" s="26"/>
      <c r="CT186" s="26"/>
      <c r="CU186" s="26" t="s">
        <v>59</v>
      </c>
      <c r="CV186" s="26" t="s">
        <v>59</v>
      </c>
      <c r="CW186" s="26" t="s">
        <v>59</v>
      </c>
      <c r="CX186" s="26" t="s">
        <v>59</v>
      </c>
      <c r="CY186" s="26" t="s">
        <v>59</v>
      </c>
      <c r="CZ186" s="26" t="s">
        <v>59</v>
      </c>
      <c r="DA186" s="26" t="s">
        <v>59</v>
      </c>
      <c r="DB186" s="26" t="s">
        <v>59</v>
      </c>
      <c r="DC186" s="26">
        <v>12</v>
      </c>
      <c r="DD186" s="29" t="s">
        <v>218</v>
      </c>
      <c r="DE186" s="22"/>
      <c r="DF186" s="22"/>
      <c r="DG186" s="26"/>
      <c r="DH186" s="27"/>
      <c r="DI186" s="22"/>
      <c r="DJ186" s="26"/>
    </row>
    <row r="187" spans="1:114" s="43" customFormat="1">
      <c r="A187" s="34" t="s">
        <v>245</v>
      </c>
      <c r="B187" s="34">
        <v>8008</v>
      </c>
      <c r="C187" s="34">
        <v>2</v>
      </c>
      <c r="D187" s="43">
        <v>1</v>
      </c>
      <c r="E187" s="26" t="s">
        <v>139</v>
      </c>
      <c r="F187" s="26" t="s">
        <v>59</v>
      </c>
      <c r="G187" s="48">
        <f t="shared" si="2"/>
        <v>103</v>
      </c>
      <c r="H187" s="26" t="s">
        <v>59</v>
      </c>
      <c r="I187" s="26" t="s">
        <v>59</v>
      </c>
      <c r="J187" s="26" t="s">
        <v>59</v>
      </c>
      <c r="K187" s="26" t="s">
        <v>59</v>
      </c>
      <c r="L187" s="26" t="s">
        <v>59</v>
      </c>
      <c r="M187" s="26" t="s">
        <v>59</v>
      </c>
      <c r="N187" s="26" t="s">
        <v>59</v>
      </c>
      <c r="O187" s="26" t="s">
        <v>59</v>
      </c>
      <c r="P187" s="26" t="s">
        <v>59</v>
      </c>
      <c r="Q187" s="26" t="s">
        <v>59</v>
      </c>
      <c r="R187" s="26" t="s">
        <v>59</v>
      </c>
      <c r="S187" s="26" t="s">
        <v>60</v>
      </c>
      <c r="T187" s="26" t="s">
        <v>60</v>
      </c>
      <c r="U187" s="26">
        <v>51</v>
      </c>
      <c r="V187" s="26">
        <v>52</v>
      </c>
      <c r="W187" s="26" t="s">
        <v>60</v>
      </c>
      <c r="X187" s="26" t="s">
        <v>60</v>
      </c>
      <c r="Y187" s="26">
        <v>11.1</v>
      </c>
      <c r="Z187" s="26">
        <v>1.6</v>
      </c>
      <c r="AA187" s="26" t="s">
        <v>61</v>
      </c>
      <c r="AB187" s="26" t="s">
        <v>61</v>
      </c>
      <c r="AC187" s="27" t="s">
        <v>61</v>
      </c>
      <c r="AD187" s="26">
        <v>10.4</v>
      </c>
      <c r="AE187" s="26">
        <v>1.2</v>
      </c>
      <c r="AF187" s="26" t="s">
        <v>61</v>
      </c>
      <c r="AG187" s="26" t="s">
        <v>61</v>
      </c>
      <c r="AH187" s="27" t="s">
        <v>61</v>
      </c>
      <c r="AI187" s="26" t="s">
        <v>60</v>
      </c>
      <c r="AJ187" s="26" t="s">
        <v>60</v>
      </c>
      <c r="AK187" s="26" t="s">
        <v>59</v>
      </c>
      <c r="AL187" s="26" t="s">
        <v>59</v>
      </c>
      <c r="AM187" s="26" t="s">
        <v>59</v>
      </c>
      <c r="AN187" s="26" t="s">
        <v>60</v>
      </c>
      <c r="AO187" s="26" t="s">
        <v>60</v>
      </c>
      <c r="AP187" s="26" t="s">
        <v>59</v>
      </c>
      <c r="AQ187" s="26" t="s">
        <v>59</v>
      </c>
      <c r="AR187" s="26" t="s">
        <v>59</v>
      </c>
      <c r="AS187" s="26">
        <v>0.02</v>
      </c>
      <c r="AT187" s="26" t="s">
        <v>64</v>
      </c>
      <c r="AU187" s="26" t="s">
        <v>59</v>
      </c>
      <c r="AV187" s="26" t="s">
        <v>59</v>
      </c>
      <c r="AW187" s="26" t="s">
        <v>59</v>
      </c>
      <c r="AX187" s="26" t="s">
        <v>59</v>
      </c>
      <c r="AY187" s="186">
        <v>51</v>
      </c>
      <c r="AZ187" s="186">
        <v>52</v>
      </c>
      <c r="BA187" s="186" t="s">
        <v>60</v>
      </c>
      <c r="BB187" s="186" t="s">
        <v>60</v>
      </c>
      <c r="BC187" s="26">
        <v>10.7</v>
      </c>
      <c r="BD187" s="26" t="s">
        <v>61</v>
      </c>
      <c r="BE187" s="26" t="s">
        <v>61</v>
      </c>
      <c r="BF187" s="26">
        <v>9</v>
      </c>
      <c r="BG187" s="48">
        <v>1</v>
      </c>
      <c r="BH187" s="27" t="s">
        <v>61</v>
      </c>
      <c r="BI187" s="27" t="s">
        <v>61</v>
      </c>
      <c r="BJ187" s="26">
        <v>-0.4</v>
      </c>
      <c r="BK187" s="26" t="s">
        <v>61</v>
      </c>
      <c r="BL187" s="26" t="s">
        <v>61</v>
      </c>
      <c r="BM187" s="27" t="s">
        <v>61</v>
      </c>
      <c r="BN187" s="27" t="s">
        <v>61</v>
      </c>
      <c r="BO187" s="26" t="s">
        <v>61</v>
      </c>
      <c r="BP187" s="26">
        <v>8.9</v>
      </c>
      <c r="BQ187" s="26" t="s">
        <v>61</v>
      </c>
      <c r="BR187" s="26" t="s">
        <v>61</v>
      </c>
      <c r="BS187" s="26">
        <v>9</v>
      </c>
      <c r="BT187" s="26">
        <v>1</v>
      </c>
      <c r="BU187" s="27" t="s">
        <v>61</v>
      </c>
      <c r="BV187" s="27" t="s">
        <v>61</v>
      </c>
      <c r="BW187" s="26">
        <v>-1.5</v>
      </c>
      <c r="BX187" s="26" t="s">
        <v>61</v>
      </c>
      <c r="BY187" s="27" t="s">
        <v>61</v>
      </c>
      <c r="BZ187" s="27" t="s">
        <v>61</v>
      </c>
      <c r="CA187" s="27" t="s">
        <v>61</v>
      </c>
      <c r="CB187" s="26" t="s">
        <v>61</v>
      </c>
      <c r="CC187" s="26" t="s">
        <v>60</v>
      </c>
      <c r="CD187" s="26" t="s">
        <v>60</v>
      </c>
      <c r="CE187" s="27" t="s">
        <v>59</v>
      </c>
      <c r="CF187" s="27"/>
      <c r="CG187" s="27"/>
      <c r="CH187" s="27" t="s">
        <v>59</v>
      </c>
      <c r="CI187" s="27" t="s">
        <v>59</v>
      </c>
      <c r="CJ187" s="26" t="s">
        <v>59</v>
      </c>
      <c r="CK187" s="27" t="s">
        <v>59</v>
      </c>
      <c r="CL187" s="27" t="s">
        <v>59</v>
      </c>
      <c r="CM187" s="26" t="s">
        <v>59</v>
      </c>
      <c r="CN187" s="26" t="s">
        <v>59</v>
      </c>
      <c r="CO187" s="26" t="s">
        <v>59</v>
      </c>
      <c r="CP187" s="26" t="s">
        <v>60</v>
      </c>
      <c r="CQ187" s="26" t="s">
        <v>60</v>
      </c>
      <c r="CR187" s="27" t="s">
        <v>59</v>
      </c>
      <c r="CS187" s="27"/>
      <c r="CT187" s="27"/>
      <c r="CU187" s="27" t="s">
        <v>59</v>
      </c>
      <c r="CV187" s="27" t="s">
        <v>59</v>
      </c>
      <c r="CW187" s="26" t="s">
        <v>59</v>
      </c>
      <c r="CX187" s="27" t="s">
        <v>59</v>
      </c>
      <c r="CY187" s="27" t="s">
        <v>59</v>
      </c>
      <c r="CZ187" s="27" t="s">
        <v>59</v>
      </c>
      <c r="DA187" s="27" t="s">
        <v>59</v>
      </c>
      <c r="DB187" s="26" t="s">
        <v>59</v>
      </c>
      <c r="DC187" s="26">
        <v>12</v>
      </c>
      <c r="DD187" s="22" t="s">
        <v>246</v>
      </c>
      <c r="DE187" s="22"/>
      <c r="DF187" s="22"/>
      <c r="DG187" s="26"/>
      <c r="DH187" s="27"/>
      <c r="DI187" s="22"/>
      <c r="DJ187" s="26"/>
    </row>
    <row r="188" spans="1:114" s="43" customFormat="1" ht="14">
      <c r="A188" s="49" t="s">
        <v>356</v>
      </c>
      <c r="B188" s="43">
        <v>10220</v>
      </c>
      <c r="C188" s="34">
        <v>2</v>
      </c>
      <c r="D188" s="43">
        <v>1</v>
      </c>
      <c r="E188" s="48" t="s">
        <v>139</v>
      </c>
      <c r="F188" s="26" t="s">
        <v>59</v>
      </c>
      <c r="G188" s="48">
        <f t="shared" si="2"/>
        <v>139</v>
      </c>
      <c r="H188" s="26" t="s">
        <v>59</v>
      </c>
      <c r="I188" s="26" t="s">
        <v>59</v>
      </c>
      <c r="J188" s="48" t="s">
        <v>59</v>
      </c>
      <c r="K188" s="26" t="s">
        <v>59</v>
      </c>
      <c r="L188" s="26" t="s">
        <v>59</v>
      </c>
      <c r="M188" s="26" t="s">
        <v>59</v>
      </c>
      <c r="N188" s="26" t="s">
        <v>59</v>
      </c>
      <c r="O188" s="26" t="s">
        <v>59</v>
      </c>
      <c r="P188" s="26" t="s">
        <v>59</v>
      </c>
      <c r="Q188" s="48" t="s">
        <v>59</v>
      </c>
      <c r="R188" s="48" t="s">
        <v>59</v>
      </c>
      <c r="S188" s="48" t="s">
        <v>59</v>
      </c>
      <c r="T188" s="48" t="s">
        <v>59</v>
      </c>
      <c r="U188" s="48" t="s">
        <v>61</v>
      </c>
      <c r="V188" s="48" t="s">
        <v>61</v>
      </c>
      <c r="W188" s="48" t="s">
        <v>59</v>
      </c>
      <c r="X188" s="48" t="s">
        <v>59</v>
      </c>
      <c r="Y188" s="69" t="s">
        <v>61</v>
      </c>
      <c r="Z188" s="69" t="s">
        <v>61</v>
      </c>
      <c r="AA188" s="69" t="s">
        <v>61</v>
      </c>
      <c r="AB188" s="69" t="s">
        <v>61</v>
      </c>
      <c r="AC188" s="69" t="s">
        <v>61</v>
      </c>
      <c r="AD188" s="69" t="s">
        <v>61</v>
      </c>
      <c r="AE188" s="69" t="s">
        <v>61</v>
      </c>
      <c r="AF188" s="69" t="s">
        <v>61</v>
      </c>
      <c r="AG188" s="69" t="s">
        <v>61</v>
      </c>
      <c r="AH188" s="69" t="s">
        <v>61</v>
      </c>
      <c r="AI188" s="69" t="s">
        <v>59</v>
      </c>
      <c r="AJ188" s="69" t="s">
        <v>59</v>
      </c>
      <c r="AK188" s="69" t="s">
        <v>59</v>
      </c>
      <c r="AL188" s="69" t="s">
        <v>59</v>
      </c>
      <c r="AM188" s="69" t="s">
        <v>59</v>
      </c>
      <c r="AN188" s="69" t="s">
        <v>59</v>
      </c>
      <c r="AO188" s="69" t="s">
        <v>59</v>
      </c>
      <c r="AP188" s="69" t="s">
        <v>59</v>
      </c>
      <c r="AQ188" s="69" t="s">
        <v>59</v>
      </c>
      <c r="AR188" s="69" t="s">
        <v>59</v>
      </c>
      <c r="AS188" s="69">
        <v>0.2</v>
      </c>
      <c r="AT188" s="69" t="s">
        <v>64</v>
      </c>
      <c r="AU188" s="69" t="s">
        <v>59</v>
      </c>
      <c r="AV188" s="69" t="s">
        <v>59</v>
      </c>
      <c r="AW188" s="69" t="s">
        <v>59</v>
      </c>
      <c r="AX188" s="69" t="s">
        <v>59</v>
      </c>
      <c r="AY188" s="219">
        <v>69.5</v>
      </c>
      <c r="AZ188" s="219">
        <v>69.5</v>
      </c>
      <c r="BA188" s="215" t="s">
        <v>59</v>
      </c>
      <c r="BB188" s="215" t="s">
        <v>59</v>
      </c>
      <c r="BC188" s="69">
        <v>9.1</v>
      </c>
      <c r="BD188" s="69" t="s">
        <v>61</v>
      </c>
      <c r="BE188" s="69" t="s">
        <v>61</v>
      </c>
      <c r="BF188" s="26">
        <v>9</v>
      </c>
      <c r="BG188" s="48">
        <v>1</v>
      </c>
      <c r="BH188" s="69" t="s">
        <v>61</v>
      </c>
      <c r="BI188" s="69" t="s">
        <v>61</v>
      </c>
      <c r="BJ188" s="69" t="s">
        <v>61</v>
      </c>
      <c r="BK188" s="69" t="s">
        <v>61</v>
      </c>
      <c r="BL188" s="69" t="s">
        <v>61</v>
      </c>
      <c r="BM188" s="69" t="s">
        <v>61</v>
      </c>
      <c r="BN188" s="69" t="s">
        <v>61</v>
      </c>
      <c r="BO188" s="69" t="s">
        <v>61</v>
      </c>
      <c r="BP188" s="69">
        <v>8.6</v>
      </c>
      <c r="BQ188" s="69" t="s">
        <v>61</v>
      </c>
      <c r="BR188" s="69" t="s">
        <v>61</v>
      </c>
      <c r="BS188" s="26">
        <v>9</v>
      </c>
      <c r="BT188" s="26">
        <v>1</v>
      </c>
      <c r="BU188" s="69" t="s">
        <v>61</v>
      </c>
      <c r="BV188" s="69" t="s">
        <v>61</v>
      </c>
      <c r="BW188" s="69" t="s">
        <v>61</v>
      </c>
      <c r="BX188" s="69" t="s">
        <v>61</v>
      </c>
      <c r="BY188" s="69" t="s">
        <v>61</v>
      </c>
      <c r="BZ188" s="69" t="s">
        <v>61</v>
      </c>
      <c r="CA188" s="69" t="s">
        <v>61</v>
      </c>
      <c r="CB188" s="69" t="s">
        <v>61</v>
      </c>
      <c r="CC188" s="69" t="s">
        <v>59</v>
      </c>
      <c r="CD188" s="69" t="s">
        <v>59</v>
      </c>
      <c r="CE188" s="69" t="s">
        <v>59</v>
      </c>
      <c r="CF188" s="69"/>
      <c r="CG188" s="69"/>
      <c r="CH188" s="69" t="s">
        <v>59</v>
      </c>
      <c r="CI188" s="69" t="s">
        <v>59</v>
      </c>
      <c r="CJ188" s="69" t="s">
        <v>59</v>
      </c>
      <c r="CK188" s="69" t="s">
        <v>59</v>
      </c>
      <c r="CL188" s="69" t="s">
        <v>59</v>
      </c>
      <c r="CM188" s="69" t="s">
        <v>59</v>
      </c>
      <c r="CN188" s="69" t="s">
        <v>59</v>
      </c>
      <c r="CO188" s="69" t="s">
        <v>59</v>
      </c>
      <c r="CP188" s="69" t="s">
        <v>59</v>
      </c>
      <c r="CQ188" s="69" t="s">
        <v>59</v>
      </c>
      <c r="CR188" s="69" t="s">
        <v>59</v>
      </c>
      <c r="CS188" s="69"/>
      <c r="CT188" s="69"/>
      <c r="CU188" s="69" t="s">
        <v>59</v>
      </c>
      <c r="CV188" s="69" t="s">
        <v>59</v>
      </c>
      <c r="CW188" s="69" t="s">
        <v>59</v>
      </c>
      <c r="CX188" s="69" t="s">
        <v>59</v>
      </c>
      <c r="CY188" s="69" t="s">
        <v>59</v>
      </c>
      <c r="CZ188" s="69" t="s">
        <v>59</v>
      </c>
      <c r="DA188" s="69" t="s">
        <v>59</v>
      </c>
      <c r="DB188" s="69" t="s">
        <v>59</v>
      </c>
      <c r="DC188" s="69">
        <v>12</v>
      </c>
      <c r="DD188" s="55"/>
    </row>
    <row r="189" spans="1:114" s="43" customFormat="1" ht="14">
      <c r="A189" s="49" t="s">
        <v>304</v>
      </c>
      <c r="B189" s="43">
        <v>12220</v>
      </c>
      <c r="C189" s="34">
        <v>2</v>
      </c>
      <c r="D189" s="43">
        <v>1</v>
      </c>
      <c r="E189" s="48" t="s">
        <v>58</v>
      </c>
      <c r="F189" s="48">
        <v>11</v>
      </c>
      <c r="G189" s="48">
        <f t="shared" si="2"/>
        <v>156</v>
      </c>
      <c r="H189" s="48">
        <f t="shared" ref="H189:H220" si="3">G189/F189</f>
        <v>14.181818181818182</v>
      </c>
      <c r="I189" s="48" t="s">
        <v>58</v>
      </c>
      <c r="J189" s="48" t="s">
        <v>58</v>
      </c>
      <c r="K189" s="26" t="s">
        <v>139</v>
      </c>
      <c r="L189" s="26" t="s">
        <v>1379</v>
      </c>
      <c r="M189" s="26" t="s">
        <v>1379</v>
      </c>
      <c r="N189" s="26" t="s">
        <v>1379</v>
      </c>
      <c r="O189" s="26" t="s">
        <v>1379</v>
      </c>
      <c r="P189" s="26" t="s">
        <v>1379</v>
      </c>
      <c r="Q189" s="48" t="s">
        <v>61</v>
      </c>
      <c r="R189" s="48" t="s">
        <v>61</v>
      </c>
      <c r="S189" s="48" t="s">
        <v>59</v>
      </c>
      <c r="T189" s="48" t="s">
        <v>59</v>
      </c>
      <c r="U189" s="48">
        <v>67</v>
      </c>
      <c r="V189" s="48">
        <v>89</v>
      </c>
      <c r="W189" s="48" t="s">
        <v>59</v>
      </c>
      <c r="X189" s="48" t="s">
        <v>59</v>
      </c>
      <c r="Y189" s="69">
        <v>7.19</v>
      </c>
      <c r="Z189" s="69">
        <v>1.42</v>
      </c>
      <c r="AA189" s="69" t="s">
        <v>61</v>
      </c>
      <c r="AB189" s="69" t="s">
        <v>61</v>
      </c>
      <c r="AC189" s="69" t="s">
        <v>61</v>
      </c>
      <c r="AD189" s="69">
        <v>7</v>
      </c>
      <c r="AE189" s="69">
        <v>1.21</v>
      </c>
      <c r="AF189" s="69" t="s">
        <v>61</v>
      </c>
      <c r="AG189" s="69" t="s">
        <v>61</v>
      </c>
      <c r="AH189" s="69" t="s">
        <v>61</v>
      </c>
      <c r="AI189" s="69" t="s">
        <v>59</v>
      </c>
      <c r="AJ189" s="69" t="s">
        <v>59</v>
      </c>
      <c r="AK189" s="69" t="s">
        <v>59</v>
      </c>
      <c r="AL189" s="69" t="s">
        <v>59</v>
      </c>
      <c r="AM189" s="69" t="s">
        <v>59</v>
      </c>
      <c r="AN189" s="69" t="s">
        <v>59</v>
      </c>
      <c r="AO189" s="69" t="s">
        <v>59</v>
      </c>
      <c r="AP189" s="69" t="s">
        <v>59</v>
      </c>
      <c r="AQ189" s="69" t="s">
        <v>59</v>
      </c>
      <c r="AR189" s="69" t="s">
        <v>59</v>
      </c>
      <c r="AS189" s="69" t="s">
        <v>61</v>
      </c>
      <c r="AT189" s="69" t="s">
        <v>64</v>
      </c>
      <c r="AU189" s="69" t="s">
        <v>59</v>
      </c>
      <c r="AV189" s="69" t="s">
        <v>59</v>
      </c>
      <c r="AW189" s="69" t="s">
        <v>59</v>
      </c>
      <c r="AX189" s="69" t="s">
        <v>59</v>
      </c>
      <c r="AY189" s="48">
        <v>67</v>
      </c>
      <c r="AZ189" s="48">
        <v>89</v>
      </c>
      <c r="BA189" s="69" t="s">
        <v>59</v>
      </c>
      <c r="BB189" s="69" t="s">
        <v>59</v>
      </c>
      <c r="BC189" s="69">
        <v>7.4</v>
      </c>
      <c r="BD189" s="225">
        <v>0.74</v>
      </c>
      <c r="BE189" s="69" t="s">
        <v>61</v>
      </c>
      <c r="BF189" s="69">
        <v>2</v>
      </c>
      <c r="BG189" s="48">
        <v>1</v>
      </c>
      <c r="BH189" s="69" t="s">
        <v>61</v>
      </c>
      <c r="BI189" s="69" t="s">
        <v>61</v>
      </c>
      <c r="BJ189" s="69" t="s">
        <v>61</v>
      </c>
      <c r="BK189" s="69" t="s">
        <v>61</v>
      </c>
      <c r="BL189" s="69" t="s">
        <v>61</v>
      </c>
      <c r="BM189" s="69" t="s">
        <v>61</v>
      </c>
      <c r="BN189" s="69" t="s">
        <v>61</v>
      </c>
      <c r="BO189" s="69" t="s">
        <v>61</v>
      </c>
      <c r="BP189" s="69">
        <v>6.9</v>
      </c>
      <c r="BQ189" s="225">
        <v>0.62</v>
      </c>
      <c r="BR189" s="69" t="s">
        <v>61</v>
      </c>
      <c r="BS189" s="69">
        <v>2</v>
      </c>
      <c r="BT189" s="26">
        <v>1</v>
      </c>
      <c r="BU189" s="69" t="s">
        <v>61</v>
      </c>
      <c r="BV189" s="69" t="s">
        <v>61</v>
      </c>
      <c r="BW189" s="69" t="s">
        <v>61</v>
      </c>
      <c r="BX189" s="69" t="s">
        <v>61</v>
      </c>
      <c r="BY189" s="69" t="s">
        <v>61</v>
      </c>
      <c r="BZ189" s="69" t="s">
        <v>61</v>
      </c>
      <c r="CA189" s="69" t="s">
        <v>61</v>
      </c>
      <c r="CB189" s="69" t="s">
        <v>61</v>
      </c>
      <c r="CC189" s="69" t="s">
        <v>59</v>
      </c>
      <c r="CD189" s="69" t="s">
        <v>59</v>
      </c>
      <c r="CE189" s="69" t="s">
        <v>59</v>
      </c>
      <c r="CF189" s="69"/>
      <c r="CG189" s="69"/>
      <c r="CH189" s="69" t="s">
        <v>59</v>
      </c>
      <c r="CI189" s="69" t="s">
        <v>59</v>
      </c>
      <c r="CJ189" s="69" t="s">
        <v>59</v>
      </c>
      <c r="CK189" s="69" t="s">
        <v>59</v>
      </c>
      <c r="CL189" s="69" t="s">
        <v>59</v>
      </c>
      <c r="CM189" s="69" t="s">
        <v>59</v>
      </c>
      <c r="CN189" s="69" t="s">
        <v>59</v>
      </c>
      <c r="CO189" s="69" t="s">
        <v>59</v>
      </c>
      <c r="CP189" s="69" t="s">
        <v>59</v>
      </c>
      <c r="CQ189" s="69" t="s">
        <v>59</v>
      </c>
      <c r="CR189" s="69" t="s">
        <v>59</v>
      </c>
      <c r="CS189" s="69"/>
      <c r="CT189" s="69"/>
      <c r="CU189" s="69" t="s">
        <v>59</v>
      </c>
      <c r="CV189" s="69" t="s">
        <v>59</v>
      </c>
      <c r="CW189" s="69" t="s">
        <v>59</v>
      </c>
      <c r="CX189" s="69" t="s">
        <v>59</v>
      </c>
      <c r="CY189" s="69" t="s">
        <v>59</v>
      </c>
      <c r="CZ189" s="69" t="s">
        <v>59</v>
      </c>
      <c r="DA189" s="69" t="s">
        <v>59</v>
      </c>
      <c r="DB189" s="69" t="s">
        <v>59</v>
      </c>
      <c r="DC189" s="69">
        <v>6</v>
      </c>
      <c r="DD189" s="55"/>
      <c r="DG189" s="43" t="s">
        <v>61</v>
      </c>
      <c r="DH189" s="43" t="s">
        <v>61</v>
      </c>
      <c r="DI189" s="43" t="s">
        <v>61</v>
      </c>
      <c r="DJ189" s="43" t="s">
        <v>61</v>
      </c>
    </row>
    <row r="190" spans="1:114" s="43" customFormat="1" ht="14">
      <c r="A190" s="49" t="s">
        <v>316</v>
      </c>
      <c r="B190" s="43">
        <v>12431</v>
      </c>
      <c r="C190" s="34">
        <v>2</v>
      </c>
      <c r="D190" s="43">
        <v>1</v>
      </c>
      <c r="E190" s="48" t="s">
        <v>58</v>
      </c>
      <c r="F190" s="48">
        <v>51</v>
      </c>
      <c r="G190" s="48">
        <f t="shared" si="2"/>
        <v>326</v>
      </c>
      <c r="H190" s="48">
        <f t="shared" si="3"/>
        <v>6.3921568627450984</v>
      </c>
      <c r="I190" s="48" t="s">
        <v>139</v>
      </c>
      <c r="J190" s="48" t="s">
        <v>58</v>
      </c>
      <c r="K190" s="26" t="s">
        <v>58</v>
      </c>
      <c r="L190" s="26" t="s">
        <v>139</v>
      </c>
      <c r="M190" s="26" t="s">
        <v>58</v>
      </c>
      <c r="N190" s="26" t="s">
        <v>3519</v>
      </c>
      <c r="O190" s="26" t="s">
        <v>139</v>
      </c>
      <c r="P190" s="26" t="s">
        <v>139</v>
      </c>
      <c r="Q190" s="48" t="s">
        <v>61</v>
      </c>
      <c r="R190" s="48" t="s">
        <v>61</v>
      </c>
      <c r="S190" s="48" t="s">
        <v>59</v>
      </c>
      <c r="T190" s="48" t="s">
        <v>59</v>
      </c>
      <c r="U190" s="48">
        <v>202</v>
      </c>
      <c r="V190" s="48">
        <v>134</v>
      </c>
      <c r="W190" s="48" t="s">
        <v>59</v>
      </c>
      <c r="X190" s="48" t="s">
        <v>59</v>
      </c>
      <c r="Y190" s="69">
        <v>7.7</v>
      </c>
      <c r="Z190" s="69">
        <v>0.7</v>
      </c>
      <c r="AA190" s="69" t="s">
        <v>61</v>
      </c>
      <c r="AB190" s="69" t="s">
        <v>61</v>
      </c>
      <c r="AC190" s="69" t="s">
        <v>61</v>
      </c>
      <c r="AD190" s="69">
        <v>7.8</v>
      </c>
      <c r="AE190" s="69">
        <v>0.9</v>
      </c>
      <c r="AF190" s="69" t="s">
        <v>61</v>
      </c>
      <c r="AG190" s="69" t="s">
        <v>61</v>
      </c>
      <c r="AH190" s="69" t="s">
        <v>61</v>
      </c>
      <c r="AI190" s="69" t="s">
        <v>59</v>
      </c>
      <c r="AJ190" s="69" t="s">
        <v>59</v>
      </c>
      <c r="AK190" s="69" t="s">
        <v>59</v>
      </c>
      <c r="AL190" s="69" t="s">
        <v>59</v>
      </c>
      <c r="AM190" s="69" t="s">
        <v>59</v>
      </c>
      <c r="AN190" s="69" t="s">
        <v>59</v>
      </c>
      <c r="AO190" s="69" t="s">
        <v>59</v>
      </c>
      <c r="AP190" s="69" t="s">
        <v>59</v>
      </c>
      <c r="AQ190" s="69" t="s">
        <v>59</v>
      </c>
      <c r="AR190" s="69" t="s">
        <v>59</v>
      </c>
      <c r="AS190" s="69" t="s">
        <v>61</v>
      </c>
      <c r="AT190" s="69" t="s">
        <v>64</v>
      </c>
      <c r="AU190" s="69" t="s">
        <v>59</v>
      </c>
      <c r="AV190" s="69" t="s">
        <v>59</v>
      </c>
      <c r="AW190" s="69" t="s">
        <v>59</v>
      </c>
      <c r="AX190" s="69" t="s">
        <v>59</v>
      </c>
      <c r="AY190" s="69">
        <v>197</v>
      </c>
      <c r="AZ190" s="69">
        <v>129</v>
      </c>
      <c r="BA190" s="69" t="s">
        <v>59</v>
      </c>
      <c r="BB190" s="69" t="s">
        <v>59</v>
      </c>
      <c r="BC190" s="69">
        <v>7.4</v>
      </c>
      <c r="BD190" s="69">
        <v>1</v>
      </c>
      <c r="BE190" s="69" t="s">
        <v>61</v>
      </c>
      <c r="BF190" s="26">
        <v>0</v>
      </c>
      <c r="BG190" s="48">
        <v>1</v>
      </c>
      <c r="BH190" s="69" t="s">
        <v>61</v>
      </c>
      <c r="BI190" s="69" t="s">
        <v>61</v>
      </c>
      <c r="BJ190" s="69" t="s">
        <v>61</v>
      </c>
      <c r="BK190" s="69" t="s">
        <v>61</v>
      </c>
      <c r="BL190" s="69" t="s">
        <v>61</v>
      </c>
      <c r="BM190" s="69" t="s">
        <v>61</v>
      </c>
      <c r="BN190" s="69" t="s">
        <v>61</v>
      </c>
      <c r="BO190" s="69" t="s">
        <v>61</v>
      </c>
      <c r="BP190" s="69">
        <v>7.3</v>
      </c>
      <c r="BQ190" s="69">
        <v>0.7</v>
      </c>
      <c r="BR190" s="69" t="s">
        <v>61</v>
      </c>
      <c r="BS190" s="26">
        <v>0</v>
      </c>
      <c r="BT190" s="26">
        <v>1</v>
      </c>
      <c r="BU190" s="69" t="s">
        <v>61</v>
      </c>
      <c r="BV190" s="69" t="s">
        <v>61</v>
      </c>
      <c r="BW190" s="69" t="s">
        <v>61</v>
      </c>
      <c r="BX190" s="69" t="s">
        <v>61</v>
      </c>
      <c r="BY190" s="69" t="s">
        <v>61</v>
      </c>
      <c r="BZ190" s="69" t="s">
        <v>61</v>
      </c>
      <c r="CA190" s="69" t="s">
        <v>61</v>
      </c>
      <c r="CB190" s="69" t="s">
        <v>61</v>
      </c>
      <c r="CC190" s="69" t="s">
        <v>59</v>
      </c>
      <c r="CD190" s="69" t="s">
        <v>59</v>
      </c>
      <c r="CE190" s="69" t="s">
        <v>59</v>
      </c>
      <c r="CF190" s="69"/>
      <c r="CG190" s="69"/>
      <c r="CH190" s="69" t="s">
        <v>59</v>
      </c>
      <c r="CI190" s="69" t="s">
        <v>59</v>
      </c>
      <c r="CJ190" s="69" t="s">
        <v>59</v>
      </c>
      <c r="CK190" s="69" t="s">
        <v>59</v>
      </c>
      <c r="CL190" s="69" t="s">
        <v>59</v>
      </c>
      <c r="CM190" s="69" t="s">
        <v>59</v>
      </c>
      <c r="CN190" s="69" t="s">
        <v>59</v>
      </c>
      <c r="CO190" s="69" t="s">
        <v>59</v>
      </c>
      <c r="CP190" s="69" t="s">
        <v>59</v>
      </c>
      <c r="CQ190" s="69" t="s">
        <v>59</v>
      </c>
      <c r="CR190" s="69" t="s">
        <v>59</v>
      </c>
      <c r="CS190" s="69"/>
      <c r="CT190" s="69"/>
      <c r="CU190" s="69" t="s">
        <v>59</v>
      </c>
      <c r="CV190" s="69" t="s">
        <v>59</v>
      </c>
      <c r="CW190" s="69" t="s">
        <v>59</v>
      </c>
      <c r="CX190" s="69" t="s">
        <v>59</v>
      </c>
      <c r="CY190" s="69" t="s">
        <v>59</v>
      </c>
      <c r="CZ190" s="69" t="s">
        <v>59</v>
      </c>
      <c r="DA190" s="69" t="s">
        <v>59</v>
      </c>
      <c r="DB190" s="69" t="s">
        <v>59</v>
      </c>
      <c r="DC190" s="69">
        <v>14</v>
      </c>
      <c r="DD190" s="55"/>
      <c r="DG190" s="43">
        <v>0.13</v>
      </c>
      <c r="DH190" s="43">
        <v>0.1734</v>
      </c>
      <c r="DI190" s="43" t="s">
        <v>317</v>
      </c>
      <c r="DJ190" s="43">
        <v>0.221</v>
      </c>
    </row>
    <row r="191" spans="1:114" s="43" customFormat="1">
      <c r="A191" s="51" t="s">
        <v>288</v>
      </c>
      <c r="B191" s="51">
        <v>10362</v>
      </c>
      <c r="C191" s="34">
        <v>2</v>
      </c>
      <c r="D191" s="43">
        <v>1</v>
      </c>
      <c r="E191" s="48" t="s">
        <v>58</v>
      </c>
      <c r="F191" s="48">
        <v>76</v>
      </c>
      <c r="G191" s="48">
        <f t="shared" si="2"/>
        <v>2130</v>
      </c>
      <c r="H191" s="48">
        <f t="shared" si="3"/>
        <v>28.026315789473685</v>
      </c>
      <c r="I191" s="48" t="s">
        <v>139</v>
      </c>
      <c r="J191" s="48" t="s">
        <v>58</v>
      </c>
      <c r="K191" s="26" t="s">
        <v>58</v>
      </c>
      <c r="L191" s="26" t="s">
        <v>139</v>
      </c>
      <c r="M191" s="26" t="s">
        <v>139</v>
      </c>
      <c r="N191" s="26" t="s">
        <v>3525</v>
      </c>
      <c r="O191" s="26" t="s">
        <v>139</v>
      </c>
      <c r="P191" s="26" t="s">
        <v>139</v>
      </c>
      <c r="Q191" s="48" t="s">
        <v>61</v>
      </c>
      <c r="R191" s="48" t="s">
        <v>61</v>
      </c>
      <c r="S191" s="48" t="s">
        <v>59</v>
      </c>
      <c r="T191" s="48" t="s">
        <v>59</v>
      </c>
      <c r="U191" s="48">
        <v>1000</v>
      </c>
      <c r="V191" s="48">
        <v>1130</v>
      </c>
      <c r="W191" s="48" t="s">
        <v>59</v>
      </c>
      <c r="X191" s="48" t="s">
        <v>59</v>
      </c>
      <c r="Y191" s="48">
        <v>7.39</v>
      </c>
      <c r="Z191" s="225">
        <v>1.21</v>
      </c>
      <c r="AA191" s="48" t="s">
        <v>61</v>
      </c>
      <c r="AB191" s="48" t="s">
        <v>61</v>
      </c>
      <c r="AC191" s="48" t="s">
        <v>61</v>
      </c>
      <c r="AD191" s="48">
        <v>7.45</v>
      </c>
      <c r="AE191" s="26">
        <v>1.2</v>
      </c>
      <c r="AF191" s="48" t="s">
        <v>61</v>
      </c>
      <c r="AG191" s="48" t="s">
        <v>61</v>
      </c>
      <c r="AH191" s="48" t="s">
        <v>61</v>
      </c>
      <c r="AI191" s="48" t="s">
        <v>59</v>
      </c>
      <c r="AJ191" s="48" t="s">
        <v>59</v>
      </c>
      <c r="AK191" s="48" t="s">
        <v>59</v>
      </c>
      <c r="AL191" s="48" t="s">
        <v>59</v>
      </c>
      <c r="AM191" s="48" t="s">
        <v>59</v>
      </c>
      <c r="AN191" s="48" t="s">
        <v>59</v>
      </c>
      <c r="AO191" s="48" t="s">
        <v>59</v>
      </c>
      <c r="AP191" s="48" t="s">
        <v>59</v>
      </c>
      <c r="AQ191" s="48" t="s">
        <v>59</v>
      </c>
      <c r="AR191" s="48" t="s">
        <v>59</v>
      </c>
      <c r="AS191" s="48" t="s">
        <v>61</v>
      </c>
      <c r="AT191" s="48" t="s">
        <v>64</v>
      </c>
      <c r="AU191" s="48" t="s">
        <v>59</v>
      </c>
      <c r="AV191" s="48" t="s">
        <v>59</v>
      </c>
      <c r="AW191" s="48" t="s">
        <v>59</v>
      </c>
      <c r="AX191" s="48" t="s">
        <v>59</v>
      </c>
      <c r="AY191" s="48">
        <v>1000</v>
      </c>
      <c r="AZ191" s="48">
        <v>1130</v>
      </c>
      <c r="BA191" s="48" t="s">
        <v>59</v>
      </c>
      <c r="BB191" s="48" t="s">
        <v>59</v>
      </c>
      <c r="BC191" s="48">
        <v>7.51</v>
      </c>
      <c r="BD191" s="225">
        <v>1.1299999999999999</v>
      </c>
      <c r="BE191" s="48" t="s">
        <v>61</v>
      </c>
      <c r="BF191" s="48">
        <v>2</v>
      </c>
      <c r="BG191" s="48">
        <v>1</v>
      </c>
      <c r="BH191" s="48" t="s">
        <v>61</v>
      </c>
      <c r="BI191" s="48" t="s">
        <v>61</v>
      </c>
      <c r="BJ191" s="48">
        <v>0.12</v>
      </c>
      <c r="BK191" s="48" t="s">
        <v>61</v>
      </c>
      <c r="BL191" s="48" t="s">
        <v>61</v>
      </c>
      <c r="BM191" s="48" t="s">
        <v>61</v>
      </c>
      <c r="BN191" s="48" t="s">
        <v>61</v>
      </c>
      <c r="BO191" s="48" t="s">
        <v>61</v>
      </c>
      <c r="BP191" s="48">
        <v>7.52</v>
      </c>
      <c r="BQ191" s="225">
        <v>0.86</v>
      </c>
      <c r="BR191" s="48" t="s">
        <v>61</v>
      </c>
      <c r="BS191" s="48">
        <v>2</v>
      </c>
      <c r="BT191" s="26">
        <v>1</v>
      </c>
      <c r="BU191" s="48" t="s">
        <v>61</v>
      </c>
      <c r="BV191" s="48" t="s">
        <v>61</v>
      </c>
      <c r="BW191" s="48">
        <v>7.0000000000000007E-2</v>
      </c>
      <c r="BX191" s="48" t="s">
        <v>61</v>
      </c>
      <c r="BY191" s="48" t="s">
        <v>61</v>
      </c>
      <c r="BZ191" s="48" t="s">
        <v>61</v>
      </c>
      <c r="CA191" s="48" t="s">
        <v>61</v>
      </c>
      <c r="CB191" s="48" t="s">
        <v>61</v>
      </c>
      <c r="CC191" s="48" t="s">
        <v>59</v>
      </c>
      <c r="CD191" s="48" t="s">
        <v>59</v>
      </c>
      <c r="CE191" s="48" t="s">
        <v>59</v>
      </c>
      <c r="CF191" s="48"/>
      <c r="CG191" s="48"/>
      <c r="CH191" s="48" t="s">
        <v>59</v>
      </c>
      <c r="CI191" s="48" t="s">
        <v>59</v>
      </c>
      <c r="CJ191" s="48" t="s">
        <v>59</v>
      </c>
      <c r="CK191" s="48" t="s">
        <v>59</v>
      </c>
      <c r="CL191" s="48" t="s">
        <v>59</v>
      </c>
      <c r="CM191" s="48" t="s">
        <v>59</v>
      </c>
      <c r="CN191" s="48" t="s">
        <v>59</v>
      </c>
      <c r="CO191" s="48" t="s">
        <v>59</v>
      </c>
      <c r="CP191" s="48" t="s">
        <v>59</v>
      </c>
      <c r="CQ191" s="48" t="s">
        <v>59</v>
      </c>
      <c r="CR191" s="48" t="s">
        <v>59</v>
      </c>
      <c r="CS191" s="48"/>
      <c r="CT191" s="48"/>
      <c r="CU191" s="48" t="s">
        <v>59</v>
      </c>
      <c r="CV191" s="48" t="s">
        <v>59</v>
      </c>
      <c r="CW191" s="48" t="s">
        <v>59</v>
      </c>
      <c r="CX191" s="48" t="s">
        <v>59</v>
      </c>
      <c r="CY191" s="48" t="s">
        <v>59</v>
      </c>
      <c r="CZ191" s="48" t="s">
        <v>59</v>
      </c>
      <c r="DA191" s="48" t="s">
        <v>59</v>
      </c>
      <c r="DB191" s="48" t="s">
        <v>59</v>
      </c>
      <c r="DC191" s="48">
        <v>15</v>
      </c>
      <c r="DD191" s="55"/>
      <c r="DG191" s="43">
        <v>0.05</v>
      </c>
      <c r="DH191" s="43">
        <v>4.91</v>
      </c>
      <c r="DI191" s="43" t="s">
        <v>289</v>
      </c>
      <c r="DJ191" s="43">
        <v>6.5000000000000002E-2</v>
      </c>
    </row>
    <row r="192" spans="1:114" s="43" customFormat="1">
      <c r="A192" s="34" t="s">
        <v>86</v>
      </c>
      <c r="B192" s="34">
        <v>5164</v>
      </c>
      <c r="C192" s="34">
        <v>2</v>
      </c>
      <c r="D192" s="43">
        <v>1</v>
      </c>
      <c r="E192" s="26" t="s">
        <v>58</v>
      </c>
      <c r="F192" s="26">
        <v>30</v>
      </c>
      <c r="G192" s="48">
        <f t="shared" si="2"/>
        <v>1640</v>
      </c>
      <c r="H192" s="48">
        <f t="shared" si="3"/>
        <v>54.666666666666664</v>
      </c>
      <c r="I192" s="19" t="s">
        <v>139</v>
      </c>
      <c r="J192" s="48" t="s">
        <v>58</v>
      </c>
      <c r="K192" s="26" t="s">
        <v>58</v>
      </c>
      <c r="L192" s="26" t="s">
        <v>139</v>
      </c>
      <c r="M192" s="26" t="s">
        <v>58</v>
      </c>
      <c r="N192" s="26" t="s">
        <v>3515</v>
      </c>
      <c r="O192" s="26" t="s">
        <v>139</v>
      </c>
      <c r="P192" s="26" t="s">
        <v>139</v>
      </c>
      <c r="Q192" s="26" t="s">
        <v>61</v>
      </c>
      <c r="R192" s="26" t="s">
        <v>61</v>
      </c>
      <c r="S192" s="26" t="s">
        <v>60</v>
      </c>
      <c r="T192" s="26" t="s">
        <v>60</v>
      </c>
      <c r="U192" s="26">
        <v>818</v>
      </c>
      <c r="V192" s="26">
        <v>822</v>
      </c>
      <c r="W192" s="26" t="s">
        <v>60</v>
      </c>
      <c r="X192" s="26" t="s">
        <v>60</v>
      </c>
      <c r="Y192" s="26">
        <v>7.1</v>
      </c>
      <c r="Z192" s="26">
        <v>1.2</v>
      </c>
      <c r="AA192" s="26" t="s">
        <v>61</v>
      </c>
      <c r="AB192" s="26" t="s">
        <v>61</v>
      </c>
      <c r="AC192" s="27" t="s">
        <v>61</v>
      </c>
      <c r="AD192" s="26">
        <v>7</v>
      </c>
      <c r="AE192" s="26">
        <v>1.1000000000000001</v>
      </c>
      <c r="AF192" s="26" t="s">
        <v>61</v>
      </c>
      <c r="AG192" s="26" t="s">
        <v>61</v>
      </c>
      <c r="AH192" s="27" t="s">
        <v>61</v>
      </c>
      <c r="AI192" s="26" t="s">
        <v>60</v>
      </c>
      <c r="AJ192" s="26" t="s">
        <v>60</v>
      </c>
      <c r="AK192" s="26" t="s">
        <v>59</v>
      </c>
      <c r="AL192" s="26" t="s">
        <v>59</v>
      </c>
      <c r="AM192" s="26" t="s">
        <v>59</v>
      </c>
      <c r="AN192" s="26" t="s">
        <v>60</v>
      </c>
      <c r="AO192" s="26" t="s">
        <v>60</v>
      </c>
      <c r="AP192" s="26" t="s">
        <v>59</v>
      </c>
      <c r="AQ192" s="26" t="s">
        <v>59</v>
      </c>
      <c r="AR192" s="26" t="s">
        <v>59</v>
      </c>
      <c r="AS192" s="26" t="s">
        <v>61</v>
      </c>
      <c r="AT192" s="26" t="s">
        <v>64</v>
      </c>
      <c r="AU192" s="26" t="s">
        <v>59</v>
      </c>
      <c r="AV192" s="26" t="s">
        <v>59</v>
      </c>
      <c r="AW192" s="26" t="s">
        <v>59</v>
      </c>
      <c r="AX192" s="26" t="s">
        <v>59</v>
      </c>
      <c r="AY192" s="26">
        <v>818</v>
      </c>
      <c r="AZ192" s="26">
        <v>822</v>
      </c>
      <c r="BA192" s="26" t="s">
        <v>60</v>
      </c>
      <c r="BB192" s="26" t="s">
        <v>60</v>
      </c>
      <c r="BC192" s="26">
        <v>7</v>
      </c>
      <c r="BD192" s="26">
        <v>1</v>
      </c>
      <c r="BE192" s="26" t="s">
        <v>61</v>
      </c>
      <c r="BF192" s="26">
        <v>0</v>
      </c>
      <c r="BG192" s="48">
        <v>1</v>
      </c>
      <c r="BH192" s="27" t="s">
        <v>61</v>
      </c>
      <c r="BI192" s="27" t="s">
        <v>61</v>
      </c>
      <c r="BJ192" s="26" t="s">
        <v>61</v>
      </c>
      <c r="BK192" s="26" t="s">
        <v>61</v>
      </c>
      <c r="BL192" s="26" t="s">
        <v>61</v>
      </c>
      <c r="BM192" s="26" t="s">
        <v>61</v>
      </c>
      <c r="BN192" s="26" t="s">
        <v>61</v>
      </c>
      <c r="BO192" s="26" t="s">
        <v>61</v>
      </c>
      <c r="BP192" s="26">
        <v>6.9</v>
      </c>
      <c r="BQ192" s="26">
        <v>0.9</v>
      </c>
      <c r="BR192" s="26" t="s">
        <v>61</v>
      </c>
      <c r="BS192" s="26">
        <v>0</v>
      </c>
      <c r="BT192" s="26">
        <v>1</v>
      </c>
      <c r="BU192" s="27" t="s">
        <v>61</v>
      </c>
      <c r="BV192" s="27" t="s">
        <v>61</v>
      </c>
      <c r="BW192" s="26" t="s">
        <v>61</v>
      </c>
      <c r="BX192" s="26" t="s">
        <v>61</v>
      </c>
      <c r="BY192" s="27" t="s">
        <v>61</v>
      </c>
      <c r="BZ192" s="26" t="s">
        <v>61</v>
      </c>
      <c r="CA192" s="27" t="s">
        <v>61</v>
      </c>
      <c r="CB192" s="26" t="s">
        <v>61</v>
      </c>
      <c r="CC192" s="26" t="s">
        <v>60</v>
      </c>
      <c r="CD192" s="26" t="s">
        <v>60</v>
      </c>
      <c r="CE192" s="26" t="s">
        <v>59</v>
      </c>
      <c r="CF192" s="26"/>
      <c r="CG192" s="26"/>
      <c r="CH192" s="26" t="s">
        <v>59</v>
      </c>
      <c r="CI192" s="26" t="s">
        <v>59</v>
      </c>
      <c r="CJ192" s="26" t="s">
        <v>59</v>
      </c>
      <c r="CK192" s="26" t="s">
        <v>59</v>
      </c>
      <c r="CL192" s="26" t="s">
        <v>59</v>
      </c>
      <c r="CM192" s="26" t="s">
        <v>59</v>
      </c>
      <c r="CN192" s="26" t="s">
        <v>59</v>
      </c>
      <c r="CO192" s="26" t="s">
        <v>59</v>
      </c>
      <c r="CP192" s="26" t="s">
        <v>60</v>
      </c>
      <c r="CQ192" s="26" t="s">
        <v>60</v>
      </c>
      <c r="CR192" s="26" t="s">
        <v>59</v>
      </c>
      <c r="CS192" s="26"/>
      <c r="CT192" s="26"/>
      <c r="CU192" s="26" t="s">
        <v>59</v>
      </c>
      <c r="CV192" s="26" t="s">
        <v>59</v>
      </c>
      <c r="CW192" s="26" t="s">
        <v>59</v>
      </c>
      <c r="CX192" s="26" t="s">
        <v>59</v>
      </c>
      <c r="CY192" s="26" t="s">
        <v>59</v>
      </c>
      <c r="CZ192" s="26" t="s">
        <v>59</v>
      </c>
      <c r="DA192" s="26" t="s">
        <v>59</v>
      </c>
      <c r="DB192" s="26" t="s">
        <v>59</v>
      </c>
      <c r="DC192" s="26">
        <v>12</v>
      </c>
      <c r="DD192" s="29" t="s">
        <v>87</v>
      </c>
      <c r="DE192" s="29" t="s">
        <v>61</v>
      </c>
      <c r="DF192" s="29" t="s">
        <v>61</v>
      </c>
      <c r="DG192" s="26">
        <v>0.1</v>
      </c>
      <c r="DH192" s="30">
        <v>0.6</v>
      </c>
      <c r="DI192" s="29" t="s">
        <v>88</v>
      </c>
      <c r="DJ192" s="26">
        <v>0.1</v>
      </c>
    </row>
    <row r="193" spans="1:114" s="43" customFormat="1" ht="14">
      <c r="A193" s="49" t="s">
        <v>319</v>
      </c>
      <c r="B193" s="43">
        <v>12624</v>
      </c>
      <c r="C193" s="34">
        <v>2</v>
      </c>
      <c r="D193" s="43">
        <v>1</v>
      </c>
      <c r="E193" s="48" t="s">
        <v>58</v>
      </c>
      <c r="F193" s="48">
        <v>14</v>
      </c>
      <c r="G193" s="48">
        <f t="shared" si="2"/>
        <v>697</v>
      </c>
      <c r="H193" s="48">
        <f t="shared" si="3"/>
        <v>49.785714285714285</v>
      </c>
      <c r="I193" s="48" t="s">
        <v>58</v>
      </c>
      <c r="J193" s="48" t="s">
        <v>58</v>
      </c>
      <c r="K193" s="26" t="s">
        <v>139</v>
      </c>
      <c r="L193" s="26" t="s">
        <v>1379</v>
      </c>
      <c r="M193" s="26" t="s">
        <v>1379</v>
      </c>
      <c r="N193" s="26" t="s">
        <v>1379</v>
      </c>
      <c r="O193" s="26" t="s">
        <v>1379</v>
      </c>
      <c r="P193" s="26" t="s">
        <v>1379</v>
      </c>
      <c r="Q193" s="48" t="s">
        <v>61</v>
      </c>
      <c r="R193" s="48" t="s">
        <v>61</v>
      </c>
      <c r="S193" s="48" t="s">
        <v>59</v>
      </c>
      <c r="T193" s="48" t="s">
        <v>59</v>
      </c>
      <c r="U193" s="48">
        <v>332</v>
      </c>
      <c r="V193" s="48">
        <v>365</v>
      </c>
      <c r="W193" s="48" t="s">
        <v>59</v>
      </c>
      <c r="X193" s="48" t="s">
        <v>59</v>
      </c>
      <c r="Y193" s="69">
        <v>7.8</v>
      </c>
      <c r="Z193" s="69">
        <v>1.52</v>
      </c>
      <c r="AA193" s="69" t="s">
        <v>61</v>
      </c>
      <c r="AB193" s="69" t="s">
        <v>61</v>
      </c>
      <c r="AC193" s="69" t="s">
        <v>61</v>
      </c>
      <c r="AD193" s="69">
        <v>7.88</v>
      </c>
      <c r="AE193" s="69">
        <v>1.38</v>
      </c>
      <c r="AF193" s="69" t="s">
        <v>61</v>
      </c>
      <c r="AG193" s="69" t="s">
        <v>61</v>
      </c>
      <c r="AH193" s="69" t="s">
        <v>61</v>
      </c>
      <c r="AI193" s="69" t="s">
        <v>59</v>
      </c>
      <c r="AJ193" s="69" t="s">
        <v>59</v>
      </c>
      <c r="AK193" s="69" t="s">
        <v>59</v>
      </c>
      <c r="AL193" s="69" t="s">
        <v>59</v>
      </c>
      <c r="AM193" s="69" t="s">
        <v>59</v>
      </c>
      <c r="AN193" s="69" t="s">
        <v>59</v>
      </c>
      <c r="AO193" s="69" t="s">
        <v>59</v>
      </c>
      <c r="AP193" s="69" t="s">
        <v>59</v>
      </c>
      <c r="AQ193" s="69" t="s">
        <v>59</v>
      </c>
      <c r="AR193" s="69" t="s">
        <v>59</v>
      </c>
      <c r="AS193" s="69" t="s">
        <v>61</v>
      </c>
      <c r="AT193" s="69" t="s">
        <v>64</v>
      </c>
      <c r="AU193" s="69" t="s">
        <v>59</v>
      </c>
      <c r="AV193" s="69" t="s">
        <v>59</v>
      </c>
      <c r="AW193" s="69" t="s">
        <v>59</v>
      </c>
      <c r="AX193" s="69" t="s">
        <v>59</v>
      </c>
      <c r="AY193" s="69">
        <v>332</v>
      </c>
      <c r="AZ193" s="69">
        <v>365</v>
      </c>
      <c r="BA193" s="69" t="s">
        <v>59</v>
      </c>
      <c r="BB193" s="69" t="s">
        <v>59</v>
      </c>
      <c r="BC193" s="69">
        <v>7.71</v>
      </c>
      <c r="BD193" s="69">
        <v>1.37</v>
      </c>
      <c r="BE193" s="69" t="s">
        <v>61</v>
      </c>
      <c r="BF193" s="26">
        <v>0</v>
      </c>
      <c r="BG193" s="48">
        <v>1</v>
      </c>
      <c r="BH193" s="69" t="s">
        <v>61</v>
      </c>
      <c r="BI193" s="69" t="s">
        <v>61</v>
      </c>
      <c r="BJ193" s="69">
        <v>-0.09</v>
      </c>
      <c r="BK193" s="69" t="s">
        <v>61</v>
      </c>
      <c r="BL193" s="69" t="s">
        <v>61</v>
      </c>
      <c r="BM193" s="69" t="s">
        <v>61</v>
      </c>
      <c r="BN193" s="69" t="s">
        <v>61</v>
      </c>
      <c r="BO193" s="69" t="s">
        <v>61</v>
      </c>
      <c r="BP193" s="69">
        <v>7.19</v>
      </c>
      <c r="BQ193" s="69">
        <v>0.93</v>
      </c>
      <c r="BR193" s="69" t="s">
        <v>61</v>
      </c>
      <c r="BS193" s="26">
        <v>0</v>
      </c>
      <c r="BT193" s="26">
        <v>1</v>
      </c>
      <c r="BU193" s="69" t="s">
        <v>61</v>
      </c>
      <c r="BV193" s="69" t="s">
        <v>61</v>
      </c>
      <c r="BW193" s="69">
        <v>-0.69</v>
      </c>
      <c r="BX193" s="69" t="s">
        <v>61</v>
      </c>
      <c r="BY193" s="69" t="s">
        <v>61</v>
      </c>
      <c r="BZ193" s="69" t="s">
        <v>61</v>
      </c>
      <c r="CA193" s="69" t="s">
        <v>61</v>
      </c>
      <c r="CB193" s="69">
        <v>1E-3</v>
      </c>
      <c r="CC193" s="69" t="s">
        <v>59</v>
      </c>
      <c r="CD193" s="69" t="s">
        <v>59</v>
      </c>
      <c r="CE193" s="69" t="s">
        <v>59</v>
      </c>
      <c r="CF193" s="69"/>
      <c r="CG193" s="69"/>
      <c r="CH193" s="69" t="s">
        <v>59</v>
      </c>
      <c r="CI193" s="69" t="s">
        <v>59</v>
      </c>
      <c r="CJ193" s="69" t="s">
        <v>59</v>
      </c>
      <c r="CK193" s="69" t="s">
        <v>59</v>
      </c>
      <c r="CL193" s="69" t="s">
        <v>59</v>
      </c>
      <c r="CM193" s="69" t="s">
        <v>59</v>
      </c>
      <c r="CN193" s="69" t="s">
        <v>59</v>
      </c>
      <c r="CO193" s="69" t="s">
        <v>59</v>
      </c>
      <c r="CP193" s="69" t="s">
        <v>59</v>
      </c>
      <c r="CQ193" s="69" t="s">
        <v>59</v>
      </c>
      <c r="CR193" s="69" t="s">
        <v>59</v>
      </c>
      <c r="CS193" s="69"/>
      <c r="CT193" s="69"/>
      <c r="CU193" s="69" t="s">
        <v>59</v>
      </c>
      <c r="CV193" s="69" t="s">
        <v>59</v>
      </c>
      <c r="CW193" s="69" t="s">
        <v>59</v>
      </c>
      <c r="CX193" s="69" t="s">
        <v>59</v>
      </c>
      <c r="CY193" s="69" t="s">
        <v>59</v>
      </c>
      <c r="CZ193" s="69" t="s">
        <v>59</v>
      </c>
      <c r="DA193" s="69" t="s">
        <v>59</v>
      </c>
      <c r="DB193" s="69" t="s">
        <v>59</v>
      </c>
      <c r="DC193" s="69">
        <v>18</v>
      </c>
      <c r="DD193" s="55"/>
      <c r="DG193" s="43" t="s">
        <v>61</v>
      </c>
      <c r="DH193" s="43" t="s">
        <v>61</v>
      </c>
      <c r="DI193" s="43" t="s">
        <v>61</v>
      </c>
      <c r="DJ193" s="43" t="s">
        <v>61</v>
      </c>
    </row>
    <row r="194" spans="1:114" s="43" customFormat="1" ht="14">
      <c r="A194" s="49" t="s">
        <v>432</v>
      </c>
      <c r="B194" s="43">
        <v>11241</v>
      </c>
      <c r="C194" s="34">
        <v>2</v>
      </c>
      <c r="D194" s="43">
        <v>1</v>
      </c>
      <c r="E194" s="48" t="s">
        <v>58</v>
      </c>
      <c r="F194" s="48">
        <v>318</v>
      </c>
      <c r="G194" s="48">
        <f t="shared" ref="G194:G242" si="4">SUM(AY194:BB194)</f>
        <v>2739</v>
      </c>
      <c r="H194" s="48">
        <f t="shared" si="3"/>
        <v>8.6132075471698109</v>
      </c>
      <c r="I194" s="48" t="s">
        <v>58</v>
      </c>
      <c r="J194" s="48" t="s">
        <v>58</v>
      </c>
      <c r="K194" s="26" t="s">
        <v>58</v>
      </c>
      <c r="L194" s="26" t="s">
        <v>139</v>
      </c>
      <c r="M194" s="26" t="s">
        <v>58</v>
      </c>
      <c r="N194" s="26" t="s">
        <v>3531</v>
      </c>
      <c r="O194" s="26" t="s">
        <v>139</v>
      </c>
      <c r="P194" s="26" t="s">
        <v>139</v>
      </c>
      <c r="Q194" s="48" t="s">
        <v>61</v>
      </c>
      <c r="R194" s="48" t="s">
        <v>61</v>
      </c>
      <c r="S194" s="48" t="s">
        <v>59</v>
      </c>
      <c r="T194" s="48" t="s">
        <v>59</v>
      </c>
      <c r="U194" s="48">
        <v>1298</v>
      </c>
      <c r="V194" s="48">
        <v>1591</v>
      </c>
      <c r="W194" s="48" t="s">
        <v>59</v>
      </c>
      <c r="X194" s="48" t="s">
        <v>59</v>
      </c>
      <c r="Y194" s="69">
        <v>7</v>
      </c>
      <c r="Z194" s="69">
        <v>1.5</v>
      </c>
      <c r="AA194" s="69" t="s">
        <v>61</v>
      </c>
      <c r="AB194" s="69">
        <v>6.6</v>
      </c>
      <c r="AC194" s="69" t="s">
        <v>433</v>
      </c>
      <c r="AD194" s="69">
        <v>7</v>
      </c>
      <c r="AE194" s="69">
        <v>1.6</v>
      </c>
      <c r="AF194" s="69" t="s">
        <v>61</v>
      </c>
      <c r="AG194" s="69">
        <v>6.5</v>
      </c>
      <c r="AH194" s="69" t="s">
        <v>433</v>
      </c>
      <c r="AI194" s="69" t="s">
        <v>59</v>
      </c>
      <c r="AJ194" s="69" t="s">
        <v>59</v>
      </c>
      <c r="AK194" s="69" t="s">
        <v>59</v>
      </c>
      <c r="AL194" s="69" t="s">
        <v>59</v>
      </c>
      <c r="AM194" s="69" t="s">
        <v>59</v>
      </c>
      <c r="AN194" s="69" t="s">
        <v>59</v>
      </c>
      <c r="AO194" s="69" t="s">
        <v>59</v>
      </c>
      <c r="AP194" s="69" t="s">
        <v>59</v>
      </c>
      <c r="AQ194" s="69" t="s">
        <v>59</v>
      </c>
      <c r="AR194" s="69" t="s">
        <v>59</v>
      </c>
      <c r="AS194" s="69" t="s">
        <v>61</v>
      </c>
      <c r="AT194" s="69" t="s">
        <v>64</v>
      </c>
      <c r="AU194" s="69" t="s">
        <v>59</v>
      </c>
      <c r="AV194" s="69" t="s">
        <v>59</v>
      </c>
      <c r="AW194" s="69" t="s">
        <v>59</v>
      </c>
      <c r="AX194" s="69" t="s">
        <v>59</v>
      </c>
      <c r="AY194" s="69">
        <v>1226</v>
      </c>
      <c r="AZ194" s="69">
        <v>1513</v>
      </c>
      <c r="BA194" s="69" t="s">
        <v>59</v>
      </c>
      <c r="BB194" s="69" t="s">
        <v>59</v>
      </c>
      <c r="BC194" s="69">
        <v>6.7</v>
      </c>
      <c r="BD194" s="69">
        <v>0.95</v>
      </c>
      <c r="BE194" s="69" t="s">
        <v>61</v>
      </c>
      <c r="BF194" s="69">
        <v>0</v>
      </c>
      <c r="BG194" s="48">
        <v>1</v>
      </c>
      <c r="BH194" s="69">
        <v>6.5</v>
      </c>
      <c r="BI194" s="69" t="s">
        <v>434</v>
      </c>
      <c r="BJ194" s="69" t="s">
        <v>61</v>
      </c>
      <c r="BK194" s="69" t="s">
        <v>61</v>
      </c>
      <c r="BL194" s="69" t="s">
        <v>61</v>
      </c>
      <c r="BM194" s="69" t="s">
        <v>61</v>
      </c>
      <c r="BN194" s="69" t="s">
        <v>61</v>
      </c>
      <c r="BO194" s="69" t="s">
        <v>61</v>
      </c>
      <c r="BP194" s="69">
        <v>6.6</v>
      </c>
      <c r="BQ194" s="69">
        <v>0.95</v>
      </c>
      <c r="BR194" s="69" t="s">
        <v>61</v>
      </c>
      <c r="BS194" s="69">
        <v>0</v>
      </c>
      <c r="BT194" s="26">
        <v>1</v>
      </c>
      <c r="BU194" s="69">
        <v>6.4</v>
      </c>
      <c r="BV194" s="69" t="s">
        <v>435</v>
      </c>
      <c r="BW194" s="69" t="s">
        <v>61</v>
      </c>
      <c r="BX194" s="69" t="s">
        <v>61</v>
      </c>
      <c r="BY194" s="69" t="s">
        <v>61</v>
      </c>
      <c r="BZ194" s="69" t="s">
        <v>61</v>
      </c>
      <c r="CA194" s="69" t="s">
        <v>61</v>
      </c>
      <c r="CB194" s="69" t="s">
        <v>61</v>
      </c>
      <c r="CC194" s="69" t="s">
        <v>59</v>
      </c>
      <c r="CD194" s="69" t="s">
        <v>59</v>
      </c>
      <c r="CE194" s="69" t="s">
        <v>59</v>
      </c>
      <c r="CF194" s="69"/>
      <c r="CG194" s="69"/>
      <c r="CH194" s="69" t="s">
        <v>59</v>
      </c>
      <c r="CI194" s="69" t="s">
        <v>59</v>
      </c>
      <c r="CJ194" s="69" t="s">
        <v>59</v>
      </c>
      <c r="CK194" s="69" t="s">
        <v>59</v>
      </c>
      <c r="CL194" s="69" t="s">
        <v>59</v>
      </c>
      <c r="CM194" s="69" t="s">
        <v>59</v>
      </c>
      <c r="CN194" s="69" t="s">
        <v>59</v>
      </c>
      <c r="CO194" s="69" t="s">
        <v>59</v>
      </c>
      <c r="CP194" s="69" t="s">
        <v>59</v>
      </c>
      <c r="CQ194" s="69" t="s">
        <v>59</v>
      </c>
      <c r="CR194" s="69" t="s">
        <v>59</v>
      </c>
      <c r="CS194" s="69"/>
      <c r="CT194" s="69"/>
      <c r="CU194" s="69" t="s">
        <v>59</v>
      </c>
      <c r="CV194" s="69" t="s">
        <v>59</v>
      </c>
      <c r="CW194" s="69" t="s">
        <v>59</v>
      </c>
      <c r="CX194" s="69" t="s">
        <v>59</v>
      </c>
      <c r="CY194" s="69" t="s">
        <v>59</v>
      </c>
      <c r="CZ194" s="69" t="s">
        <v>59</v>
      </c>
      <c r="DA194" s="69" t="s">
        <v>59</v>
      </c>
      <c r="DB194" s="69" t="s">
        <v>59</v>
      </c>
      <c r="DC194" s="69">
        <v>60</v>
      </c>
      <c r="DD194" s="55"/>
      <c r="DG194" s="31">
        <v>-0.08</v>
      </c>
      <c r="DH194" s="31" t="s">
        <v>3522</v>
      </c>
      <c r="DI194" s="31" t="s">
        <v>3536</v>
      </c>
      <c r="DJ194" s="31" t="s">
        <v>61</v>
      </c>
    </row>
    <row r="195" spans="1:114" s="43" customFormat="1">
      <c r="A195" s="49" t="s">
        <v>275</v>
      </c>
      <c r="B195" s="43">
        <v>10143</v>
      </c>
      <c r="C195" s="43">
        <v>4</v>
      </c>
      <c r="D195" s="43">
        <v>1</v>
      </c>
      <c r="E195" s="48" t="s">
        <v>58</v>
      </c>
      <c r="F195" s="48">
        <v>26</v>
      </c>
      <c r="G195" s="48">
        <f t="shared" si="4"/>
        <v>149</v>
      </c>
      <c r="H195" s="48">
        <f t="shared" si="3"/>
        <v>5.7307692307692308</v>
      </c>
      <c r="I195" s="48" t="s">
        <v>139</v>
      </c>
      <c r="J195" s="48" t="s">
        <v>58</v>
      </c>
      <c r="K195" s="26" t="s">
        <v>58</v>
      </c>
      <c r="L195" s="26" t="s">
        <v>139</v>
      </c>
      <c r="M195" s="26" t="s">
        <v>139</v>
      </c>
      <c r="N195" s="26" t="s">
        <v>3516</v>
      </c>
      <c r="O195" s="26" t="s">
        <v>139</v>
      </c>
      <c r="P195" s="26" t="s">
        <v>139</v>
      </c>
      <c r="Q195" s="48" t="s">
        <v>61</v>
      </c>
      <c r="R195" s="48" t="s">
        <v>61</v>
      </c>
      <c r="S195" s="48" t="s">
        <v>61</v>
      </c>
      <c r="T195" s="48" t="s">
        <v>61</v>
      </c>
      <c r="U195" s="48">
        <v>56</v>
      </c>
      <c r="V195" s="48">
        <v>23</v>
      </c>
      <c r="W195" s="48">
        <v>22</v>
      </c>
      <c r="X195" s="48">
        <v>62</v>
      </c>
      <c r="Y195" s="48">
        <v>9.1999999999999993</v>
      </c>
      <c r="Z195" s="48">
        <v>1.7</v>
      </c>
      <c r="AA195" s="48" t="s">
        <v>61</v>
      </c>
      <c r="AB195" s="48" t="s">
        <v>61</v>
      </c>
      <c r="AC195" s="48" t="s">
        <v>61</v>
      </c>
      <c r="AD195" s="48">
        <v>9.3000000000000007</v>
      </c>
      <c r="AE195" s="48">
        <v>1.8</v>
      </c>
      <c r="AF195" s="48" t="s">
        <v>61</v>
      </c>
      <c r="AG195" s="48" t="s">
        <v>61</v>
      </c>
      <c r="AH195" s="48" t="s">
        <v>61</v>
      </c>
      <c r="AI195" s="48">
        <v>9</v>
      </c>
      <c r="AJ195" s="48">
        <v>1.8</v>
      </c>
      <c r="AK195" s="48" t="s">
        <v>61</v>
      </c>
      <c r="AL195" s="48" t="s">
        <v>61</v>
      </c>
      <c r="AM195" s="48" t="s">
        <v>61</v>
      </c>
      <c r="AN195" s="48">
        <v>9.9</v>
      </c>
      <c r="AO195" s="48">
        <v>2.1</v>
      </c>
      <c r="AP195" s="48" t="s">
        <v>61</v>
      </c>
      <c r="AQ195" s="48" t="s">
        <v>61</v>
      </c>
      <c r="AR195" s="48" t="s">
        <v>61</v>
      </c>
      <c r="AS195" s="48">
        <v>0.04</v>
      </c>
      <c r="AT195" s="48" t="s">
        <v>276</v>
      </c>
      <c r="AU195" s="48" t="s">
        <v>61</v>
      </c>
      <c r="AV195" s="48" t="s">
        <v>277</v>
      </c>
      <c r="AW195" s="48" t="s">
        <v>61</v>
      </c>
      <c r="AX195" s="48" t="s">
        <v>64</v>
      </c>
      <c r="AY195" s="48">
        <v>51</v>
      </c>
      <c r="AZ195" s="48">
        <v>21</v>
      </c>
      <c r="BA195" s="48">
        <v>21</v>
      </c>
      <c r="BB195" s="48">
        <v>56</v>
      </c>
      <c r="BC195" s="48">
        <v>8.5</v>
      </c>
      <c r="BD195" s="48">
        <v>1.8</v>
      </c>
      <c r="BE195" s="48" t="s">
        <v>61</v>
      </c>
      <c r="BF195" s="48">
        <v>0</v>
      </c>
      <c r="BG195" s="48">
        <v>1</v>
      </c>
      <c r="BH195" s="48" t="s">
        <v>61</v>
      </c>
      <c r="BI195" s="48" t="s">
        <v>61</v>
      </c>
      <c r="BJ195" s="48">
        <v>-0.7</v>
      </c>
      <c r="BK195" s="48" t="s">
        <v>61</v>
      </c>
      <c r="BL195" s="48" t="s">
        <v>61</v>
      </c>
      <c r="BM195" s="48">
        <v>-1.1000000000000001</v>
      </c>
      <c r="BN195" s="48">
        <v>-0.3</v>
      </c>
      <c r="BO195" s="48" t="s">
        <v>61</v>
      </c>
      <c r="BP195" s="48">
        <v>7.7</v>
      </c>
      <c r="BQ195" s="48">
        <v>1</v>
      </c>
      <c r="BR195" s="48" t="s">
        <v>61</v>
      </c>
      <c r="BS195" s="48">
        <v>0</v>
      </c>
      <c r="BT195" s="26">
        <v>1</v>
      </c>
      <c r="BU195" s="48" t="s">
        <v>61</v>
      </c>
      <c r="BV195" s="48" t="s">
        <v>61</v>
      </c>
      <c r="BW195" s="48">
        <v>-1.6</v>
      </c>
      <c r="BX195" s="48" t="s">
        <v>61</v>
      </c>
      <c r="BY195" s="48" t="s">
        <v>61</v>
      </c>
      <c r="BZ195" s="48">
        <v>-2.2999999999999998</v>
      </c>
      <c r="CA195" s="48">
        <v>-1</v>
      </c>
      <c r="CB195" s="48" t="s">
        <v>61</v>
      </c>
      <c r="CC195" s="48">
        <v>7.9</v>
      </c>
      <c r="CD195" s="48">
        <v>1.4</v>
      </c>
      <c r="CE195" s="48" t="s">
        <v>61</v>
      </c>
      <c r="CF195" s="69">
        <v>0</v>
      </c>
      <c r="CG195" s="69">
        <v>1</v>
      </c>
      <c r="CH195" s="48" t="s">
        <v>61</v>
      </c>
      <c r="CI195" s="48" t="s">
        <v>61</v>
      </c>
      <c r="CJ195" s="48">
        <v>-1.2</v>
      </c>
      <c r="CK195" s="48" t="s">
        <v>61</v>
      </c>
      <c r="CL195" s="48" t="s">
        <v>61</v>
      </c>
      <c r="CM195" s="48">
        <v>-1.8</v>
      </c>
      <c r="CN195" s="48">
        <v>-0.5</v>
      </c>
      <c r="CO195" s="48" t="s">
        <v>61</v>
      </c>
      <c r="CP195" s="48">
        <v>7.9</v>
      </c>
      <c r="CQ195" s="48">
        <v>1.7</v>
      </c>
      <c r="CR195" s="48" t="s">
        <v>61</v>
      </c>
      <c r="CS195" s="48">
        <v>0</v>
      </c>
      <c r="CT195" s="43">
        <v>1</v>
      </c>
      <c r="CU195" s="48" t="s">
        <v>61</v>
      </c>
      <c r="CV195" s="48" t="s">
        <v>61</v>
      </c>
      <c r="CW195" s="48">
        <v>-1.9</v>
      </c>
      <c r="CX195" s="48" t="s">
        <v>61</v>
      </c>
      <c r="CY195" s="48" t="s">
        <v>61</v>
      </c>
      <c r="CZ195" s="48">
        <v>-2.2999999999999998</v>
      </c>
      <c r="DA195" s="48">
        <v>-1.5</v>
      </c>
      <c r="DB195" s="48" t="s">
        <v>61</v>
      </c>
      <c r="DC195" s="48">
        <v>12</v>
      </c>
      <c r="DD195" s="55"/>
      <c r="DG195" s="43" t="s">
        <v>278</v>
      </c>
      <c r="DH195" s="43" t="s">
        <v>279</v>
      </c>
      <c r="DI195" s="43" t="s">
        <v>280</v>
      </c>
      <c r="DJ195" s="43" t="s">
        <v>281</v>
      </c>
    </row>
    <row r="196" spans="1:114" s="43" customFormat="1">
      <c r="A196" s="34" t="s">
        <v>83</v>
      </c>
      <c r="B196" s="34">
        <v>5119</v>
      </c>
      <c r="C196" s="34">
        <v>2</v>
      </c>
      <c r="D196" s="43">
        <v>1</v>
      </c>
      <c r="E196" s="26" t="s">
        <v>58</v>
      </c>
      <c r="F196" s="26">
        <v>55</v>
      </c>
      <c r="G196" s="48">
        <f t="shared" si="4"/>
        <v>3391</v>
      </c>
      <c r="H196" s="48">
        <f t="shared" si="3"/>
        <v>61.654545454545456</v>
      </c>
      <c r="I196" s="19" t="s">
        <v>58</v>
      </c>
      <c r="J196" s="48" t="s">
        <v>58</v>
      </c>
      <c r="K196" s="26" t="s">
        <v>58</v>
      </c>
      <c r="L196" s="26" t="s">
        <v>139</v>
      </c>
      <c r="M196" s="26" t="s">
        <v>139</v>
      </c>
      <c r="N196" s="26" t="s">
        <v>3518</v>
      </c>
      <c r="O196" s="26" t="s">
        <v>139</v>
      </c>
      <c r="P196" s="26" t="s">
        <v>139</v>
      </c>
      <c r="Q196" s="26" t="s">
        <v>61</v>
      </c>
      <c r="R196" s="26" t="s">
        <v>61</v>
      </c>
      <c r="S196" s="26" t="s">
        <v>60</v>
      </c>
      <c r="T196" s="26" t="s">
        <v>60</v>
      </c>
      <c r="U196" s="26">
        <v>1692</v>
      </c>
      <c r="V196" s="26">
        <v>1699</v>
      </c>
      <c r="W196" s="26" t="s">
        <v>60</v>
      </c>
      <c r="X196" s="26" t="s">
        <v>60</v>
      </c>
      <c r="Y196" s="26">
        <v>7</v>
      </c>
      <c r="Z196" s="26">
        <v>1.1000000000000001</v>
      </c>
      <c r="AA196" s="26" t="s">
        <v>61</v>
      </c>
      <c r="AB196" s="26" t="s">
        <v>61</v>
      </c>
      <c r="AC196" s="27" t="s">
        <v>61</v>
      </c>
      <c r="AD196" s="26">
        <v>7.1</v>
      </c>
      <c r="AE196" s="26">
        <v>1.3</v>
      </c>
      <c r="AF196" s="26" t="s">
        <v>61</v>
      </c>
      <c r="AG196" s="26" t="s">
        <v>61</v>
      </c>
      <c r="AH196" s="27" t="s">
        <v>61</v>
      </c>
      <c r="AI196" s="26" t="s">
        <v>60</v>
      </c>
      <c r="AJ196" s="26" t="s">
        <v>60</v>
      </c>
      <c r="AK196" s="26" t="s">
        <v>59</v>
      </c>
      <c r="AL196" s="26" t="s">
        <v>59</v>
      </c>
      <c r="AM196" s="26" t="s">
        <v>59</v>
      </c>
      <c r="AN196" s="26" t="s">
        <v>60</v>
      </c>
      <c r="AO196" s="26" t="s">
        <v>60</v>
      </c>
      <c r="AP196" s="26" t="s">
        <v>59</v>
      </c>
      <c r="AQ196" s="26" t="s">
        <v>59</v>
      </c>
      <c r="AR196" s="26" t="s">
        <v>59</v>
      </c>
      <c r="AS196" s="26" t="s">
        <v>61</v>
      </c>
      <c r="AT196" s="26" t="s">
        <v>64</v>
      </c>
      <c r="AU196" s="26" t="s">
        <v>59</v>
      </c>
      <c r="AV196" s="26" t="s">
        <v>59</v>
      </c>
      <c r="AW196" s="26" t="s">
        <v>59</v>
      </c>
      <c r="AX196" s="26" t="s">
        <v>59</v>
      </c>
      <c r="AY196" s="26">
        <v>1692</v>
      </c>
      <c r="AZ196" s="26">
        <v>1699</v>
      </c>
      <c r="BA196" s="26" t="s">
        <v>60</v>
      </c>
      <c r="BB196" s="26" t="s">
        <v>60</v>
      </c>
      <c r="BC196" s="26">
        <v>6.9</v>
      </c>
      <c r="BD196" s="26">
        <v>1</v>
      </c>
      <c r="BE196" s="26" t="s">
        <v>61</v>
      </c>
      <c r="BF196" s="26">
        <v>0</v>
      </c>
      <c r="BG196" s="48">
        <v>1</v>
      </c>
      <c r="BH196" s="27" t="s">
        <v>61</v>
      </c>
      <c r="BI196" s="27" t="s">
        <v>61</v>
      </c>
      <c r="BJ196" s="26" t="s">
        <v>61</v>
      </c>
      <c r="BK196" s="26" t="s">
        <v>61</v>
      </c>
      <c r="BL196" s="26" t="s">
        <v>61</v>
      </c>
      <c r="BM196" s="26" t="s">
        <v>61</v>
      </c>
      <c r="BN196" s="26" t="s">
        <v>61</v>
      </c>
      <c r="BO196" s="26" t="s">
        <v>61</v>
      </c>
      <c r="BP196" s="26">
        <v>6.9</v>
      </c>
      <c r="BQ196" s="26">
        <v>1.1000000000000001</v>
      </c>
      <c r="BR196" s="26" t="s">
        <v>61</v>
      </c>
      <c r="BS196" s="26">
        <v>0</v>
      </c>
      <c r="BT196" s="26">
        <v>1</v>
      </c>
      <c r="BU196" s="27" t="s">
        <v>61</v>
      </c>
      <c r="BV196" s="27" t="s">
        <v>61</v>
      </c>
      <c r="BW196" s="26" t="s">
        <v>61</v>
      </c>
      <c r="BX196" s="26" t="s">
        <v>61</v>
      </c>
      <c r="BY196" s="27" t="s">
        <v>61</v>
      </c>
      <c r="BZ196" s="26" t="s">
        <v>61</v>
      </c>
      <c r="CA196" s="27" t="s">
        <v>61</v>
      </c>
      <c r="CB196" s="26" t="s">
        <v>61</v>
      </c>
      <c r="CC196" s="26" t="s">
        <v>60</v>
      </c>
      <c r="CD196" s="26" t="s">
        <v>60</v>
      </c>
      <c r="CE196" s="26" t="s">
        <v>59</v>
      </c>
      <c r="CF196" s="26"/>
      <c r="CG196" s="26"/>
      <c r="CH196" s="26" t="s">
        <v>59</v>
      </c>
      <c r="CI196" s="26" t="s">
        <v>59</v>
      </c>
      <c r="CJ196" s="26" t="s">
        <v>59</v>
      </c>
      <c r="CK196" s="26" t="s">
        <v>59</v>
      </c>
      <c r="CL196" s="26" t="s">
        <v>59</v>
      </c>
      <c r="CM196" s="26" t="s">
        <v>59</v>
      </c>
      <c r="CN196" s="26" t="s">
        <v>59</v>
      </c>
      <c r="CO196" s="26" t="s">
        <v>59</v>
      </c>
      <c r="CP196" s="26" t="s">
        <v>60</v>
      </c>
      <c r="CQ196" s="26" t="s">
        <v>60</v>
      </c>
      <c r="CR196" s="26" t="s">
        <v>59</v>
      </c>
      <c r="CS196" s="26"/>
      <c r="CT196" s="26"/>
      <c r="CU196" s="26" t="s">
        <v>59</v>
      </c>
      <c r="CV196" s="26" t="s">
        <v>59</v>
      </c>
      <c r="CW196" s="26" t="s">
        <v>59</v>
      </c>
      <c r="CX196" s="26" t="s">
        <v>59</v>
      </c>
      <c r="CY196" s="26" t="s">
        <v>59</v>
      </c>
      <c r="CZ196" s="26" t="s">
        <v>59</v>
      </c>
      <c r="DA196" s="26" t="s">
        <v>59</v>
      </c>
      <c r="DB196" s="26" t="s">
        <v>59</v>
      </c>
      <c r="DC196" s="26">
        <v>12</v>
      </c>
      <c r="DD196" s="29" t="s">
        <v>84</v>
      </c>
      <c r="DE196" s="29" t="s">
        <v>61</v>
      </c>
      <c r="DF196" s="29" t="s">
        <v>61</v>
      </c>
      <c r="DG196" s="31">
        <v>7.0000000000000007E-2</v>
      </c>
      <c r="DH196" s="208" t="s">
        <v>3537</v>
      </c>
      <c r="DI196" s="32" t="s">
        <v>85</v>
      </c>
      <c r="DJ196" s="31" t="s">
        <v>61</v>
      </c>
    </row>
    <row r="197" spans="1:114" s="43" customFormat="1" ht="14">
      <c r="A197" s="49" t="s">
        <v>284</v>
      </c>
      <c r="B197" s="43">
        <v>10189</v>
      </c>
      <c r="C197" s="34">
        <v>2</v>
      </c>
      <c r="D197" s="43">
        <v>1</v>
      </c>
      <c r="E197" s="48" t="s">
        <v>58</v>
      </c>
      <c r="F197" s="48">
        <v>66</v>
      </c>
      <c r="G197" s="48">
        <f t="shared" si="4"/>
        <v>288</v>
      </c>
      <c r="H197" s="48">
        <f t="shared" si="3"/>
        <v>4.3636363636363633</v>
      </c>
      <c r="I197" s="26" t="s">
        <v>58</v>
      </c>
      <c r="J197" s="26" t="s">
        <v>58</v>
      </c>
      <c r="K197" s="26" t="s">
        <v>139</v>
      </c>
      <c r="L197" s="26" t="s">
        <v>1379</v>
      </c>
      <c r="M197" s="26" t="s">
        <v>1379</v>
      </c>
      <c r="N197" s="26" t="s">
        <v>1379</v>
      </c>
      <c r="O197" s="26" t="s">
        <v>1379</v>
      </c>
      <c r="P197" s="26" t="s">
        <v>1379</v>
      </c>
      <c r="Q197" s="48" t="s">
        <v>61</v>
      </c>
      <c r="R197" s="48" t="s">
        <v>61</v>
      </c>
      <c r="S197" s="48" t="s">
        <v>59</v>
      </c>
      <c r="T197" s="48" t="s">
        <v>59</v>
      </c>
      <c r="U197" s="48">
        <v>135</v>
      </c>
      <c r="V197" s="48">
        <v>153</v>
      </c>
      <c r="W197" s="48" t="s">
        <v>59</v>
      </c>
      <c r="X197" s="48" t="s">
        <v>59</v>
      </c>
      <c r="Y197" s="69">
        <v>7.3</v>
      </c>
      <c r="Z197" s="69">
        <v>1.2</v>
      </c>
      <c r="AA197" s="69" t="s">
        <v>61</v>
      </c>
      <c r="AB197" s="69" t="s">
        <v>61</v>
      </c>
      <c r="AC197" s="69" t="s">
        <v>61</v>
      </c>
      <c r="AD197" s="69">
        <v>7.7</v>
      </c>
      <c r="AE197" s="69">
        <v>1.7</v>
      </c>
      <c r="AF197" s="69" t="s">
        <v>61</v>
      </c>
      <c r="AG197" s="69" t="s">
        <v>61</v>
      </c>
      <c r="AH197" s="69" t="s">
        <v>61</v>
      </c>
      <c r="AI197" s="69" t="s">
        <v>59</v>
      </c>
      <c r="AJ197" s="69" t="s">
        <v>59</v>
      </c>
      <c r="AK197" s="69" t="s">
        <v>59</v>
      </c>
      <c r="AL197" s="69" t="s">
        <v>59</v>
      </c>
      <c r="AM197" s="69" t="s">
        <v>59</v>
      </c>
      <c r="AN197" s="69" t="s">
        <v>59</v>
      </c>
      <c r="AO197" s="69" t="s">
        <v>59</v>
      </c>
      <c r="AP197" s="69" t="s">
        <v>59</v>
      </c>
      <c r="AQ197" s="69" t="s">
        <v>59</v>
      </c>
      <c r="AR197" s="69" t="s">
        <v>59</v>
      </c>
      <c r="AS197" s="69">
        <v>0.08</v>
      </c>
      <c r="AT197" s="69" t="s">
        <v>64</v>
      </c>
      <c r="AU197" s="69" t="s">
        <v>59</v>
      </c>
      <c r="AV197" s="69" t="s">
        <v>59</v>
      </c>
      <c r="AW197" s="69" t="s">
        <v>59</v>
      </c>
      <c r="AX197" s="69" t="s">
        <v>59</v>
      </c>
      <c r="AY197" s="69">
        <v>135</v>
      </c>
      <c r="AZ197" s="69">
        <v>153</v>
      </c>
      <c r="BA197" s="69" t="s">
        <v>59</v>
      </c>
      <c r="BB197" s="69" t="s">
        <v>59</v>
      </c>
      <c r="BC197" s="69">
        <v>7.2</v>
      </c>
      <c r="BD197" s="69">
        <v>1</v>
      </c>
      <c r="BE197" s="69" t="s">
        <v>61</v>
      </c>
      <c r="BF197" s="26">
        <v>0</v>
      </c>
      <c r="BG197" s="48">
        <v>1</v>
      </c>
      <c r="BH197" s="69" t="s">
        <v>61</v>
      </c>
      <c r="BI197" s="69" t="s">
        <v>61</v>
      </c>
      <c r="BJ197" s="69">
        <v>-0.2</v>
      </c>
      <c r="BK197" s="69" t="s">
        <v>61</v>
      </c>
      <c r="BL197" s="69" t="s">
        <v>61</v>
      </c>
      <c r="BM197" s="69">
        <v>-0.4</v>
      </c>
      <c r="BN197" s="69">
        <v>-0.1</v>
      </c>
      <c r="BO197" s="69">
        <v>0.16200000000000001</v>
      </c>
      <c r="BP197" s="69">
        <v>7.1</v>
      </c>
      <c r="BQ197" s="69">
        <v>1.1000000000000001</v>
      </c>
      <c r="BR197" s="69" t="s">
        <v>61</v>
      </c>
      <c r="BS197" s="26">
        <v>0</v>
      </c>
      <c r="BT197" s="26">
        <v>1</v>
      </c>
      <c r="BU197" s="69" t="s">
        <v>61</v>
      </c>
      <c r="BV197" s="69" t="s">
        <v>61</v>
      </c>
      <c r="BW197" s="69">
        <v>-0.6</v>
      </c>
      <c r="BX197" s="69" t="s">
        <v>61</v>
      </c>
      <c r="BY197" s="69" t="s">
        <v>61</v>
      </c>
      <c r="BZ197" s="69">
        <v>-0.9</v>
      </c>
      <c r="CA197" s="69">
        <v>-0.3</v>
      </c>
      <c r="CB197" s="69" t="s">
        <v>119</v>
      </c>
      <c r="CC197" s="69" t="s">
        <v>59</v>
      </c>
      <c r="CD197" s="69" t="s">
        <v>59</v>
      </c>
      <c r="CE197" s="69" t="s">
        <v>59</v>
      </c>
      <c r="CF197" s="69"/>
      <c r="CG197" s="69"/>
      <c r="CH197" s="69" t="s">
        <v>59</v>
      </c>
      <c r="CI197" s="69" t="s">
        <v>59</v>
      </c>
      <c r="CJ197" s="69" t="s">
        <v>59</v>
      </c>
      <c r="CK197" s="69" t="s">
        <v>59</v>
      </c>
      <c r="CL197" s="69" t="s">
        <v>59</v>
      </c>
      <c r="CM197" s="69" t="s">
        <v>59</v>
      </c>
      <c r="CN197" s="69" t="s">
        <v>59</v>
      </c>
      <c r="CO197" s="69" t="s">
        <v>59</v>
      </c>
      <c r="CP197" s="69" t="s">
        <v>59</v>
      </c>
      <c r="CQ197" s="69" t="s">
        <v>59</v>
      </c>
      <c r="CR197" s="69" t="s">
        <v>59</v>
      </c>
      <c r="CS197" s="69"/>
      <c r="CT197" s="69"/>
      <c r="CU197" s="69" t="s">
        <v>59</v>
      </c>
      <c r="CV197" s="69" t="s">
        <v>59</v>
      </c>
      <c r="CW197" s="69" t="s">
        <v>59</v>
      </c>
      <c r="CX197" s="69" t="s">
        <v>59</v>
      </c>
      <c r="CY197" s="69" t="s">
        <v>59</v>
      </c>
      <c r="CZ197" s="69" t="s">
        <v>59</v>
      </c>
      <c r="DA197" s="69" t="s">
        <v>59</v>
      </c>
      <c r="DB197" s="69" t="s">
        <v>59</v>
      </c>
      <c r="DC197" s="69">
        <v>6</v>
      </c>
      <c r="DD197" s="55"/>
      <c r="DG197" s="43" t="s">
        <v>61</v>
      </c>
      <c r="DH197" s="43" t="s">
        <v>61</v>
      </c>
      <c r="DI197" s="43" t="s">
        <v>61</v>
      </c>
      <c r="DJ197" s="43" t="s">
        <v>61</v>
      </c>
    </row>
    <row r="198" spans="1:114" s="168" customFormat="1" ht="14">
      <c r="A198" s="49" t="s">
        <v>314</v>
      </c>
      <c r="B198" s="43">
        <v>12420</v>
      </c>
      <c r="C198" s="34">
        <v>2</v>
      </c>
      <c r="D198" s="43">
        <v>1</v>
      </c>
      <c r="E198" s="48" t="s">
        <v>58</v>
      </c>
      <c r="F198" s="48">
        <v>20</v>
      </c>
      <c r="G198" s="48">
        <f t="shared" si="4"/>
        <v>154</v>
      </c>
      <c r="H198" s="48">
        <f t="shared" si="3"/>
        <v>7.7</v>
      </c>
      <c r="I198" s="48" t="s">
        <v>139</v>
      </c>
      <c r="J198" s="48" t="s">
        <v>58</v>
      </c>
      <c r="K198" s="26" t="s">
        <v>58</v>
      </c>
      <c r="L198" s="26" t="s">
        <v>139</v>
      </c>
      <c r="M198" s="26" t="s">
        <v>139</v>
      </c>
      <c r="N198" s="26" t="s">
        <v>3525</v>
      </c>
      <c r="O198" s="26" t="s">
        <v>139</v>
      </c>
      <c r="P198" s="26" t="s">
        <v>139</v>
      </c>
      <c r="Q198" s="48" t="s">
        <v>61</v>
      </c>
      <c r="R198" s="48" t="s">
        <v>61</v>
      </c>
      <c r="S198" s="48" t="s">
        <v>59</v>
      </c>
      <c r="T198" s="48" t="s">
        <v>59</v>
      </c>
      <c r="U198" s="48">
        <v>93</v>
      </c>
      <c r="V198" s="48">
        <v>100</v>
      </c>
      <c r="W198" s="48" t="s">
        <v>59</v>
      </c>
      <c r="X198" s="48" t="s">
        <v>59</v>
      </c>
      <c r="Y198" s="69">
        <v>7.3</v>
      </c>
      <c r="Z198" s="69">
        <v>1.1000000000000001</v>
      </c>
      <c r="AA198" s="69" t="s">
        <v>61</v>
      </c>
      <c r="AB198" s="69" t="s">
        <v>61</v>
      </c>
      <c r="AC198" s="69" t="s">
        <v>61</v>
      </c>
      <c r="AD198" s="69">
        <v>7.6</v>
      </c>
      <c r="AE198" s="69">
        <v>1.4</v>
      </c>
      <c r="AF198" s="69" t="s">
        <v>61</v>
      </c>
      <c r="AG198" s="69" t="s">
        <v>61</v>
      </c>
      <c r="AH198" s="69" t="s">
        <v>61</v>
      </c>
      <c r="AI198" s="69" t="s">
        <v>59</v>
      </c>
      <c r="AJ198" s="69" t="s">
        <v>59</v>
      </c>
      <c r="AK198" s="69" t="s">
        <v>59</v>
      </c>
      <c r="AL198" s="69" t="s">
        <v>59</v>
      </c>
      <c r="AM198" s="69" t="s">
        <v>59</v>
      </c>
      <c r="AN198" s="69" t="s">
        <v>59</v>
      </c>
      <c r="AO198" s="69" t="s">
        <v>59</v>
      </c>
      <c r="AP198" s="69" t="s">
        <v>59</v>
      </c>
      <c r="AQ198" s="69" t="s">
        <v>59</v>
      </c>
      <c r="AR198" s="69" t="s">
        <v>59</v>
      </c>
      <c r="AS198" s="69" t="s">
        <v>61</v>
      </c>
      <c r="AT198" s="69" t="s">
        <v>64</v>
      </c>
      <c r="AU198" s="69" t="s">
        <v>59</v>
      </c>
      <c r="AV198" s="69" t="s">
        <v>59</v>
      </c>
      <c r="AW198" s="69" t="s">
        <v>59</v>
      </c>
      <c r="AX198" s="69" t="s">
        <v>59</v>
      </c>
      <c r="AY198" s="69">
        <v>70</v>
      </c>
      <c r="AZ198" s="69">
        <v>84</v>
      </c>
      <c r="BA198" s="69" t="s">
        <v>59</v>
      </c>
      <c r="BB198" s="69" t="s">
        <v>59</v>
      </c>
      <c r="BC198" s="69">
        <v>7</v>
      </c>
      <c r="BD198" s="69">
        <v>1</v>
      </c>
      <c r="BE198" s="69" t="s">
        <v>61</v>
      </c>
      <c r="BF198" s="69">
        <v>0</v>
      </c>
      <c r="BG198" s="48">
        <v>1</v>
      </c>
      <c r="BH198" s="69" t="s">
        <v>61</v>
      </c>
      <c r="BI198" s="69" t="s">
        <v>61</v>
      </c>
      <c r="BJ198" s="69">
        <v>-0.2</v>
      </c>
      <c r="BK198" s="69" t="s">
        <v>61</v>
      </c>
      <c r="BL198" s="69" t="s">
        <v>61</v>
      </c>
      <c r="BM198" s="69" t="s">
        <v>61</v>
      </c>
      <c r="BN198" s="69" t="s">
        <v>61</v>
      </c>
      <c r="BO198" s="69" t="s">
        <v>61</v>
      </c>
      <c r="BP198" s="69">
        <v>6.7</v>
      </c>
      <c r="BQ198" s="69">
        <v>1.2</v>
      </c>
      <c r="BR198" s="69" t="s">
        <v>61</v>
      </c>
      <c r="BS198" s="69">
        <v>0</v>
      </c>
      <c r="BT198" s="26">
        <v>1</v>
      </c>
      <c r="BU198" s="69" t="s">
        <v>61</v>
      </c>
      <c r="BV198" s="69" t="s">
        <v>61</v>
      </c>
      <c r="BW198" s="69">
        <v>-0.7</v>
      </c>
      <c r="BX198" s="69" t="s">
        <v>61</v>
      </c>
      <c r="BY198" s="69" t="s">
        <v>61</v>
      </c>
      <c r="BZ198" s="69" t="s">
        <v>61</v>
      </c>
      <c r="CA198" s="69" t="s">
        <v>61</v>
      </c>
      <c r="CB198" s="69" t="s">
        <v>61</v>
      </c>
      <c r="CC198" s="69" t="s">
        <v>59</v>
      </c>
      <c r="CD198" s="69" t="s">
        <v>59</v>
      </c>
      <c r="CE198" s="69" t="s">
        <v>59</v>
      </c>
      <c r="CF198" s="69"/>
      <c r="CG198" s="69"/>
      <c r="CH198" s="69" t="s">
        <v>59</v>
      </c>
      <c r="CI198" s="69" t="s">
        <v>59</v>
      </c>
      <c r="CJ198" s="69" t="s">
        <v>59</v>
      </c>
      <c r="CK198" s="69" t="s">
        <v>59</v>
      </c>
      <c r="CL198" s="69" t="s">
        <v>59</v>
      </c>
      <c r="CM198" s="69" t="s">
        <v>59</v>
      </c>
      <c r="CN198" s="69" t="s">
        <v>59</v>
      </c>
      <c r="CO198" s="69" t="s">
        <v>59</v>
      </c>
      <c r="CP198" s="69" t="s">
        <v>59</v>
      </c>
      <c r="CQ198" s="69" t="s">
        <v>59</v>
      </c>
      <c r="CR198" s="69" t="s">
        <v>59</v>
      </c>
      <c r="CS198" s="69"/>
      <c r="CT198" s="69"/>
      <c r="CU198" s="69" t="s">
        <v>59</v>
      </c>
      <c r="CV198" s="69" t="s">
        <v>59</v>
      </c>
      <c r="CW198" s="69" t="s">
        <v>59</v>
      </c>
      <c r="CX198" s="69" t="s">
        <v>59</v>
      </c>
      <c r="CY198" s="69" t="s">
        <v>59</v>
      </c>
      <c r="CZ198" s="69" t="s">
        <v>59</v>
      </c>
      <c r="DA198" s="69" t="s">
        <v>59</v>
      </c>
      <c r="DB198" s="69" t="s">
        <v>59</v>
      </c>
      <c r="DC198" s="69">
        <v>6</v>
      </c>
      <c r="DD198" s="55"/>
      <c r="DE198" s="43"/>
      <c r="DF198" s="43"/>
      <c r="DG198" s="43">
        <v>-0.5</v>
      </c>
      <c r="DH198" s="43">
        <v>0.17</v>
      </c>
      <c r="DI198" s="43" t="s">
        <v>315</v>
      </c>
      <c r="DJ198" s="43">
        <v>0.03</v>
      </c>
    </row>
    <row r="199" spans="1:114" s="43" customFormat="1" ht="14">
      <c r="A199" s="49" t="s">
        <v>324</v>
      </c>
      <c r="B199" s="43">
        <v>12810</v>
      </c>
      <c r="C199" s="34">
        <v>2</v>
      </c>
      <c r="D199" s="43">
        <v>1</v>
      </c>
      <c r="E199" s="48" t="s">
        <v>58</v>
      </c>
      <c r="F199" s="48">
        <v>30</v>
      </c>
      <c r="G199" s="48">
        <f t="shared" si="4"/>
        <v>303</v>
      </c>
      <c r="H199" s="48">
        <f t="shared" si="3"/>
        <v>10.1</v>
      </c>
      <c r="I199" s="48" t="s">
        <v>139</v>
      </c>
      <c r="J199" s="48" t="s">
        <v>58</v>
      </c>
      <c r="K199" s="26" t="s">
        <v>58</v>
      </c>
      <c r="L199" s="26" t="s">
        <v>139</v>
      </c>
      <c r="M199" s="26" t="s">
        <v>58</v>
      </c>
      <c r="N199" s="26" t="s">
        <v>3525</v>
      </c>
      <c r="O199" s="26" t="s">
        <v>139</v>
      </c>
      <c r="P199" s="26" t="s">
        <v>58</v>
      </c>
      <c r="Q199" s="48">
        <v>1E-3</v>
      </c>
      <c r="R199" s="48">
        <v>1E-3</v>
      </c>
      <c r="S199" s="48" t="s">
        <v>59</v>
      </c>
      <c r="T199" s="48" t="s">
        <v>59</v>
      </c>
      <c r="U199" s="48">
        <v>164</v>
      </c>
      <c r="V199" s="48">
        <v>162</v>
      </c>
      <c r="W199" s="48" t="s">
        <v>59</v>
      </c>
      <c r="X199" s="48" t="s">
        <v>59</v>
      </c>
      <c r="Y199" s="69">
        <v>7.6</v>
      </c>
      <c r="Z199" s="69">
        <v>1.1000000000000001</v>
      </c>
      <c r="AA199" s="69" t="s">
        <v>61</v>
      </c>
      <c r="AB199" s="69" t="s">
        <v>61</v>
      </c>
      <c r="AC199" s="69" t="s">
        <v>61</v>
      </c>
      <c r="AD199" s="69">
        <v>7.8</v>
      </c>
      <c r="AE199" s="69">
        <v>1.5</v>
      </c>
      <c r="AF199" s="69" t="s">
        <v>61</v>
      </c>
      <c r="AG199" s="69" t="s">
        <v>61</v>
      </c>
      <c r="AH199" s="69" t="s">
        <v>61</v>
      </c>
      <c r="AI199" s="69" t="s">
        <v>59</v>
      </c>
      <c r="AJ199" s="69" t="s">
        <v>59</v>
      </c>
      <c r="AK199" s="69" t="s">
        <v>59</v>
      </c>
      <c r="AL199" s="69" t="s">
        <v>59</v>
      </c>
      <c r="AM199" s="69" t="s">
        <v>59</v>
      </c>
      <c r="AN199" s="69" t="s">
        <v>59</v>
      </c>
      <c r="AO199" s="69" t="s">
        <v>59</v>
      </c>
      <c r="AP199" s="69" t="s">
        <v>59</v>
      </c>
      <c r="AQ199" s="69" t="s">
        <v>59</v>
      </c>
      <c r="AR199" s="69" t="s">
        <v>59</v>
      </c>
      <c r="AS199" s="69" t="s">
        <v>61</v>
      </c>
      <c r="AT199" s="69" t="s">
        <v>64</v>
      </c>
      <c r="AU199" s="69" t="s">
        <v>59</v>
      </c>
      <c r="AV199" s="69" t="s">
        <v>59</v>
      </c>
      <c r="AW199" s="69" t="s">
        <v>59</v>
      </c>
      <c r="AX199" s="69" t="s">
        <v>59</v>
      </c>
      <c r="AY199" s="69">
        <v>156</v>
      </c>
      <c r="AZ199" s="69">
        <v>147</v>
      </c>
      <c r="BA199" s="69" t="s">
        <v>59</v>
      </c>
      <c r="BB199" s="69" t="s">
        <v>59</v>
      </c>
      <c r="BC199" s="69">
        <v>7.3</v>
      </c>
      <c r="BD199" s="69">
        <v>1</v>
      </c>
      <c r="BE199" s="69" t="s">
        <v>61</v>
      </c>
      <c r="BF199" s="26">
        <v>0</v>
      </c>
      <c r="BG199" s="48">
        <v>1</v>
      </c>
      <c r="BH199" s="69" t="s">
        <v>61</v>
      </c>
      <c r="BI199" s="69" t="s">
        <v>61</v>
      </c>
      <c r="BJ199" s="69">
        <v>-0.22</v>
      </c>
      <c r="BK199" s="69" t="s">
        <v>61</v>
      </c>
      <c r="BL199" s="69" t="s">
        <v>61</v>
      </c>
      <c r="BM199" s="69" t="s">
        <v>61</v>
      </c>
      <c r="BN199" s="69" t="s">
        <v>61</v>
      </c>
      <c r="BO199" s="69">
        <v>2E-3</v>
      </c>
      <c r="BP199" s="69">
        <v>7.6</v>
      </c>
      <c r="BQ199" s="69">
        <v>1.2</v>
      </c>
      <c r="BR199" s="69" t="s">
        <v>61</v>
      </c>
      <c r="BS199" s="26">
        <v>0</v>
      </c>
      <c r="BT199" s="26">
        <v>1</v>
      </c>
      <c r="BU199" s="69" t="s">
        <v>61</v>
      </c>
      <c r="BV199" s="69" t="s">
        <v>61</v>
      </c>
      <c r="BW199" s="69">
        <v>-0.27</v>
      </c>
      <c r="BX199" s="69" t="s">
        <v>61</v>
      </c>
      <c r="BY199" s="69" t="s">
        <v>61</v>
      </c>
      <c r="BZ199" s="69" t="s">
        <v>61</v>
      </c>
      <c r="CA199" s="69" t="s">
        <v>61</v>
      </c>
      <c r="CB199" s="69">
        <v>3.3000000000000002E-2</v>
      </c>
      <c r="CC199" s="69" t="s">
        <v>59</v>
      </c>
      <c r="CD199" s="69" t="s">
        <v>59</v>
      </c>
      <c r="CE199" s="69" t="s">
        <v>59</v>
      </c>
      <c r="CF199" s="69"/>
      <c r="CG199" s="69"/>
      <c r="CH199" s="69" t="s">
        <v>59</v>
      </c>
      <c r="CI199" s="69" t="s">
        <v>59</v>
      </c>
      <c r="CJ199" s="69" t="s">
        <v>59</v>
      </c>
      <c r="CK199" s="69" t="s">
        <v>59</v>
      </c>
      <c r="CL199" s="69" t="s">
        <v>59</v>
      </c>
      <c r="CM199" s="69" t="s">
        <v>59</v>
      </c>
      <c r="CN199" s="69" t="s">
        <v>59</v>
      </c>
      <c r="CO199" s="69" t="s">
        <v>59</v>
      </c>
      <c r="CP199" s="69" t="s">
        <v>59</v>
      </c>
      <c r="CQ199" s="69" t="s">
        <v>59</v>
      </c>
      <c r="CR199" s="69" t="s">
        <v>59</v>
      </c>
      <c r="CS199" s="69"/>
      <c r="CT199" s="69"/>
      <c r="CU199" s="69" t="s">
        <v>59</v>
      </c>
      <c r="CV199" s="69" t="s">
        <v>59</v>
      </c>
      <c r="CW199" s="69" t="s">
        <v>59</v>
      </c>
      <c r="CX199" s="69" t="s">
        <v>59</v>
      </c>
      <c r="CY199" s="69" t="s">
        <v>59</v>
      </c>
      <c r="CZ199" s="69" t="s">
        <v>59</v>
      </c>
      <c r="DA199" s="69" t="s">
        <v>59</v>
      </c>
      <c r="DB199" s="69" t="s">
        <v>59</v>
      </c>
      <c r="DC199" s="69">
        <v>12</v>
      </c>
      <c r="DD199" s="55"/>
      <c r="DG199" s="43">
        <v>-0.11</v>
      </c>
      <c r="DH199" s="43">
        <v>0.47</v>
      </c>
      <c r="DI199" s="43" t="s">
        <v>325</v>
      </c>
      <c r="DJ199" s="43">
        <v>0.51100000000000001</v>
      </c>
    </row>
    <row r="200" spans="1:114" s="43" customFormat="1">
      <c r="A200" s="34" t="s">
        <v>124</v>
      </c>
      <c r="B200" s="34">
        <v>6485</v>
      </c>
      <c r="C200" s="34">
        <v>2</v>
      </c>
      <c r="D200" s="43">
        <v>1</v>
      </c>
      <c r="E200" s="26" t="s">
        <v>58</v>
      </c>
      <c r="F200" s="26">
        <v>56</v>
      </c>
      <c r="G200" s="48">
        <f t="shared" si="4"/>
        <v>232</v>
      </c>
      <c r="H200" s="48">
        <f t="shared" si="3"/>
        <v>4.1428571428571432</v>
      </c>
      <c r="I200" s="48" t="s">
        <v>58</v>
      </c>
      <c r="J200" s="48" t="s">
        <v>58</v>
      </c>
      <c r="K200" s="26" t="s">
        <v>139</v>
      </c>
      <c r="L200" s="26" t="s">
        <v>1379</v>
      </c>
      <c r="M200" s="26" t="s">
        <v>1379</v>
      </c>
      <c r="N200" s="26" t="s">
        <v>1379</v>
      </c>
      <c r="O200" s="26" t="s">
        <v>1379</v>
      </c>
      <c r="P200" s="26" t="s">
        <v>1379</v>
      </c>
      <c r="Q200" s="19" t="s">
        <v>61</v>
      </c>
      <c r="R200" s="19" t="s">
        <v>61</v>
      </c>
      <c r="S200" s="26" t="s">
        <v>60</v>
      </c>
      <c r="T200" s="26" t="s">
        <v>60</v>
      </c>
      <c r="U200" s="26">
        <v>107</v>
      </c>
      <c r="V200" s="26">
        <v>125</v>
      </c>
      <c r="W200" s="26" t="s">
        <v>60</v>
      </c>
      <c r="X200" s="26" t="s">
        <v>60</v>
      </c>
      <c r="Y200" s="26">
        <v>8.3000000000000007</v>
      </c>
      <c r="Z200" s="26">
        <v>1.3</v>
      </c>
      <c r="AA200" s="26" t="s">
        <v>61</v>
      </c>
      <c r="AB200" s="26" t="s">
        <v>61</v>
      </c>
      <c r="AC200" s="27" t="s">
        <v>61</v>
      </c>
      <c r="AD200" s="26">
        <v>8.9</v>
      </c>
      <c r="AE200" s="26">
        <v>1.4</v>
      </c>
      <c r="AF200" s="26" t="s">
        <v>61</v>
      </c>
      <c r="AG200" s="26" t="s">
        <v>61</v>
      </c>
      <c r="AH200" s="27" t="s">
        <v>61</v>
      </c>
      <c r="AI200" s="26" t="s">
        <v>60</v>
      </c>
      <c r="AJ200" s="26" t="s">
        <v>60</v>
      </c>
      <c r="AK200" s="26" t="s">
        <v>59</v>
      </c>
      <c r="AL200" s="26" t="s">
        <v>59</v>
      </c>
      <c r="AM200" s="26" t="s">
        <v>59</v>
      </c>
      <c r="AN200" s="26" t="s">
        <v>60</v>
      </c>
      <c r="AO200" s="26" t="s">
        <v>60</v>
      </c>
      <c r="AP200" s="26" t="s">
        <v>59</v>
      </c>
      <c r="AQ200" s="26" t="s">
        <v>59</v>
      </c>
      <c r="AR200" s="26" t="s">
        <v>59</v>
      </c>
      <c r="AS200" s="26" t="s">
        <v>61</v>
      </c>
      <c r="AT200" s="26" t="s">
        <v>64</v>
      </c>
      <c r="AU200" s="26" t="s">
        <v>59</v>
      </c>
      <c r="AV200" s="26" t="s">
        <v>59</v>
      </c>
      <c r="AW200" s="26" t="s">
        <v>59</v>
      </c>
      <c r="AX200" s="26" t="s">
        <v>59</v>
      </c>
      <c r="AY200" s="26">
        <v>107</v>
      </c>
      <c r="AZ200" s="26">
        <v>125</v>
      </c>
      <c r="BA200" s="26" t="s">
        <v>60</v>
      </c>
      <c r="BB200" s="26" t="s">
        <v>60</v>
      </c>
      <c r="BC200" s="26">
        <v>8</v>
      </c>
      <c r="BD200" s="26">
        <v>1.2</v>
      </c>
      <c r="BE200" s="26" t="s">
        <v>61</v>
      </c>
      <c r="BF200" s="26">
        <v>0</v>
      </c>
      <c r="BG200" s="48">
        <v>1</v>
      </c>
      <c r="BH200" s="27" t="s">
        <v>61</v>
      </c>
      <c r="BI200" s="27" t="s">
        <v>61</v>
      </c>
      <c r="BJ200" s="26">
        <v>-0.3</v>
      </c>
      <c r="BK200" s="26" t="s">
        <v>61</v>
      </c>
      <c r="BL200" s="26" t="s">
        <v>61</v>
      </c>
      <c r="BM200" s="26">
        <v>-0.5</v>
      </c>
      <c r="BN200" s="26">
        <v>-3.0000000000000001E-3</v>
      </c>
      <c r="BO200" s="26" t="s">
        <v>61</v>
      </c>
      <c r="BP200" s="26">
        <v>7.9</v>
      </c>
      <c r="BQ200" s="26">
        <v>1.2</v>
      </c>
      <c r="BR200" s="26" t="s">
        <v>61</v>
      </c>
      <c r="BS200" s="26">
        <v>0</v>
      </c>
      <c r="BT200" s="26">
        <v>1</v>
      </c>
      <c r="BU200" s="27" t="s">
        <v>61</v>
      </c>
      <c r="BV200" s="27" t="s">
        <v>61</v>
      </c>
      <c r="BW200" s="26">
        <v>-1</v>
      </c>
      <c r="BX200" s="26" t="s">
        <v>61</v>
      </c>
      <c r="BY200" s="27" t="s">
        <v>61</v>
      </c>
      <c r="BZ200" s="26">
        <v>-1.3</v>
      </c>
      <c r="CA200" s="27">
        <v>-0.8</v>
      </c>
      <c r="CB200" s="26" t="s">
        <v>61</v>
      </c>
      <c r="CC200" s="26" t="s">
        <v>60</v>
      </c>
      <c r="CD200" s="26" t="s">
        <v>60</v>
      </c>
      <c r="CE200" s="26" t="s">
        <v>59</v>
      </c>
      <c r="CF200" s="26"/>
      <c r="CG200" s="26"/>
      <c r="CH200" s="26" t="s">
        <v>59</v>
      </c>
      <c r="CI200" s="26" t="s">
        <v>59</v>
      </c>
      <c r="CJ200" s="26" t="s">
        <v>59</v>
      </c>
      <c r="CK200" s="26" t="s">
        <v>59</v>
      </c>
      <c r="CL200" s="26" t="s">
        <v>59</v>
      </c>
      <c r="CM200" s="26" t="s">
        <v>59</v>
      </c>
      <c r="CN200" s="26" t="s">
        <v>59</v>
      </c>
      <c r="CO200" s="26" t="s">
        <v>59</v>
      </c>
      <c r="CP200" s="26" t="s">
        <v>60</v>
      </c>
      <c r="CQ200" s="26" t="s">
        <v>60</v>
      </c>
      <c r="CR200" s="26" t="s">
        <v>59</v>
      </c>
      <c r="CS200" s="26"/>
      <c r="CT200" s="26"/>
      <c r="CU200" s="26" t="s">
        <v>59</v>
      </c>
      <c r="CV200" s="26" t="s">
        <v>59</v>
      </c>
      <c r="CW200" s="26" t="s">
        <v>59</v>
      </c>
      <c r="CX200" s="26" t="s">
        <v>59</v>
      </c>
      <c r="CY200" s="26" t="s">
        <v>59</v>
      </c>
      <c r="CZ200" s="26" t="s">
        <v>59</v>
      </c>
      <c r="DA200" s="26" t="s">
        <v>59</v>
      </c>
      <c r="DB200" s="26" t="s">
        <v>59</v>
      </c>
      <c r="DC200" s="26">
        <v>6</v>
      </c>
      <c r="DD200" s="29"/>
      <c r="DE200" s="29" t="s">
        <v>61</v>
      </c>
      <c r="DF200" s="29" t="s">
        <v>61</v>
      </c>
      <c r="DG200" s="26" t="s">
        <v>61</v>
      </c>
      <c r="DH200" s="27" t="s">
        <v>61</v>
      </c>
      <c r="DI200" s="29" t="s">
        <v>61</v>
      </c>
      <c r="DJ200" s="26" t="s">
        <v>61</v>
      </c>
    </row>
    <row r="201" spans="1:114" s="43" customFormat="1" ht="14">
      <c r="A201" s="49" t="s">
        <v>296</v>
      </c>
      <c r="B201" s="43">
        <v>11249</v>
      </c>
      <c r="C201" s="43">
        <v>3</v>
      </c>
      <c r="D201" s="43">
        <v>1</v>
      </c>
      <c r="E201" s="48" t="s">
        <v>58</v>
      </c>
      <c r="F201" s="48">
        <v>22</v>
      </c>
      <c r="G201" s="48">
        <f t="shared" si="4"/>
        <v>1891</v>
      </c>
      <c r="H201" s="48">
        <f t="shared" si="3"/>
        <v>85.954545454545453</v>
      </c>
      <c r="I201" s="48" t="s">
        <v>58</v>
      </c>
      <c r="J201" s="48" t="s">
        <v>58</v>
      </c>
      <c r="K201" s="26" t="s">
        <v>139</v>
      </c>
      <c r="L201" s="26" t="s">
        <v>1379</v>
      </c>
      <c r="M201" s="26" t="s">
        <v>1379</v>
      </c>
      <c r="N201" s="26" t="s">
        <v>1379</v>
      </c>
      <c r="O201" s="26" t="s">
        <v>1379</v>
      </c>
      <c r="P201" s="26" t="s">
        <v>1379</v>
      </c>
      <c r="Q201" s="48" t="s">
        <v>61</v>
      </c>
      <c r="R201" s="48" t="s">
        <v>61</v>
      </c>
      <c r="S201" s="48" t="s">
        <v>59</v>
      </c>
      <c r="T201" s="48" t="s">
        <v>59</v>
      </c>
      <c r="U201" s="48">
        <v>565</v>
      </c>
      <c r="V201" s="48">
        <v>758</v>
      </c>
      <c r="W201" s="48">
        <v>568</v>
      </c>
      <c r="X201" s="48" t="s">
        <v>59</v>
      </c>
      <c r="Y201" s="69">
        <v>7.2</v>
      </c>
      <c r="Z201" s="69">
        <v>1.5</v>
      </c>
      <c r="AA201" s="69" t="s">
        <v>61</v>
      </c>
      <c r="AB201" s="69" t="s">
        <v>61</v>
      </c>
      <c r="AC201" s="69" t="s">
        <v>61</v>
      </c>
      <c r="AD201" s="69">
        <v>7.2</v>
      </c>
      <c r="AE201" s="69">
        <v>1.4</v>
      </c>
      <c r="AF201" s="69" t="s">
        <v>61</v>
      </c>
      <c r="AG201" s="69" t="s">
        <v>61</v>
      </c>
      <c r="AH201" s="69" t="s">
        <v>61</v>
      </c>
      <c r="AI201" s="69">
        <v>7.1</v>
      </c>
      <c r="AJ201" s="69">
        <v>1.4</v>
      </c>
      <c r="AK201" s="69" t="s">
        <v>61</v>
      </c>
      <c r="AL201" s="69" t="s">
        <v>61</v>
      </c>
      <c r="AM201" s="69" t="s">
        <v>61</v>
      </c>
      <c r="AN201" s="69" t="s">
        <v>59</v>
      </c>
      <c r="AO201" s="69" t="s">
        <v>59</v>
      </c>
      <c r="AP201" s="69" t="s">
        <v>59</v>
      </c>
      <c r="AQ201" s="69" t="s">
        <v>59</v>
      </c>
      <c r="AR201" s="69" t="s">
        <v>59</v>
      </c>
      <c r="AS201" s="69" t="s">
        <v>61</v>
      </c>
      <c r="AT201" s="69" t="s">
        <v>64</v>
      </c>
      <c r="AU201" s="69" t="s">
        <v>59</v>
      </c>
      <c r="AV201" s="69" t="s">
        <v>59</v>
      </c>
      <c r="AW201" s="69" t="s">
        <v>59</v>
      </c>
      <c r="AX201" s="69" t="s">
        <v>59</v>
      </c>
      <c r="AY201" s="48">
        <v>565</v>
      </c>
      <c r="AZ201" s="48">
        <v>758</v>
      </c>
      <c r="BA201" s="48">
        <v>568</v>
      </c>
      <c r="BB201" s="69" t="s">
        <v>59</v>
      </c>
      <c r="BC201" s="69">
        <v>7.2</v>
      </c>
      <c r="BD201" s="33">
        <v>1.4</v>
      </c>
      <c r="BE201" s="69" t="s">
        <v>61</v>
      </c>
      <c r="BF201" s="26">
        <v>0</v>
      </c>
      <c r="BG201" s="48">
        <v>1</v>
      </c>
      <c r="BH201" s="69" t="s">
        <v>61</v>
      </c>
      <c r="BI201" s="69" t="s">
        <v>61</v>
      </c>
      <c r="BJ201" s="69">
        <v>-0.05</v>
      </c>
      <c r="BK201" s="69">
        <v>1.28</v>
      </c>
      <c r="BL201" s="69" t="s">
        <v>61</v>
      </c>
      <c r="BM201" s="69" t="s">
        <v>61</v>
      </c>
      <c r="BN201" s="69" t="s">
        <v>61</v>
      </c>
      <c r="BO201" s="69" t="s">
        <v>61</v>
      </c>
      <c r="BP201" s="69">
        <v>7</v>
      </c>
      <c r="BQ201" s="33">
        <v>1.2</v>
      </c>
      <c r="BR201" s="69" t="s">
        <v>61</v>
      </c>
      <c r="BS201" s="26">
        <v>0</v>
      </c>
      <c r="BT201" s="26">
        <v>1</v>
      </c>
      <c r="BU201" s="69" t="s">
        <v>61</v>
      </c>
      <c r="BV201" s="69" t="s">
        <v>61</v>
      </c>
      <c r="BW201" s="69">
        <v>-0.16</v>
      </c>
      <c r="BX201" s="69">
        <v>1.44</v>
      </c>
      <c r="BY201" s="69" t="s">
        <v>61</v>
      </c>
      <c r="BZ201" s="69" t="s">
        <v>61</v>
      </c>
      <c r="CA201" s="69" t="s">
        <v>61</v>
      </c>
      <c r="CB201" s="69" t="s">
        <v>61</v>
      </c>
      <c r="CC201" s="69">
        <v>7</v>
      </c>
      <c r="CD201" s="69">
        <v>1.24</v>
      </c>
      <c r="CE201" s="69" t="s">
        <v>61</v>
      </c>
      <c r="CF201" s="69">
        <v>0</v>
      </c>
      <c r="CG201" s="69">
        <v>1</v>
      </c>
      <c r="CH201" s="69" t="s">
        <v>61</v>
      </c>
      <c r="CI201" s="69" t="s">
        <v>61</v>
      </c>
      <c r="CJ201" s="69">
        <v>-0.14000000000000001</v>
      </c>
      <c r="CK201" s="69">
        <v>1.24</v>
      </c>
      <c r="CL201" s="69" t="s">
        <v>61</v>
      </c>
      <c r="CM201" s="69" t="s">
        <v>61</v>
      </c>
      <c r="CN201" s="69" t="s">
        <v>61</v>
      </c>
      <c r="CO201" s="69" t="s">
        <v>61</v>
      </c>
      <c r="CP201" s="69" t="s">
        <v>59</v>
      </c>
      <c r="CQ201" s="69" t="s">
        <v>59</v>
      </c>
      <c r="CR201" s="69" t="s">
        <v>59</v>
      </c>
      <c r="CS201" s="69"/>
      <c r="CT201" s="69"/>
      <c r="CU201" s="69" t="s">
        <v>59</v>
      </c>
      <c r="CV201" s="69" t="s">
        <v>59</v>
      </c>
      <c r="CW201" s="69" t="s">
        <v>59</v>
      </c>
      <c r="CX201" s="69" t="s">
        <v>59</v>
      </c>
      <c r="CY201" s="69" t="s">
        <v>59</v>
      </c>
      <c r="CZ201" s="69" t="s">
        <v>59</v>
      </c>
      <c r="DA201" s="69" t="s">
        <v>59</v>
      </c>
      <c r="DB201" s="69" t="s">
        <v>59</v>
      </c>
      <c r="DC201" s="69">
        <v>24</v>
      </c>
      <c r="DD201" s="55"/>
      <c r="DG201" s="43" t="s">
        <v>297</v>
      </c>
      <c r="DH201" s="43" t="s">
        <v>297</v>
      </c>
      <c r="DI201" s="43" t="s">
        <v>298</v>
      </c>
      <c r="DJ201" s="43" t="s">
        <v>297</v>
      </c>
    </row>
    <row r="202" spans="1:114" s="43" customFormat="1">
      <c r="A202" s="37" t="s">
        <v>68</v>
      </c>
      <c r="B202" s="37">
        <v>1354</v>
      </c>
      <c r="C202" s="34">
        <v>2</v>
      </c>
      <c r="D202" s="43">
        <v>1</v>
      </c>
      <c r="E202" s="19" t="s">
        <v>58</v>
      </c>
      <c r="F202" s="19">
        <v>15</v>
      </c>
      <c r="G202" s="48">
        <f t="shared" si="4"/>
        <v>224</v>
      </c>
      <c r="H202" s="48">
        <f t="shared" si="3"/>
        <v>14.933333333333334</v>
      </c>
      <c r="I202" s="39" t="s">
        <v>58</v>
      </c>
      <c r="J202" s="48" t="s">
        <v>58</v>
      </c>
      <c r="K202" s="26" t="s">
        <v>139</v>
      </c>
      <c r="L202" s="26" t="s">
        <v>1379</v>
      </c>
      <c r="M202" s="26" t="s">
        <v>1379</v>
      </c>
      <c r="N202" s="26" t="s">
        <v>1379</v>
      </c>
      <c r="O202" s="26" t="s">
        <v>1379</v>
      </c>
      <c r="P202" s="26" t="s">
        <v>1379</v>
      </c>
      <c r="Q202" s="19" t="s">
        <v>61</v>
      </c>
      <c r="R202" s="19" t="s">
        <v>61</v>
      </c>
      <c r="S202" s="26" t="s">
        <v>59</v>
      </c>
      <c r="T202" s="26" t="s">
        <v>60</v>
      </c>
      <c r="U202" s="21" t="s">
        <v>61</v>
      </c>
      <c r="V202" s="21" t="s">
        <v>61</v>
      </c>
      <c r="W202" s="19" t="s">
        <v>59</v>
      </c>
      <c r="X202" s="19" t="s">
        <v>59</v>
      </c>
      <c r="Y202" s="21" t="s">
        <v>61</v>
      </c>
      <c r="Z202" s="21" t="s">
        <v>61</v>
      </c>
      <c r="AA202" s="21" t="s">
        <v>61</v>
      </c>
      <c r="AB202" s="21" t="s">
        <v>61</v>
      </c>
      <c r="AC202" s="21" t="s">
        <v>61</v>
      </c>
      <c r="AD202" s="21" t="s">
        <v>61</v>
      </c>
      <c r="AE202" s="21" t="s">
        <v>61</v>
      </c>
      <c r="AF202" s="21" t="s">
        <v>61</v>
      </c>
      <c r="AG202" s="21" t="s">
        <v>61</v>
      </c>
      <c r="AH202" s="21" t="s">
        <v>61</v>
      </c>
      <c r="AI202" s="19" t="s">
        <v>59</v>
      </c>
      <c r="AJ202" s="19" t="s">
        <v>59</v>
      </c>
      <c r="AK202" s="19" t="s">
        <v>59</v>
      </c>
      <c r="AL202" s="19" t="s">
        <v>59</v>
      </c>
      <c r="AM202" s="19" t="s">
        <v>59</v>
      </c>
      <c r="AN202" s="19" t="s">
        <v>59</v>
      </c>
      <c r="AO202" s="19" t="s">
        <v>59</v>
      </c>
      <c r="AP202" s="19" t="s">
        <v>59</v>
      </c>
      <c r="AQ202" s="19" t="s">
        <v>59</v>
      </c>
      <c r="AR202" s="19" t="s">
        <v>59</v>
      </c>
      <c r="AS202" s="19" t="s">
        <v>61</v>
      </c>
      <c r="AT202" s="19" t="s">
        <v>64</v>
      </c>
      <c r="AU202" s="19" t="s">
        <v>61</v>
      </c>
      <c r="AV202" s="19" t="s">
        <v>61</v>
      </c>
      <c r="AW202" s="19" t="s">
        <v>61</v>
      </c>
      <c r="AX202" s="19" t="s">
        <v>61</v>
      </c>
      <c r="AY202" s="23">
        <v>140</v>
      </c>
      <c r="AZ202" s="23">
        <v>84</v>
      </c>
      <c r="BA202" s="19" t="s">
        <v>59</v>
      </c>
      <c r="BB202" s="19" t="s">
        <v>59</v>
      </c>
      <c r="BC202" s="19">
        <v>7.5</v>
      </c>
      <c r="BD202" s="19">
        <v>1.8</v>
      </c>
      <c r="BE202" s="21" t="s">
        <v>61</v>
      </c>
      <c r="BF202" s="48">
        <v>0</v>
      </c>
      <c r="BG202" s="48">
        <v>1</v>
      </c>
      <c r="BH202" s="19" t="s">
        <v>61</v>
      </c>
      <c r="BI202" s="21" t="s">
        <v>61</v>
      </c>
      <c r="BJ202" s="21" t="s">
        <v>61</v>
      </c>
      <c r="BK202" s="21" t="s">
        <v>61</v>
      </c>
      <c r="BL202" s="21" t="s">
        <v>61</v>
      </c>
      <c r="BM202" s="21" t="s">
        <v>61</v>
      </c>
      <c r="BN202" s="21" t="s">
        <v>61</v>
      </c>
      <c r="BO202" s="21" t="s">
        <v>61</v>
      </c>
      <c r="BP202" s="19">
        <v>7.1</v>
      </c>
      <c r="BQ202" s="19">
        <v>1.2</v>
      </c>
      <c r="BR202" s="19" t="s">
        <v>61</v>
      </c>
      <c r="BS202" s="48">
        <v>0</v>
      </c>
      <c r="BT202" s="26">
        <v>1</v>
      </c>
      <c r="BU202" s="19" t="s">
        <v>61</v>
      </c>
      <c r="BV202" s="19" t="s">
        <v>61</v>
      </c>
      <c r="BW202" s="19" t="s">
        <v>61</v>
      </c>
      <c r="BX202" s="19" t="s">
        <v>61</v>
      </c>
      <c r="BY202" s="19" t="s">
        <v>61</v>
      </c>
      <c r="BZ202" s="19" t="s">
        <v>61</v>
      </c>
      <c r="CA202" s="19" t="s">
        <v>61</v>
      </c>
      <c r="CB202" s="19" t="s">
        <v>61</v>
      </c>
      <c r="CC202" s="19" t="s">
        <v>59</v>
      </c>
      <c r="CD202" s="19" t="s">
        <v>59</v>
      </c>
      <c r="CE202" s="19" t="s">
        <v>59</v>
      </c>
      <c r="CF202" s="19"/>
      <c r="CG202" s="19"/>
      <c r="CH202" s="19" t="s">
        <v>59</v>
      </c>
      <c r="CI202" s="19" t="s">
        <v>59</v>
      </c>
      <c r="CJ202" s="19" t="s">
        <v>59</v>
      </c>
      <c r="CK202" s="19" t="s">
        <v>59</v>
      </c>
      <c r="CL202" s="19" t="s">
        <v>59</v>
      </c>
      <c r="CM202" s="19" t="s">
        <v>59</v>
      </c>
      <c r="CN202" s="19" t="s">
        <v>59</v>
      </c>
      <c r="CO202" s="19" t="s">
        <v>59</v>
      </c>
      <c r="CP202" s="19" t="s">
        <v>59</v>
      </c>
      <c r="CQ202" s="19" t="s">
        <v>59</v>
      </c>
      <c r="CR202" s="19" t="s">
        <v>59</v>
      </c>
      <c r="CS202" s="19"/>
      <c r="CT202" s="19"/>
      <c r="CU202" s="19" t="s">
        <v>59</v>
      </c>
      <c r="CV202" s="19" t="s">
        <v>59</v>
      </c>
      <c r="CW202" s="19" t="s">
        <v>59</v>
      </c>
      <c r="CX202" s="19" t="s">
        <v>59</v>
      </c>
      <c r="CY202" s="19" t="s">
        <v>59</v>
      </c>
      <c r="CZ202" s="19" t="s">
        <v>59</v>
      </c>
      <c r="DA202" s="19" t="s">
        <v>59</v>
      </c>
      <c r="DB202" s="19" t="s">
        <v>59</v>
      </c>
      <c r="DC202" s="19">
        <v>12</v>
      </c>
      <c r="DD202" s="72" t="s">
        <v>69</v>
      </c>
      <c r="DE202" s="20" t="s">
        <v>61</v>
      </c>
      <c r="DF202" s="20" t="s">
        <v>61</v>
      </c>
      <c r="DG202" s="26" t="s">
        <v>61</v>
      </c>
      <c r="DH202" s="27" t="s">
        <v>61</v>
      </c>
      <c r="DI202" s="29" t="s">
        <v>61</v>
      </c>
      <c r="DJ202" s="26" t="s">
        <v>61</v>
      </c>
    </row>
    <row r="203" spans="1:114" s="43" customFormat="1">
      <c r="A203" s="37" t="s">
        <v>57</v>
      </c>
      <c r="B203" s="37">
        <v>843</v>
      </c>
      <c r="C203" s="34">
        <v>2</v>
      </c>
      <c r="D203" s="43">
        <v>1</v>
      </c>
      <c r="E203" s="19" t="s">
        <v>58</v>
      </c>
      <c r="F203" s="19">
        <v>474</v>
      </c>
      <c r="G203" s="48">
        <f t="shared" si="4"/>
        <v>858</v>
      </c>
      <c r="H203" s="48">
        <f t="shared" si="3"/>
        <v>1.8101265822784811</v>
      </c>
      <c r="I203" s="39" t="s">
        <v>58</v>
      </c>
      <c r="J203" s="48" t="s">
        <v>58</v>
      </c>
      <c r="K203" s="26" t="s">
        <v>58</v>
      </c>
      <c r="L203" s="26" t="s">
        <v>139</v>
      </c>
      <c r="M203" s="26" t="s">
        <v>139</v>
      </c>
      <c r="N203" s="26" t="s">
        <v>3514</v>
      </c>
      <c r="O203" s="26" t="s">
        <v>139</v>
      </c>
      <c r="P203" s="26" t="s">
        <v>139</v>
      </c>
      <c r="Q203" s="19" t="s">
        <v>61</v>
      </c>
      <c r="R203" s="19" t="s">
        <v>61</v>
      </c>
      <c r="S203" s="26" t="s">
        <v>59</v>
      </c>
      <c r="T203" s="26" t="s">
        <v>60</v>
      </c>
      <c r="U203" s="19">
        <v>506</v>
      </c>
      <c r="V203" s="19">
        <v>534</v>
      </c>
      <c r="W203" s="19" t="s">
        <v>59</v>
      </c>
      <c r="X203" s="19" t="s">
        <v>59</v>
      </c>
      <c r="Y203" s="21">
        <v>10.199999999999999</v>
      </c>
      <c r="Z203" s="228">
        <v>2.37</v>
      </c>
      <c r="AA203" s="21" t="s">
        <v>61</v>
      </c>
      <c r="AB203" s="19">
        <v>10.199999999999999</v>
      </c>
      <c r="AC203" s="21" t="s">
        <v>62</v>
      </c>
      <c r="AD203" s="19">
        <v>10.199999999999999</v>
      </c>
      <c r="AE203" s="21">
        <v>2.2200000000000002</v>
      </c>
      <c r="AF203" s="21" t="s">
        <v>61</v>
      </c>
      <c r="AG203" s="19">
        <v>10.199999999999999</v>
      </c>
      <c r="AH203" s="21" t="s">
        <v>63</v>
      </c>
      <c r="AI203" s="19" t="s">
        <v>59</v>
      </c>
      <c r="AJ203" s="19" t="s">
        <v>59</v>
      </c>
      <c r="AK203" s="19" t="s">
        <v>59</v>
      </c>
      <c r="AL203" s="19" t="s">
        <v>59</v>
      </c>
      <c r="AM203" s="19" t="s">
        <v>59</v>
      </c>
      <c r="AN203" s="19" t="s">
        <v>59</v>
      </c>
      <c r="AO203" s="19" t="s">
        <v>59</v>
      </c>
      <c r="AP203" s="19" t="s">
        <v>59</v>
      </c>
      <c r="AQ203" s="19" t="s">
        <v>59</v>
      </c>
      <c r="AR203" s="19" t="s">
        <v>59</v>
      </c>
      <c r="AS203" s="19" t="s">
        <v>61</v>
      </c>
      <c r="AT203" s="19" t="s">
        <v>64</v>
      </c>
      <c r="AU203" s="19" t="s">
        <v>61</v>
      </c>
      <c r="AV203" s="19" t="s">
        <v>61</v>
      </c>
      <c r="AW203" s="19" t="s">
        <v>61</v>
      </c>
      <c r="AX203" s="19" t="s">
        <v>61</v>
      </c>
      <c r="AY203" s="19">
        <v>408</v>
      </c>
      <c r="AZ203" s="19">
        <v>450</v>
      </c>
      <c r="BA203" s="19" t="s">
        <v>59</v>
      </c>
      <c r="BB203" s="19" t="s">
        <v>59</v>
      </c>
      <c r="BC203" s="19">
        <v>9</v>
      </c>
      <c r="BD203" s="230">
        <v>1.78</v>
      </c>
      <c r="BE203" s="21" t="s">
        <v>61</v>
      </c>
      <c r="BF203" s="26">
        <v>5</v>
      </c>
      <c r="BG203" s="48">
        <v>1</v>
      </c>
      <c r="BH203" s="19">
        <v>9</v>
      </c>
      <c r="BI203" s="21" t="s">
        <v>65</v>
      </c>
      <c r="BJ203" s="21" t="s">
        <v>61</v>
      </c>
      <c r="BK203" s="21" t="s">
        <v>61</v>
      </c>
      <c r="BL203" s="21" t="s">
        <v>61</v>
      </c>
      <c r="BM203" s="21" t="s">
        <v>61</v>
      </c>
      <c r="BN203" s="21" t="s">
        <v>61</v>
      </c>
      <c r="BO203" s="21" t="s">
        <v>61</v>
      </c>
      <c r="BP203" s="21">
        <v>8.5</v>
      </c>
      <c r="BQ203" s="230">
        <v>1.22</v>
      </c>
      <c r="BR203" s="21" t="s">
        <v>61</v>
      </c>
      <c r="BS203" s="26">
        <v>5</v>
      </c>
      <c r="BT203" s="26">
        <v>1</v>
      </c>
      <c r="BU203" s="21">
        <v>8.5</v>
      </c>
      <c r="BV203" s="21" t="s">
        <v>66</v>
      </c>
      <c r="BW203" s="21" t="s">
        <v>61</v>
      </c>
      <c r="BX203" s="21" t="s">
        <v>61</v>
      </c>
      <c r="BY203" s="21" t="s">
        <v>61</v>
      </c>
      <c r="BZ203" s="21" t="s">
        <v>61</v>
      </c>
      <c r="CA203" s="21" t="s">
        <v>61</v>
      </c>
      <c r="CB203" s="21" t="s">
        <v>61</v>
      </c>
      <c r="CC203" s="19" t="s">
        <v>59</v>
      </c>
      <c r="CD203" s="19" t="s">
        <v>59</v>
      </c>
      <c r="CE203" s="19" t="s">
        <v>59</v>
      </c>
      <c r="CF203" s="19"/>
      <c r="CG203" s="19"/>
      <c r="CH203" s="19" t="s">
        <v>59</v>
      </c>
      <c r="CI203" s="19" t="s">
        <v>59</v>
      </c>
      <c r="CJ203" s="19" t="s">
        <v>59</v>
      </c>
      <c r="CK203" s="19" t="s">
        <v>59</v>
      </c>
      <c r="CL203" s="19" t="s">
        <v>59</v>
      </c>
      <c r="CM203" s="19" t="s">
        <v>59</v>
      </c>
      <c r="CN203" s="19" t="s">
        <v>59</v>
      </c>
      <c r="CO203" s="19" t="s">
        <v>59</v>
      </c>
      <c r="CP203" s="19" t="s">
        <v>59</v>
      </c>
      <c r="CQ203" s="19" t="s">
        <v>59</v>
      </c>
      <c r="CR203" s="19" t="s">
        <v>59</v>
      </c>
      <c r="CS203" s="19"/>
      <c r="CT203" s="19"/>
      <c r="CU203" s="19" t="s">
        <v>59</v>
      </c>
      <c r="CV203" s="19" t="s">
        <v>59</v>
      </c>
      <c r="CW203" s="19" t="s">
        <v>59</v>
      </c>
      <c r="CX203" s="19" t="s">
        <v>59</v>
      </c>
      <c r="CY203" s="19" t="s">
        <v>59</v>
      </c>
      <c r="CZ203" s="19" t="s">
        <v>59</v>
      </c>
      <c r="DA203" s="19" t="s">
        <v>59</v>
      </c>
      <c r="DB203" s="19" t="s">
        <v>59</v>
      </c>
      <c r="DC203" s="19">
        <v>72</v>
      </c>
      <c r="DD203" s="29" t="s">
        <v>67</v>
      </c>
      <c r="DE203" s="29" t="s">
        <v>61</v>
      </c>
      <c r="DF203" s="29" t="s">
        <v>61</v>
      </c>
      <c r="DG203" s="26" t="s">
        <v>61</v>
      </c>
      <c r="DH203" s="27" t="s">
        <v>61</v>
      </c>
      <c r="DI203" s="29" t="s">
        <v>61</v>
      </c>
      <c r="DJ203" s="26" t="s">
        <v>61</v>
      </c>
    </row>
    <row r="204" spans="1:114" s="43" customFormat="1" ht="14">
      <c r="A204" s="49" t="s">
        <v>308</v>
      </c>
      <c r="B204" s="43">
        <v>12300</v>
      </c>
      <c r="C204" s="34">
        <v>2</v>
      </c>
      <c r="D204" s="43">
        <v>1</v>
      </c>
      <c r="E204" s="48" t="s">
        <v>58</v>
      </c>
      <c r="F204" s="48">
        <v>59</v>
      </c>
      <c r="G204" s="48">
        <f t="shared" si="4"/>
        <v>440</v>
      </c>
      <c r="H204" s="48">
        <f t="shared" si="3"/>
        <v>7.4576271186440675</v>
      </c>
      <c r="I204" s="48" t="s">
        <v>139</v>
      </c>
      <c r="J204" s="48" t="s">
        <v>58</v>
      </c>
      <c r="K204" s="26" t="s">
        <v>58</v>
      </c>
      <c r="L204" s="26" t="s">
        <v>139</v>
      </c>
      <c r="M204" s="26" t="s">
        <v>58</v>
      </c>
      <c r="N204" s="26" t="s">
        <v>3519</v>
      </c>
      <c r="O204" s="26" t="s">
        <v>139</v>
      </c>
      <c r="P204" s="26" t="s">
        <v>58</v>
      </c>
      <c r="Q204" s="48">
        <v>9.8000000000000004E-2</v>
      </c>
      <c r="R204" s="48">
        <v>9.8000000000000004E-2</v>
      </c>
      <c r="S204" s="48" t="s">
        <v>59</v>
      </c>
      <c r="T204" s="48" t="s">
        <v>59</v>
      </c>
      <c r="U204" s="48">
        <v>236</v>
      </c>
      <c r="V204" s="48">
        <v>235</v>
      </c>
      <c r="W204" s="48" t="s">
        <v>59</v>
      </c>
      <c r="X204" s="48" t="s">
        <v>59</v>
      </c>
      <c r="Y204" s="69">
        <v>8.1300000000000008</v>
      </c>
      <c r="Z204" s="69">
        <v>1.34</v>
      </c>
      <c r="AA204" s="69" t="s">
        <v>61</v>
      </c>
      <c r="AB204" s="69" t="s">
        <v>61</v>
      </c>
      <c r="AC204" s="69" t="s">
        <v>61</v>
      </c>
      <c r="AD204" s="69">
        <v>7.98</v>
      </c>
      <c r="AE204" s="69">
        <v>1.22</v>
      </c>
      <c r="AF204" s="69" t="s">
        <v>61</v>
      </c>
      <c r="AG204" s="69" t="s">
        <v>61</v>
      </c>
      <c r="AH204" s="69" t="s">
        <v>61</v>
      </c>
      <c r="AI204" s="69" t="s">
        <v>59</v>
      </c>
      <c r="AJ204" s="69" t="s">
        <v>59</v>
      </c>
      <c r="AK204" s="69" t="s">
        <v>59</v>
      </c>
      <c r="AL204" s="69" t="s">
        <v>59</v>
      </c>
      <c r="AM204" s="69" t="s">
        <v>59</v>
      </c>
      <c r="AN204" s="69" t="s">
        <v>59</v>
      </c>
      <c r="AO204" s="69" t="s">
        <v>59</v>
      </c>
      <c r="AP204" s="69" t="s">
        <v>59</v>
      </c>
      <c r="AQ204" s="69" t="s">
        <v>59</v>
      </c>
      <c r="AR204" s="69" t="s">
        <v>59</v>
      </c>
      <c r="AS204" s="69" t="s">
        <v>61</v>
      </c>
      <c r="AT204" s="69" t="s">
        <v>64</v>
      </c>
      <c r="AU204" s="69" t="s">
        <v>59</v>
      </c>
      <c r="AV204" s="69" t="s">
        <v>59</v>
      </c>
      <c r="AW204" s="69" t="s">
        <v>59</v>
      </c>
      <c r="AX204" s="69" t="s">
        <v>59</v>
      </c>
      <c r="AY204" s="69">
        <v>219</v>
      </c>
      <c r="AZ204" s="69">
        <v>221</v>
      </c>
      <c r="BA204" s="69" t="s">
        <v>59</v>
      </c>
      <c r="BB204" s="69" t="s">
        <v>59</v>
      </c>
      <c r="BC204" s="69">
        <v>7.91</v>
      </c>
      <c r="BD204" s="69">
        <v>1.42</v>
      </c>
      <c r="BE204" s="69" t="s">
        <v>61</v>
      </c>
      <c r="BF204" s="26">
        <v>0</v>
      </c>
      <c r="BG204" s="48">
        <v>1</v>
      </c>
      <c r="BH204" s="69" t="s">
        <v>61</v>
      </c>
      <c r="BI204" s="69" t="s">
        <v>61</v>
      </c>
      <c r="BJ204" s="69" t="s">
        <v>61</v>
      </c>
      <c r="BK204" s="69" t="s">
        <v>61</v>
      </c>
      <c r="BL204" s="69" t="s">
        <v>61</v>
      </c>
      <c r="BM204" s="69" t="s">
        <v>61</v>
      </c>
      <c r="BN204" s="69" t="s">
        <v>61</v>
      </c>
      <c r="BO204" s="69" t="s">
        <v>61</v>
      </c>
      <c r="BP204" s="69">
        <v>7.85</v>
      </c>
      <c r="BQ204" s="69">
        <v>1.24</v>
      </c>
      <c r="BR204" s="69" t="s">
        <v>61</v>
      </c>
      <c r="BS204" s="26">
        <v>0</v>
      </c>
      <c r="BT204" s="26">
        <v>1</v>
      </c>
      <c r="BU204" s="69" t="s">
        <v>61</v>
      </c>
      <c r="BV204" s="69" t="s">
        <v>61</v>
      </c>
      <c r="BW204" s="69" t="s">
        <v>61</v>
      </c>
      <c r="BX204" s="69" t="s">
        <v>61</v>
      </c>
      <c r="BY204" s="69" t="s">
        <v>61</v>
      </c>
      <c r="BZ204" s="69" t="s">
        <v>61</v>
      </c>
      <c r="CA204" s="69" t="s">
        <v>61</v>
      </c>
      <c r="CB204" s="69" t="s">
        <v>61</v>
      </c>
      <c r="CC204" s="69" t="s">
        <v>59</v>
      </c>
      <c r="CD204" s="69" t="s">
        <v>59</v>
      </c>
      <c r="CE204" s="69" t="s">
        <v>59</v>
      </c>
      <c r="CF204" s="69"/>
      <c r="CG204" s="69"/>
      <c r="CH204" s="69" t="s">
        <v>59</v>
      </c>
      <c r="CI204" s="69" t="s">
        <v>59</v>
      </c>
      <c r="CJ204" s="69" t="s">
        <v>59</v>
      </c>
      <c r="CK204" s="69" t="s">
        <v>59</v>
      </c>
      <c r="CL204" s="69" t="s">
        <v>59</v>
      </c>
      <c r="CM204" s="69" t="s">
        <v>59</v>
      </c>
      <c r="CN204" s="69" t="s">
        <v>59</v>
      </c>
      <c r="CO204" s="69" t="s">
        <v>59</v>
      </c>
      <c r="CP204" s="69" t="s">
        <v>59</v>
      </c>
      <c r="CQ204" s="69" t="s">
        <v>59</v>
      </c>
      <c r="CR204" s="69" t="s">
        <v>59</v>
      </c>
      <c r="CS204" s="69"/>
      <c r="CT204" s="69"/>
      <c r="CU204" s="69" t="s">
        <v>59</v>
      </c>
      <c r="CV204" s="69" t="s">
        <v>59</v>
      </c>
      <c r="CW204" s="69" t="s">
        <v>59</v>
      </c>
      <c r="CX204" s="69" t="s">
        <v>59</v>
      </c>
      <c r="CY204" s="69" t="s">
        <v>59</v>
      </c>
      <c r="CZ204" s="69" t="s">
        <v>59</v>
      </c>
      <c r="DA204" s="69" t="s">
        <v>59</v>
      </c>
      <c r="DB204" s="69" t="s">
        <v>59</v>
      </c>
      <c r="DC204" s="69">
        <v>18</v>
      </c>
      <c r="DD204" s="55"/>
      <c r="DG204" s="43">
        <v>0.02</v>
      </c>
      <c r="DH204" s="43">
        <v>1.0847</v>
      </c>
      <c r="DI204" s="43" t="s">
        <v>97</v>
      </c>
      <c r="DJ204" s="43">
        <v>0.84</v>
      </c>
    </row>
    <row r="205" spans="1:114" s="43" customFormat="1">
      <c r="A205" s="34" t="s">
        <v>90</v>
      </c>
      <c r="B205" s="34">
        <v>5254</v>
      </c>
      <c r="C205" s="34">
        <v>2</v>
      </c>
      <c r="D205" s="43">
        <v>1</v>
      </c>
      <c r="E205" s="26" t="s">
        <v>58</v>
      </c>
      <c r="F205" s="26">
        <v>94</v>
      </c>
      <c r="G205" s="48">
        <f t="shared" si="4"/>
        <v>635</v>
      </c>
      <c r="H205" s="48">
        <f t="shared" si="3"/>
        <v>6.7553191489361701</v>
      </c>
      <c r="I205" s="26" t="s">
        <v>58</v>
      </c>
      <c r="J205" s="48" t="s">
        <v>58</v>
      </c>
      <c r="K205" s="26" t="s">
        <v>58</v>
      </c>
      <c r="L205" s="26" t="s">
        <v>139</v>
      </c>
      <c r="M205" s="26" t="s">
        <v>139</v>
      </c>
      <c r="N205" s="26" t="s">
        <v>3528</v>
      </c>
      <c r="O205" s="26" t="s">
        <v>139</v>
      </c>
      <c r="P205" s="26" t="s">
        <v>139</v>
      </c>
      <c r="Q205" s="26" t="s">
        <v>61</v>
      </c>
      <c r="R205" s="26" t="s">
        <v>61</v>
      </c>
      <c r="S205" s="26" t="s">
        <v>60</v>
      </c>
      <c r="T205" s="26" t="s">
        <v>60</v>
      </c>
      <c r="U205" s="26">
        <v>277</v>
      </c>
      <c r="V205" s="26">
        <v>358</v>
      </c>
      <c r="W205" s="26" t="s">
        <v>60</v>
      </c>
      <c r="X205" s="26" t="s">
        <v>60</v>
      </c>
      <c r="Y205" s="26">
        <v>7.3</v>
      </c>
      <c r="Z205" s="227">
        <v>1.88</v>
      </c>
      <c r="AA205" s="26" t="s">
        <v>61</v>
      </c>
      <c r="AB205" s="26">
        <v>7.3</v>
      </c>
      <c r="AC205" s="27" t="s">
        <v>91</v>
      </c>
      <c r="AD205" s="26">
        <v>7.3</v>
      </c>
      <c r="AE205" s="26">
        <v>1.65</v>
      </c>
      <c r="AF205" s="26" t="s">
        <v>61</v>
      </c>
      <c r="AG205" s="26">
        <v>7.3</v>
      </c>
      <c r="AH205" s="27" t="s">
        <v>92</v>
      </c>
      <c r="AI205" s="26" t="s">
        <v>60</v>
      </c>
      <c r="AJ205" s="26" t="s">
        <v>60</v>
      </c>
      <c r="AK205" s="26" t="s">
        <v>59</v>
      </c>
      <c r="AL205" s="26" t="s">
        <v>59</v>
      </c>
      <c r="AM205" s="26" t="s">
        <v>59</v>
      </c>
      <c r="AN205" s="26" t="s">
        <v>60</v>
      </c>
      <c r="AO205" s="26" t="s">
        <v>60</v>
      </c>
      <c r="AP205" s="26" t="s">
        <v>59</v>
      </c>
      <c r="AQ205" s="26" t="s">
        <v>59</v>
      </c>
      <c r="AR205" s="26" t="s">
        <v>59</v>
      </c>
      <c r="AS205" s="26">
        <v>0.24</v>
      </c>
      <c r="AT205" s="26" t="s">
        <v>64</v>
      </c>
      <c r="AU205" s="26" t="s">
        <v>59</v>
      </c>
      <c r="AV205" s="26" t="s">
        <v>59</v>
      </c>
      <c r="AW205" s="26" t="s">
        <v>59</v>
      </c>
      <c r="AX205" s="26" t="s">
        <v>59</v>
      </c>
      <c r="AY205" s="26">
        <v>277</v>
      </c>
      <c r="AZ205" s="26">
        <v>358</v>
      </c>
      <c r="BA205" s="26" t="s">
        <v>60</v>
      </c>
      <c r="BB205" s="26" t="s">
        <v>60</v>
      </c>
      <c r="BC205" s="26">
        <v>6.7</v>
      </c>
      <c r="BD205" s="225">
        <v>1.48</v>
      </c>
      <c r="BE205" s="26" t="s">
        <v>61</v>
      </c>
      <c r="BF205" s="26">
        <v>6</v>
      </c>
      <c r="BG205" s="48">
        <v>1</v>
      </c>
      <c r="BH205" s="26">
        <v>6.7</v>
      </c>
      <c r="BI205" s="27" t="s">
        <v>93</v>
      </c>
      <c r="BJ205" s="26" t="s">
        <v>61</v>
      </c>
      <c r="BK205" s="26" t="s">
        <v>61</v>
      </c>
      <c r="BL205" s="26" t="s">
        <v>61</v>
      </c>
      <c r="BM205" s="26" t="s">
        <v>61</v>
      </c>
      <c r="BN205" s="26" t="s">
        <v>61</v>
      </c>
      <c r="BO205" s="26" t="s">
        <v>61</v>
      </c>
      <c r="BP205" s="26">
        <v>6.7</v>
      </c>
      <c r="BQ205" s="225">
        <v>1.38</v>
      </c>
      <c r="BR205" s="26" t="s">
        <v>61</v>
      </c>
      <c r="BS205" s="26">
        <v>6</v>
      </c>
      <c r="BT205" s="26">
        <v>1</v>
      </c>
      <c r="BU205" s="26">
        <v>6.7</v>
      </c>
      <c r="BV205" s="27" t="s">
        <v>94</v>
      </c>
      <c r="BW205" s="26" t="s">
        <v>61</v>
      </c>
      <c r="BX205" s="26" t="s">
        <v>61</v>
      </c>
      <c r="BY205" s="27" t="s">
        <v>61</v>
      </c>
      <c r="BZ205" s="26" t="s">
        <v>61</v>
      </c>
      <c r="CA205" s="27" t="s">
        <v>61</v>
      </c>
      <c r="CB205" s="26" t="s">
        <v>61</v>
      </c>
      <c r="CC205" s="26" t="s">
        <v>60</v>
      </c>
      <c r="CD205" s="26" t="s">
        <v>60</v>
      </c>
      <c r="CE205" s="26" t="s">
        <v>59</v>
      </c>
      <c r="CF205" s="26"/>
      <c r="CG205" s="26"/>
      <c r="CH205" s="26" t="s">
        <v>59</v>
      </c>
      <c r="CI205" s="26" t="s">
        <v>59</v>
      </c>
      <c r="CJ205" s="26" t="s">
        <v>59</v>
      </c>
      <c r="CK205" s="26" t="s">
        <v>59</v>
      </c>
      <c r="CL205" s="26" t="s">
        <v>59</v>
      </c>
      <c r="CM205" s="26" t="s">
        <v>59</v>
      </c>
      <c r="CN205" s="26" t="s">
        <v>59</v>
      </c>
      <c r="CO205" s="26" t="s">
        <v>59</v>
      </c>
      <c r="CP205" s="26" t="s">
        <v>60</v>
      </c>
      <c r="CQ205" s="26" t="s">
        <v>60</v>
      </c>
      <c r="CR205" s="26" t="s">
        <v>59</v>
      </c>
      <c r="CS205" s="26"/>
      <c r="CT205" s="26"/>
      <c r="CU205" s="26" t="s">
        <v>59</v>
      </c>
      <c r="CV205" s="26" t="s">
        <v>59</v>
      </c>
      <c r="CW205" s="26" t="s">
        <v>59</v>
      </c>
      <c r="CX205" s="26" t="s">
        <v>59</v>
      </c>
      <c r="CY205" s="26" t="s">
        <v>59</v>
      </c>
      <c r="CZ205" s="26" t="s">
        <v>59</v>
      </c>
      <c r="DA205" s="26" t="s">
        <v>59</v>
      </c>
      <c r="DB205" s="26" t="s">
        <v>59</v>
      </c>
      <c r="DC205" s="26">
        <v>36</v>
      </c>
      <c r="DD205" s="29"/>
      <c r="DE205" s="29" t="s">
        <v>61</v>
      </c>
      <c r="DF205" s="29" t="s">
        <v>61</v>
      </c>
      <c r="DG205" s="31">
        <v>0</v>
      </c>
      <c r="DH205" s="208" t="s">
        <v>77</v>
      </c>
      <c r="DI205" s="32" t="s">
        <v>95</v>
      </c>
      <c r="DJ205" s="31">
        <v>0.95</v>
      </c>
    </row>
    <row r="206" spans="1:114" s="43" customFormat="1">
      <c r="A206" s="34" t="s">
        <v>131</v>
      </c>
      <c r="B206" s="209">
        <v>7503</v>
      </c>
      <c r="C206" s="43">
        <v>4</v>
      </c>
      <c r="D206" s="43">
        <v>1</v>
      </c>
      <c r="E206" s="26" t="s">
        <v>58</v>
      </c>
      <c r="F206" s="26">
        <v>123</v>
      </c>
      <c r="G206" s="48">
        <f t="shared" si="4"/>
        <v>2673</v>
      </c>
      <c r="H206" s="48">
        <f t="shared" si="3"/>
        <v>21.73170731707317</v>
      </c>
      <c r="I206" s="48" t="s">
        <v>58</v>
      </c>
      <c r="J206" s="48" t="s">
        <v>58</v>
      </c>
      <c r="K206" s="26" t="s">
        <v>58</v>
      </c>
      <c r="L206" s="26" t="s">
        <v>139</v>
      </c>
      <c r="M206" s="26" t="s">
        <v>139</v>
      </c>
      <c r="N206" s="26" t="s">
        <v>3529</v>
      </c>
      <c r="O206" s="26" t="s">
        <v>139</v>
      </c>
      <c r="P206" s="26" t="s">
        <v>139</v>
      </c>
      <c r="Q206" s="19" t="s">
        <v>61</v>
      </c>
      <c r="R206" s="19" t="s">
        <v>61</v>
      </c>
      <c r="S206" s="19" t="s">
        <v>61</v>
      </c>
      <c r="T206" s="19" t="s">
        <v>61</v>
      </c>
      <c r="U206" s="26">
        <v>847</v>
      </c>
      <c r="V206" s="26">
        <v>869</v>
      </c>
      <c r="W206" s="26">
        <v>1041</v>
      </c>
      <c r="X206" s="26">
        <v>946</v>
      </c>
      <c r="Y206" s="26">
        <v>7.42</v>
      </c>
      <c r="Z206" s="26">
        <v>1.6</v>
      </c>
      <c r="AA206" s="26" t="s">
        <v>61</v>
      </c>
      <c r="AB206" s="26">
        <v>7.1</v>
      </c>
      <c r="AC206" s="27" t="s">
        <v>61</v>
      </c>
      <c r="AD206" s="26">
        <v>7.53</v>
      </c>
      <c r="AE206" s="26">
        <v>1.6</v>
      </c>
      <c r="AF206" s="26" t="s">
        <v>61</v>
      </c>
      <c r="AG206" s="26">
        <v>7.2</v>
      </c>
      <c r="AH206" s="27" t="s">
        <v>61</v>
      </c>
      <c r="AI206" s="26">
        <v>7.55</v>
      </c>
      <c r="AJ206" s="26">
        <v>1.6</v>
      </c>
      <c r="AK206" s="27" t="s">
        <v>61</v>
      </c>
      <c r="AL206" s="26">
        <v>7.2</v>
      </c>
      <c r="AM206" s="27" t="s">
        <v>61</v>
      </c>
      <c r="AN206" s="26">
        <v>7.6</v>
      </c>
      <c r="AO206" s="26">
        <v>1.6</v>
      </c>
      <c r="AP206" s="27" t="s">
        <v>61</v>
      </c>
      <c r="AQ206" s="26">
        <v>7.2</v>
      </c>
      <c r="AR206" s="27" t="s">
        <v>61</v>
      </c>
      <c r="AS206" s="27">
        <v>0.1</v>
      </c>
      <c r="AT206" s="40" t="s">
        <v>104</v>
      </c>
      <c r="AU206" s="27" t="s">
        <v>61</v>
      </c>
      <c r="AV206" s="27" t="s">
        <v>61</v>
      </c>
      <c r="AW206" s="27" t="s">
        <v>61</v>
      </c>
      <c r="AX206" s="27" t="s">
        <v>61</v>
      </c>
      <c r="AY206" s="26">
        <v>628</v>
      </c>
      <c r="AZ206" s="26">
        <v>626</v>
      </c>
      <c r="BA206" s="26">
        <v>763</v>
      </c>
      <c r="BB206" s="26">
        <v>656</v>
      </c>
      <c r="BC206" s="26">
        <v>7.2</v>
      </c>
      <c r="BD206" s="26">
        <v>1.4</v>
      </c>
      <c r="BE206" s="26" t="s">
        <v>61</v>
      </c>
      <c r="BF206" s="26">
        <v>0</v>
      </c>
      <c r="BG206" s="48">
        <v>1</v>
      </c>
      <c r="BH206" s="26">
        <v>6.9</v>
      </c>
      <c r="BI206" s="27" t="s">
        <v>61</v>
      </c>
      <c r="BJ206" s="26" t="s">
        <v>61</v>
      </c>
      <c r="BK206" s="26" t="s">
        <v>61</v>
      </c>
      <c r="BL206" s="26" t="s">
        <v>61</v>
      </c>
      <c r="BM206" s="26" t="s">
        <v>61</v>
      </c>
      <c r="BN206" s="26" t="s">
        <v>61</v>
      </c>
      <c r="BO206" s="26" t="s">
        <v>61</v>
      </c>
      <c r="BP206" s="26">
        <v>7.35</v>
      </c>
      <c r="BQ206" s="26">
        <v>1.4</v>
      </c>
      <c r="BR206" s="26" t="s">
        <v>61</v>
      </c>
      <c r="BS206" s="26">
        <v>0</v>
      </c>
      <c r="BT206" s="26">
        <v>1</v>
      </c>
      <c r="BU206" s="26">
        <v>7</v>
      </c>
      <c r="BV206" s="27" t="s">
        <v>61</v>
      </c>
      <c r="BW206" s="26" t="s">
        <v>61</v>
      </c>
      <c r="BX206" s="26" t="s">
        <v>61</v>
      </c>
      <c r="BY206" s="27" t="s">
        <v>61</v>
      </c>
      <c r="BZ206" s="26" t="s">
        <v>61</v>
      </c>
      <c r="CA206" s="27" t="s">
        <v>61</v>
      </c>
      <c r="CB206" s="26" t="s">
        <v>61</v>
      </c>
      <c r="CC206" s="26">
        <v>7.42</v>
      </c>
      <c r="CD206" s="26">
        <v>1.5</v>
      </c>
      <c r="CE206" s="27" t="s">
        <v>61</v>
      </c>
      <c r="CF206" s="69">
        <v>0</v>
      </c>
      <c r="CG206" s="69">
        <v>1</v>
      </c>
      <c r="CH206" s="26">
        <v>7.1</v>
      </c>
      <c r="CI206" s="27" t="s">
        <v>61</v>
      </c>
      <c r="CJ206" s="26" t="s">
        <v>61</v>
      </c>
      <c r="CK206" s="27" t="s">
        <v>61</v>
      </c>
      <c r="CL206" s="27" t="s">
        <v>61</v>
      </c>
      <c r="CM206" s="26" t="s">
        <v>61</v>
      </c>
      <c r="CN206" s="26" t="s">
        <v>61</v>
      </c>
      <c r="CO206" s="26" t="s">
        <v>61</v>
      </c>
      <c r="CP206" s="26">
        <v>7.41</v>
      </c>
      <c r="CQ206" s="26">
        <v>1.6</v>
      </c>
      <c r="CR206" s="27" t="s">
        <v>61</v>
      </c>
      <c r="CS206" s="43">
        <v>0</v>
      </c>
      <c r="CT206" s="43">
        <v>1</v>
      </c>
      <c r="CU206" s="26">
        <v>7.1</v>
      </c>
      <c r="CV206" s="27" t="s">
        <v>61</v>
      </c>
      <c r="CW206" s="26" t="s">
        <v>61</v>
      </c>
      <c r="CX206" s="27" t="s">
        <v>61</v>
      </c>
      <c r="CY206" s="27" t="s">
        <v>61</v>
      </c>
      <c r="CZ206" s="27" t="s">
        <v>61</v>
      </c>
      <c r="DA206" s="27" t="s">
        <v>61</v>
      </c>
      <c r="DB206" s="26" t="s">
        <v>61</v>
      </c>
      <c r="DC206" s="26">
        <v>12</v>
      </c>
      <c r="DD206" s="29"/>
      <c r="DE206" s="29" t="s">
        <v>61</v>
      </c>
      <c r="DF206" s="29" t="s">
        <v>61</v>
      </c>
      <c r="DG206" s="26" t="s">
        <v>61</v>
      </c>
      <c r="DH206" s="40" t="s">
        <v>132</v>
      </c>
      <c r="DI206" s="29" t="s">
        <v>133</v>
      </c>
      <c r="DJ206" s="26" t="s">
        <v>134</v>
      </c>
    </row>
    <row r="207" spans="1:114" s="43" customFormat="1" ht="14">
      <c r="A207" s="49" t="s">
        <v>274</v>
      </c>
      <c r="B207" s="43">
        <v>10052</v>
      </c>
      <c r="C207" s="34">
        <v>2</v>
      </c>
      <c r="D207" s="43">
        <v>1</v>
      </c>
      <c r="E207" s="48" t="s">
        <v>58</v>
      </c>
      <c r="F207" s="48">
        <v>16</v>
      </c>
      <c r="G207" s="48">
        <f t="shared" si="4"/>
        <v>4100</v>
      </c>
      <c r="H207" s="48">
        <f t="shared" si="3"/>
        <v>256.25</v>
      </c>
      <c r="I207" s="26" t="s">
        <v>58</v>
      </c>
      <c r="J207" s="26" t="s">
        <v>58</v>
      </c>
      <c r="K207" s="26" t="s">
        <v>139</v>
      </c>
      <c r="L207" s="26" t="s">
        <v>1379</v>
      </c>
      <c r="M207" s="26" t="s">
        <v>1379</v>
      </c>
      <c r="N207" s="26" t="s">
        <v>1379</v>
      </c>
      <c r="O207" s="26" t="s">
        <v>1379</v>
      </c>
      <c r="P207" s="26" t="s">
        <v>1379</v>
      </c>
      <c r="Q207" s="48" t="s">
        <v>61</v>
      </c>
      <c r="R207" s="48" t="s">
        <v>61</v>
      </c>
      <c r="S207" s="48" t="s">
        <v>59</v>
      </c>
      <c r="T207" s="48" t="s">
        <v>59</v>
      </c>
      <c r="U207" s="48">
        <v>2303</v>
      </c>
      <c r="V207" s="48">
        <v>1797</v>
      </c>
      <c r="W207" s="48" t="s">
        <v>59</v>
      </c>
      <c r="X207" s="48" t="s">
        <v>59</v>
      </c>
      <c r="Y207" s="69">
        <v>7.4</v>
      </c>
      <c r="Z207" s="69">
        <v>1.6</v>
      </c>
      <c r="AA207" s="69" t="s">
        <v>61</v>
      </c>
      <c r="AB207" s="69" t="s">
        <v>61</v>
      </c>
      <c r="AC207" s="69" t="s">
        <v>61</v>
      </c>
      <c r="AD207" s="69">
        <v>7.4</v>
      </c>
      <c r="AE207" s="69">
        <v>1.6</v>
      </c>
      <c r="AF207" s="69" t="s">
        <v>61</v>
      </c>
      <c r="AG207" s="69" t="s">
        <v>61</v>
      </c>
      <c r="AH207" s="69" t="s">
        <v>61</v>
      </c>
      <c r="AI207" s="69" t="s">
        <v>59</v>
      </c>
      <c r="AJ207" s="69" t="s">
        <v>59</v>
      </c>
      <c r="AK207" s="69" t="s">
        <v>59</v>
      </c>
      <c r="AL207" s="69" t="s">
        <v>59</v>
      </c>
      <c r="AM207" s="69" t="s">
        <v>59</v>
      </c>
      <c r="AN207" s="69" t="s">
        <v>59</v>
      </c>
      <c r="AO207" s="69" t="s">
        <v>59</v>
      </c>
      <c r="AP207" s="69" t="s">
        <v>59</v>
      </c>
      <c r="AQ207" s="69" t="s">
        <v>59</v>
      </c>
      <c r="AR207" s="69" t="s">
        <v>59</v>
      </c>
      <c r="AS207" s="69" t="s">
        <v>61</v>
      </c>
      <c r="AT207" s="69" t="s">
        <v>64</v>
      </c>
      <c r="AU207" s="69" t="s">
        <v>59</v>
      </c>
      <c r="AV207" s="69" t="s">
        <v>59</v>
      </c>
      <c r="AW207" s="69" t="s">
        <v>59</v>
      </c>
      <c r="AX207" s="69" t="s">
        <v>59</v>
      </c>
      <c r="AY207" s="69">
        <v>2303</v>
      </c>
      <c r="AZ207" s="69">
        <v>1797</v>
      </c>
      <c r="BA207" s="69" t="s">
        <v>59</v>
      </c>
      <c r="BB207" s="69" t="s">
        <v>59</v>
      </c>
      <c r="BC207" s="69">
        <v>7.6</v>
      </c>
      <c r="BD207" s="69">
        <v>1.6</v>
      </c>
      <c r="BE207" s="69" t="s">
        <v>61</v>
      </c>
      <c r="BF207" s="69">
        <v>0</v>
      </c>
      <c r="BG207" s="48">
        <v>1</v>
      </c>
      <c r="BH207" s="69" t="s">
        <v>61</v>
      </c>
      <c r="BI207" s="69" t="s">
        <v>61</v>
      </c>
      <c r="BJ207" s="69" t="s">
        <v>61</v>
      </c>
      <c r="BK207" s="69" t="s">
        <v>61</v>
      </c>
      <c r="BL207" s="69" t="s">
        <v>61</v>
      </c>
      <c r="BM207" s="69" t="s">
        <v>61</v>
      </c>
      <c r="BN207" s="69" t="s">
        <v>61</v>
      </c>
      <c r="BO207" s="69" t="s">
        <v>61</v>
      </c>
      <c r="BP207" s="69">
        <v>7.4</v>
      </c>
      <c r="BQ207" s="69">
        <v>1.4</v>
      </c>
      <c r="BR207" s="69" t="s">
        <v>61</v>
      </c>
      <c r="BS207" s="69">
        <v>0</v>
      </c>
      <c r="BT207" s="26">
        <v>1</v>
      </c>
      <c r="BU207" s="69" t="s">
        <v>61</v>
      </c>
      <c r="BV207" s="69" t="s">
        <v>61</v>
      </c>
      <c r="BW207" s="69" t="s">
        <v>61</v>
      </c>
      <c r="BX207" s="69" t="s">
        <v>61</v>
      </c>
      <c r="BY207" s="69" t="s">
        <v>61</v>
      </c>
      <c r="BZ207" s="69" t="s">
        <v>61</v>
      </c>
      <c r="CA207" s="69" t="s">
        <v>61</v>
      </c>
      <c r="CB207" s="69" t="s">
        <v>61</v>
      </c>
      <c r="CC207" s="69" t="s">
        <v>59</v>
      </c>
      <c r="CD207" s="69" t="s">
        <v>59</v>
      </c>
      <c r="CE207" s="69" t="s">
        <v>59</v>
      </c>
      <c r="CF207" s="69"/>
      <c r="CG207" s="69"/>
      <c r="CH207" s="69" t="s">
        <v>59</v>
      </c>
      <c r="CI207" s="69" t="s">
        <v>59</v>
      </c>
      <c r="CJ207" s="69" t="s">
        <v>59</v>
      </c>
      <c r="CK207" s="69" t="s">
        <v>59</v>
      </c>
      <c r="CL207" s="69" t="s">
        <v>59</v>
      </c>
      <c r="CM207" s="69" t="s">
        <v>59</v>
      </c>
      <c r="CN207" s="69" t="s">
        <v>59</v>
      </c>
      <c r="CO207" s="69" t="s">
        <v>59</v>
      </c>
      <c r="CP207" s="69" t="s">
        <v>59</v>
      </c>
      <c r="CQ207" s="69" t="s">
        <v>59</v>
      </c>
      <c r="CR207" s="69" t="s">
        <v>59</v>
      </c>
      <c r="CS207" s="69"/>
      <c r="CT207" s="69"/>
      <c r="CU207" s="69" t="s">
        <v>59</v>
      </c>
      <c r="CV207" s="69" t="s">
        <v>59</v>
      </c>
      <c r="CW207" s="69" t="s">
        <v>59</v>
      </c>
      <c r="CX207" s="69" t="s">
        <v>59</v>
      </c>
      <c r="CY207" s="69" t="s">
        <v>59</v>
      </c>
      <c r="CZ207" s="69" t="s">
        <v>59</v>
      </c>
      <c r="DA207" s="69" t="s">
        <v>59</v>
      </c>
      <c r="DB207" s="69" t="s">
        <v>59</v>
      </c>
      <c r="DC207" s="69">
        <v>12</v>
      </c>
      <c r="DD207" s="55"/>
      <c r="DG207" s="20" t="s">
        <v>61</v>
      </c>
      <c r="DH207" s="20" t="s">
        <v>61</v>
      </c>
      <c r="DI207" s="20" t="s">
        <v>61</v>
      </c>
      <c r="DJ207" s="20" t="s">
        <v>61</v>
      </c>
    </row>
    <row r="208" spans="1:114" s="43" customFormat="1" ht="14">
      <c r="A208" s="51" t="s">
        <v>71</v>
      </c>
      <c r="B208" s="34">
        <v>1841</v>
      </c>
      <c r="C208" s="34">
        <v>2</v>
      </c>
      <c r="D208" s="43">
        <v>1</v>
      </c>
      <c r="E208" s="26" t="s">
        <v>58</v>
      </c>
      <c r="F208" s="26">
        <v>40</v>
      </c>
      <c r="G208" s="48">
        <f t="shared" si="4"/>
        <v>231</v>
      </c>
      <c r="H208" s="48">
        <f t="shared" si="3"/>
        <v>5.7750000000000004</v>
      </c>
      <c r="I208" s="19" t="s">
        <v>139</v>
      </c>
      <c r="J208" s="48" t="s">
        <v>58</v>
      </c>
      <c r="K208" s="26" t="s">
        <v>58</v>
      </c>
      <c r="L208" s="26" t="s">
        <v>139</v>
      </c>
      <c r="M208" s="26" t="s">
        <v>58</v>
      </c>
      <c r="N208" s="26" t="s">
        <v>3515</v>
      </c>
      <c r="O208" s="26" t="s">
        <v>139</v>
      </c>
      <c r="P208" s="26" t="s">
        <v>58</v>
      </c>
      <c r="Q208" s="26">
        <v>4.7E-2</v>
      </c>
      <c r="R208" s="26">
        <v>4.7E-2</v>
      </c>
      <c r="S208" s="26" t="s">
        <v>60</v>
      </c>
      <c r="T208" s="26" t="s">
        <v>60</v>
      </c>
      <c r="U208" s="27" t="s">
        <v>61</v>
      </c>
      <c r="V208" s="27" t="s">
        <v>61</v>
      </c>
      <c r="W208" s="26" t="s">
        <v>60</v>
      </c>
      <c r="X208" s="26" t="s">
        <v>60</v>
      </c>
      <c r="Y208" s="26" t="s">
        <v>61</v>
      </c>
      <c r="Z208" s="26" t="s">
        <v>61</v>
      </c>
      <c r="AA208" s="26" t="s">
        <v>61</v>
      </c>
      <c r="AB208" s="26" t="s">
        <v>61</v>
      </c>
      <c r="AC208" s="26" t="s">
        <v>61</v>
      </c>
      <c r="AD208" s="26" t="s">
        <v>61</v>
      </c>
      <c r="AE208" s="26" t="s">
        <v>61</v>
      </c>
      <c r="AF208" s="26" t="s">
        <v>61</v>
      </c>
      <c r="AG208" s="27" t="s">
        <v>61</v>
      </c>
      <c r="AH208" s="27" t="s">
        <v>61</v>
      </c>
      <c r="AI208" s="26" t="s">
        <v>60</v>
      </c>
      <c r="AJ208" s="26" t="s">
        <v>60</v>
      </c>
      <c r="AK208" s="26" t="s">
        <v>59</v>
      </c>
      <c r="AL208" s="26" t="s">
        <v>59</v>
      </c>
      <c r="AM208" s="26" t="s">
        <v>59</v>
      </c>
      <c r="AN208" s="26" t="s">
        <v>60</v>
      </c>
      <c r="AO208" s="26" t="s">
        <v>60</v>
      </c>
      <c r="AP208" s="26" t="s">
        <v>59</v>
      </c>
      <c r="AQ208" s="26" t="s">
        <v>59</v>
      </c>
      <c r="AR208" s="26" t="s">
        <v>59</v>
      </c>
      <c r="AS208" s="26" t="s">
        <v>61</v>
      </c>
      <c r="AT208" s="26" t="s">
        <v>64</v>
      </c>
      <c r="AU208" s="26" t="s">
        <v>61</v>
      </c>
      <c r="AV208" s="26" t="s">
        <v>61</v>
      </c>
      <c r="AW208" s="26" t="s">
        <v>61</v>
      </c>
      <c r="AX208" s="26" t="s">
        <v>61</v>
      </c>
      <c r="AY208" s="26">
        <v>100</v>
      </c>
      <c r="AZ208" s="26">
        <v>131</v>
      </c>
      <c r="BA208" s="26" t="s">
        <v>60</v>
      </c>
      <c r="BB208" s="26" t="s">
        <v>60</v>
      </c>
      <c r="BC208" s="26">
        <v>7.17</v>
      </c>
      <c r="BD208" s="225">
        <v>1.65</v>
      </c>
      <c r="BE208" s="26" t="s">
        <v>61</v>
      </c>
      <c r="BF208" s="26">
        <v>6</v>
      </c>
      <c r="BG208" s="48">
        <v>1</v>
      </c>
      <c r="BH208" s="26" t="s">
        <v>61</v>
      </c>
      <c r="BI208" s="26" t="s">
        <v>61</v>
      </c>
      <c r="BJ208" s="26" t="s">
        <v>61</v>
      </c>
      <c r="BK208" s="26" t="s">
        <v>61</v>
      </c>
      <c r="BL208" s="26" t="s">
        <v>61</v>
      </c>
      <c r="BM208" s="26" t="s">
        <v>61</v>
      </c>
      <c r="BN208" s="26" t="s">
        <v>61</v>
      </c>
      <c r="BO208" s="26" t="s">
        <v>61</v>
      </c>
      <c r="BP208" s="26">
        <v>7.07</v>
      </c>
      <c r="BQ208" s="225">
        <v>1.44</v>
      </c>
      <c r="BR208" s="26" t="s">
        <v>61</v>
      </c>
      <c r="BS208" s="26">
        <v>6</v>
      </c>
      <c r="BT208" s="26">
        <v>1</v>
      </c>
      <c r="BU208" s="26" t="s">
        <v>61</v>
      </c>
      <c r="BV208" s="26" t="s">
        <v>61</v>
      </c>
      <c r="BW208" s="26" t="s">
        <v>61</v>
      </c>
      <c r="BX208" s="26" t="s">
        <v>61</v>
      </c>
      <c r="BY208" s="26" t="s">
        <v>61</v>
      </c>
      <c r="BZ208" s="26" t="s">
        <v>61</v>
      </c>
      <c r="CA208" s="26" t="s">
        <v>61</v>
      </c>
      <c r="CB208" s="26" t="s">
        <v>61</v>
      </c>
      <c r="CC208" s="26" t="s">
        <v>60</v>
      </c>
      <c r="CD208" s="26" t="s">
        <v>60</v>
      </c>
      <c r="CE208" s="26" t="s">
        <v>59</v>
      </c>
      <c r="CF208" s="26"/>
      <c r="CG208" s="26"/>
      <c r="CH208" s="26" t="s">
        <v>59</v>
      </c>
      <c r="CI208" s="26" t="s">
        <v>59</v>
      </c>
      <c r="CJ208" s="26" t="s">
        <v>59</v>
      </c>
      <c r="CK208" s="26" t="s">
        <v>59</v>
      </c>
      <c r="CL208" s="26" t="s">
        <v>59</v>
      </c>
      <c r="CM208" s="26" t="s">
        <v>59</v>
      </c>
      <c r="CN208" s="26" t="s">
        <v>59</v>
      </c>
      <c r="CO208" s="26" t="s">
        <v>59</v>
      </c>
      <c r="CP208" s="26" t="s">
        <v>60</v>
      </c>
      <c r="CQ208" s="26" t="s">
        <v>60</v>
      </c>
      <c r="CR208" s="26" t="s">
        <v>59</v>
      </c>
      <c r="CS208" s="26"/>
      <c r="CT208" s="26"/>
      <c r="CU208" s="26" t="s">
        <v>59</v>
      </c>
      <c r="CV208" s="26" t="s">
        <v>59</v>
      </c>
      <c r="CW208" s="26" t="s">
        <v>59</v>
      </c>
      <c r="CX208" s="26" t="s">
        <v>59</v>
      </c>
      <c r="CY208" s="26" t="s">
        <v>59</v>
      </c>
      <c r="CZ208" s="26" t="s">
        <v>59</v>
      </c>
      <c r="DA208" s="26" t="s">
        <v>59</v>
      </c>
      <c r="DB208" s="26" t="s">
        <v>59</v>
      </c>
      <c r="DC208" s="26" t="s">
        <v>61</v>
      </c>
      <c r="DD208" s="29" t="s">
        <v>67</v>
      </c>
      <c r="DE208" s="187" t="s">
        <v>61</v>
      </c>
      <c r="DF208" s="187" t="s">
        <v>61</v>
      </c>
      <c r="DG208" s="26">
        <v>0.1</v>
      </c>
      <c r="DH208" s="30">
        <v>0.01</v>
      </c>
      <c r="DI208" s="29" t="s">
        <v>72</v>
      </c>
      <c r="DJ208" s="26">
        <v>0.31</v>
      </c>
    </row>
    <row r="209" spans="1:114" s="43" customFormat="1" ht="14">
      <c r="A209" s="49" t="s">
        <v>326</v>
      </c>
      <c r="B209" s="43">
        <v>12822</v>
      </c>
      <c r="C209" s="34">
        <v>2</v>
      </c>
      <c r="D209" s="43">
        <v>1</v>
      </c>
      <c r="E209" s="48" t="s">
        <v>58</v>
      </c>
      <c r="F209" s="48">
        <v>179</v>
      </c>
      <c r="G209" s="48">
        <f t="shared" si="4"/>
        <v>457</v>
      </c>
      <c r="H209" s="48">
        <f t="shared" si="3"/>
        <v>2.553072625698324</v>
      </c>
      <c r="I209" s="48" t="s">
        <v>139</v>
      </c>
      <c r="J209" s="48" t="s">
        <v>58</v>
      </c>
      <c r="K209" s="26" t="s">
        <v>58</v>
      </c>
      <c r="L209" s="26" t="s">
        <v>139</v>
      </c>
      <c r="M209" s="26" t="s">
        <v>139</v>
      </c>
      <c r="N209" s="26" t="s">
        <v>3525</v>
      </c>
      <c r="O209" s="26" t="s">
        <v>139</v>
      </c>
      <c r="P209" s="26" t="s">
        <v>139</v>
      </c>
      <c r="Q209" s="48" t="s">
        <v>61</v>
      </c>
      <c r="R209" s="48" t="s">
        <v>61</v>
      </c>
      <c r="S209" s="48" t="s">
        <v>59</v>
      </c>
      <c r="T209" s="48" t="s">
        <v>59</v>
      </c>
      <c r="U209" s="48">
        <v>213</v>
      </c>
      <c r="V209" s="48">
        <v>300</v>
      </c>
      <c r="W209" s="48" t="s">
        <v>59</v>
      </c>
      <c r="X209" s="48" t="s">
        <v>59</v>
      </c>
      <c r="Y209" s="69">
        <v>8.3000000000000007</v>
      </c>
      <c r="Z209" s="69">
        <v>1.7</v>
      </c>
      <c r="AA209" s="69" t="s">
        <v>61</v>
      </c>
      <c r="AB209" s="69" t="s">
        <v>61</v>
      </c>
      <c r="AC209" s="69" t="s">
        <v>61</v>
      </c>
      <c r="AD209" s="69">
        <v>8.5</v>
      </c>
      <c r="AE209" s="69">
        <v>1.8</v>
      </c>
      <c r="AF209" s="69" t="s">
        <v>61</v>
      </c>
      <c r="AG209" s="69" t="s">
        <v>61</v>
      </c>
      <c r="AH209" s="69" t="s">
        <v>61</v>
      </c>
      <c r="AI209" s="69" t="s">
        <v>59</v>
      </c>
      <c r="AJ209" s="69" t="s">
        <v>59</v>
      </c>
      <c r="AK209" s="69" t="s">
        <v>59</v>
      </c>
      <c r="AL209" s="69" t="s">
        <v>59</v>
      </c>
      <c r="AM209" s="69" t="s">
        <v>59</v>
      </c>
      <c r="AN209" s="69" t="s">
        <v>59</v>
      </c>
      <c r="AO209" s="69" t="s">
        <v>59</v>
      </c>
      <c r="AP209" s="69" t="s">
        <v>59</v>
      </c>
      <c r="AQ209" s="69" t="s">
        <v>59</v>
      </c>
      <c r="AR209" s="69" t="s">
        <v>59</v>
      </c>
      <c r="AS209" s="69" t="s">
        <v>61</v>
      </c>
      <c r="AT209" s="69" t="s">
        <v>64</v>
      </c>
      <c r="AU209" s="69" t="s">
        <v>59</v>
      </c>
      <c r="AV209" s="69" t="s">
        <v>59</v>
      </c>
      <c r="AW209" s="69" t="s">
        <v>59</v>
      </c>
      <c r="AX209" s="69" t="s">
        <v>59</v>
      </c>
      <c r="AY209" s="69">
        <v>191</v>
      </c>
      <c r="AZ209" s="69">
        <v>266</v>
      </c>
      <c r="BA209" s="69" t="s">
        <v>59</v>
      </c>
      <c r="BB209" s="69" t="s">
        <v>59</v>
      </c>
      <c r="BC209" s="69">
        <v>8.3800000000000008</v>
      </c>
      <c r="BD209" s="69">
        <v>1.6</v>
      </c>
      <c r="BE209" s="69" t="s">
        <v>61</v>
      </c>
      <c r="BF209" s="69">
        <v>0</v>
      </c>
      <c r="BG209" s="48">
        <v>1</v>
      </c>
      <c r="BH209" s="69" t="s">
        <v>61</v>
      </c>
      <c r="BI209" s="69" t="s">
        <v>61</v>
      </c>
      <c r="BJ209" s="69" t="s">
        <v>61</v>
      </c>
      <c r="BK209" s="69" t="s">
        <v>61</v>
      </c>
      <c r="BL209" s="69" t="s">
        <v>61</v>
      </c>
      <c r="BM209" s="69" t="s">
        <v>61</v>
      </c>
      <c r="BN209" s="69" t="s">
        <v>61</v>
      </c>
      <c r="BO209" s="69" t="s">
        <v>61</v>
      </c>
      <c r="BP209" s="69">
        <v>8.15</v>
      </c>
      <c r="BQ209" s="69">
        <v>1.49</v>
      </c>
      <c r="BR209" s="69" t="s">
        <v>61</v>
      </c>
      <c r="BS209" s="69">
        <v>0</v>
      </c>
      <c r="BT209" s="26">
        <v>1</v>
      </c>
      <c r="BU209" s="69" t="s">
        <v>61</v>
      </c>
      <c r="BV209" s="69" t="s">
        <v>61</v>
      </c>
      <c r="BW209" s="69" t="s">
        <v>61</v>
      </c>
      <c r="BX209" s="69" t="s">
        <v>61</v>
      </c>
      <c r="BY209" s="69" t="s">
        <v>61</v>
      </c>
      <c r="BZ209" s="69" t="s">
        <v>61</v>
      </c>
      <c r="CA209" s="69" t="s">
        <v>61</v>
      </c>
      <c r="CB209" s="69" t="s">
        <v>61</v>
      </c>
      <c r="CC209" s="69" t="s">
        <v>59</v>
      </c>
      <c r="CD209" s="69" t="s">
        <v>59</v>
      </c>
      <c r="CE209" s="69" t="s">
        <v>59</v>
      </c>
      <c r="CF209" s="69"/>
      <c r="CG209" s="69"/>
      <c r="CH209" s="69" t="s">
        <v>59</v>
      </c>
      <c r="CI209" s="69" t="s">
        <v>59</v>
      </c>
      <c r="CJ209" s="69" t="s">
        <v>59</v>
      </c>
      <c r="CK209" s="69" t="s">
        <v>59</v>
      </c>
      <c r="CL209" s="69" t="s">
        <v>59</v>
      </c>
      <c r="CM209" s="69" t="s">
        <v>59</v>
      </c>
      <c r="CN209" s="69" t="s">
        <v>59</v>
      </c>
      <c r="CO209" s="69" t="s">
        <v>59</v>
      </c>
      <c r="CP209" s="69" t="s">
        <v>59</v>
      </c>
      <c r="CQ209" s="69" t="s">
        <v>59</v>
      </c>
      <c r="CR209" s="69" t="s">
        <v>59</v>
      </c>
      <c r="CS209" s="69"/>
      <c r="CT209" s="69"/>
      <c r="CU209" s="69" t="s">
        <v>59</v>
      </c>
      <c r="CV209" s="69" t="s">
        <v>59</v>
      </c>
      <c r="CW209" s="69" t="s">
        <v>59</v>
      </c>
      <c r="CX209" s="69" t="s">
        <v>59</v>
      </c>
      <c r="CY209" s="69" t="s">
        <v>59</v>
      </c>
      <c r="CZ209" s="69" t="s">
        <v>59</v>
      </c>
      <c r="DA209" s="69" t="s">
        <v>59</v>
      </c>
      <c r="DB209" s="69" t="s">
        <v>59</v>
      </c>
      <c r="DC209" s="69">
        <v>12</v>
      </c>
      <c r="DD209" s="55"/>
      <c r="DG209" s="43">
        <v>-0.26</v>
      </c>
      <c r="DH209" s="43">
        <v>0.22</v>
      </c>
      <c r="DI209" s="43" t="s">
        <v>327</v>
      </c>
      <c r="DJ209" s="43">
        <v>0.125</v>
      </c>
    </row>
    <row r="210" spans="1:114" s="43" customFormat="1" ht="14">
      <c r="A210" s="49" t="s">
        <v>299</v>
      </c>
      <c r="B210" s="43">
        <v>11292</v>
      </c>
      <c r="C210" s="34">
        <v>2</v>
      </c>
      <c r="D210" s="43">
        <v>1</v>
      </c>
      <c r="E210" s="48" t="s">
        <v>58</v>
      </c>
      <c r="F210" s="48">
        <v>368</v>
      </c>
      <c r="G210" s="48">
        <f t="shared" si="4"/>
        <v>3487</v>
      </c>
      <c r="H210" s="48">
        <f t="shared" si="3"/>
        <v>9.4755434782608692</v>
      </c>
      <c r="I210" s="48" t="s">
        <v>58</v>
      </c>
      <c r="J210" s="48" t="s">
        <v>58</v>
      </c>
      <c r="K210" s="26" t="s">
        <v>139</v>
      </c>
      <c r="L210" s="26" t="s">
        <v>1379</v>
      </c>
      <c r="M210" s="26" t="s">
        <v>1379</v>
      </c>
      <c r="N210" s="26" t="s">
        <v>1379</v>
      </c>
      <c r="O210" s="26" t="s">
        <v>1379</v>
      </c>
      <c r="P210" s="26" t="s">
        <v>1379</v>
      </c>
      <c r="Q210" s="48" t="s">
        <v>61</v>
      </c>
      <c r="R210" s="48" t="s">
        <v>61</v>
      </c>
      <c r="S210" s="48" t="s">
        <v>59</v>
      </c>
      <c r="T210" s="48" t="s">
        <v>59</v>
      </c>
      <c r="U210" s="48">
        <v>1503</v>
      </c>
      <c r="V210" s="48">
        <v>2493</v>
      </c>
      <c r="W210" s="48" t="s">
        <v>59</v>
      </c>
      <c r="X210" s="48" t="s">
        <v>59</v>
      </c>
      <c r="Y210" s="69">
        <v>7.1</v>
      </c>
      <c r="Z210" s="69">
        <v>1.3</v>
      </c>
      <c r="AA210" s="69" t="s">
        <v>61</v>
      </c>
      <c r="AB210" s="69" t="s">
        <v>61</v>
      </c>
      <c r="AC210" s="69" t="s">
        <v>61</v>
      </c>
      <c r="AD210" s="69">
        <v>7.2</v>
      </c>
      <c r="AE210" s="69">
        <v>1.4</v>
      </c>
      <c r="AF210" s="69" t="s">
        <v>61</v>
      </c>
      <c r="AG210" s="69" t="s">
        <v>61</v>
      </c>
      <c r="AH210" s="69" t="s">
        <v>61</v>
      </c>
      <c r="AI210" s="69" t="s">
        <v>59</v>
      </c>
      <c r="AJ210" s="69" t="s">
        <v>59</v>
      </c>
      <c r="AK210" s="69" t="s">
        <v>59</v>
      </c>
      <c r="AL210" s="69" t="s">
        <v>59</v>
      </c>
      <c r="AM210" s="69" t="s">
        <v>59</v>
      </c>
      <c r="AN210" s="69" t="s">
        <v>59</v>
      </c>
      <c r="AO210" s="69" t="s">
        <v>59</v>
      </c>
      <c r="AP210" s="69" t="s">
        <v>59</v>
      </c>
      <c r="AQ210" s="69" t="s">
        <v>59</v>
      </c>
      <c r="AR210" s="69" t="s">
        <v>59</v>
      </c>
      <c r="AS210" s="69" t="s">
        <v>61</v>
      </c>
      <c r="AT210" s="69" t="s">
        <v>64</v>
      </c>
      <c r="AU210" s="69" t="s">
        <v>59</v>
      </c>
      <c r="AV210" s="69" t="s">
        <v>59</v>
      </c>
      <c r="AW210" s="69" t="s">
        <v>59</v>
      </c>
      <c r="AX210" s="69" t="s">
        <v>59</v>
      </c>
      <c r="AY210" s="69">
        <v>1363</v>
      </c>
      <c r="AZ210" s="69">
        <v>2124</v>
      </c>
      <c r="BA210" s="69" t="s">
        <v>59</v>
      </c>
      <c r="BB210" s="69" t="s">
        <v>59</v>
      </c>
      <c r="BC210" s="69">
        <v>6.9</v>
      </c>
      <c r="BD210" s="69">
        <v>1.2</v>
      </c>
      <c r="BE210" s="69" t="s">
        <v>61</v>
      </c>
      <c r="BF210" s="26">
        <v>0</v>
      </c>
      <c r="BG210" s="48">
        <v>1</v>
      </c>
      <c r="BH210" s="69" t="s">
        <v>61</v>
      </c>
      <c r="BI210" s="69" t="s">
        <v>61</v>
      </c>
      <c r="BJ210" s="69" t="s">
        <v>61</v>
      </c>
      <c r="BK210" s="69" t="s">
        <v>61</v>
      </c>
      <c r="BL210" s="69" t="s">
        <v>61</v>
      </c>
      <c r="BM210" s="69" t="s">
        <v>61</v>
      </c>
      <c r="BN210" s="69" t="s">
        <v>61</v>
      </c>
      <c r="BO210" s="69" t="s">
        <v>61</v>
      </c>
      <c r="BP210" s="69">
        <v>6.9</v>
      </c>
      <c r="BQ210" s="69">
        <v>1.5</v>
      </c>
      <c r="BR210" s="69" t="s">
        <v>61</v>
      </c>
      <c r="BS210" s="26">
        <v>0</v>
      </c>
      <c r="BT210" s="26">
        <v>1</v>
      </c>
      <c r="BU210" s="69" t="s">
        <v>61</v>
      </c>
      <c r="BV210" s="69" t="s">
        <v>61</v>
      </c>
      <c r="BW210" s="69" t="s">
        <v>61</v>
      </c>
      <c r="BX210" s="69" t="s">
        <v>61</v>
      </c>
      <c r="BY210" s="69" t="s">
        <v>61</v>
      </c>
      <c r="BZ210" s="69" t="s">
        <v>61</v>
      </c>
      <c r="CA210" s="69" t="s">
        <v>61</v>
      </c>
      <c r="CB210" s="69" t="s">
        <v>61</v>
      </c>
      <c r="CC210" s="69" t="s">
        <v>59</v>
      </c>
      <c r="CD210" s="69" t="s">
        <v>59</v>
      </c>
      <c r="CE210" s="69" t="s">
        <v>59</v>
      </c>
      <c r="CF210" s="69"/>
      <c r="CG210" s="69"/>
      <c r="CH210" s="69" t="s">
        <v>59</v>
      </c>
      <c r="CI210" s="69" t="s">
        <v>59</v>
      </c>
      <c r="CJ210" s="69" t="s">
        <v>59</v>
      </c>
      <c r="CK210" s="69" t="s">
        <v>59</v>
      </c>
      <c r="CL210" s="69" t="s">
        <v>59</v>
      </c>
      <c r="CM210" s="69" t="s">
        <v>59</v>
      </c>
      <c r="CN210" s="69" t="s">
        <v>59</v>
      </c>
      <c r="CO210" s="69" t="s">
        <v>59</v>
      </c>
      <c r="CP210" s="69" t="s">
        <v>59</v>
      </c>
      <c r="CQ210" s="69" t="s">
        <v>59</v>
      </c>
      <c r="CR210" s="69" t="s">
        <v>59</v>
      </c>
      <c r="CS210" s="69"/>
      <c r="CT210" s="69"/>
      <c r="CU210" s="69" t="s">
        <v>59</v>
      </c>
      <c r="CV210" s="69" t="s">
        <v>59</v>
      </c>
      <c r="CW210" s="69" t="s">
        <v>59</v>
      </c>
      <c r="CX210" s="69" t="s">
        <v>59</v>
      </c>
      <c r="CY210" s="69" t="s">
        <v>59</v>
      </c>
      <c r="CZ210" s="69" t="s">
        <v>59</v>
      </c>
      <c r="DA210" s="69" t="s">
        <v>59</v>
      </c>
      <c r="DB210" s="69" t="s">
        <v>59</v>
      </c>
      <c r="DC210" s="69">
        <v>12</v>
      </c>
      <c r="DD210" s="55"/>
      <c r="DG210" s="43" t="s">
        <v>61</v>
      </c>
      <c r="DH210" s="43" t="s">
        <v>61</v>
      </c>
      <c r="DI210" s="43" t="s">
        <v>300</v>
      </c>
      <c r="DJ210" s="43" t="s">
        <v>61</v>
      </c>
    </row>
    <row r="211" spans="1:114" s="43" customFormat="1">
      <c r="A211" s="34" t="s">
        <v>73</v>
      </c>
      <c r="B211" s="22">
        <v>1930</v>
      </c>
      <c r="C211" s="34">
        <v>2</v>
      </c>
      <c r="D211" s="43">
        <v>1</v>
      </c>
      <c r="E211" s="26" t="s">
        <v>58</v>
      </c>
      <c r="F211" s="26">
        <v>19</v>
      </c>
      <c r="G211" s="48">
        <f t="shared" si="4"/>
        <v>54</v>
      </c>
      <c r="H211" s="48">
        <f t="shared" si="3"/>
        <v>2.8421052631578947</v>
      </c>
      <c r="I211" s="48" t="s">
        <v>58</v>
      </c>
      <c r="J211" s="48" t="s">
        <v>58</v>
      </c>
      <c r="K211" s="26" t="s">
        <v>139</v>
      </c>
      <c r="L211" s="26" t="s">
        <v>1379</v>
      </c>
      <c r="M211" s="26" t="s">
        <v>1379</v>
      </c>
      <c r="N211" s="26" t="s">
        <v>1379</v>
      </c>
      <c r="O211" s="26" t="s">
        <v>1379</v>
      </c>
      <c r="P211" s="26" t="s">
        <v>1379</v>
      </c>
      <c r="Q211" s="19" t="s">
        <v>61</v>
      </c>
      <c r="R211" s="19" t="s">
        <v>61</v>
      </c>
      <c r="S211" s="26" t="s">
        <v>59</v>
      </c>
      <c r="T211" s="26" t="s">
        <v>60</v>
      </c>
      <c r="U211" s="26">
        <v>30</v>
      </c>
      <c r="V211" s="26">
        <v>24</v>
      </c>
      <c r="W211" s="26" t="s">
        <v>60</v>
      </c>
      <c r="X211" s="26" t="s">
        <v>60</v>
      </c>
      <c r="Y211" s="19">
        <v>9.5299999999999994</v>
      </c>
      <c r="Z211" s="19">
        <v>1.67</v>
      </c>
      <c r="AA211" s="19" t="s">
        <v>61</v>
      </c>
      <c r="AB211" s="19" t="s">
        <v>61</v>
      </c>
      <c r="AC211" s="19" t="s">
        <v>61</v>
      </c>
      <c r="AD211" s="19">
        <v>9.15</v>
      </c>
      <c r="AE211" s="19">
        <v>2.11</v>
      </c>
      <c r="AF211" s="19" t="s">
        <v>61</v>
      </c>
      <c r="AG211" s="27" t="s">
        <v>61</v>
      </c>
      <c r="AH211" s="27" t="s">
        <v>61</v>
      </c>
      <c r="AI211" s="26" t="s">
        <v>60</v>
      </c>
      <c r="AJ211" s="26" t="s">
        <v>60</v>
      </c>
      <c r="AK211" s="26" t="s">
        <v>59</v>
      </c>
      <c r="AL211" s="26" t="s">
        <v>59</v>
      </c>
      <c r="AM211" s="26" t="s">
        <v>59</v>
      </c>
      <c r="AN211" s="26" t="s">
        <v>60</v>
      </c>
      <c r="AO211" s="26" t="s">
        <v>60</v>
      </c>
      <c r="AP211" s="26" t="s">
        <v>59</v>
      </c>
      <c r="AQ211" s="26" t="s">
        <v>59</v>
      </c>
      <c r="AR211" s="26" t="s">
        <v>59</v>
      </c>
      <c r="AS211" s="26" t="s">
        <v>61</v>
      </c>
      <c r="AT211" s="26" t="s">
        <v>64</v>
      </c>
      <c r="AU211" s="26" t="s">
        <v>61</v>
      </c>
      <c r="AV211" s="26" t="s">
        <v>61</v>
      </c>
      <c r="AW211" s="26" t="s">
        <v>61</v>
      </c>
      <c r="AX211" s="26" t="s">
        <v>61</v>
      </c>
      <c r="AY211" s="19">
        <v>30</v>
      </c>
      <c r="AZ211" s="19">
        <v>24</v>
      </c>
      <c r="BA211" s="26" t="s">
        <v>60</v>
      </c>
      <c r="BB211" s="26" t="s">
        <v>60</v>
      </c>
      <c r="BC211" s="19">
        <v>9.1999999999999993</v>
      </c>
      <c r="BD211" s="19">
        <v>1.81</v>
      </c>
      <c r="BE211" s="19" t="s">
        <v>61</v>
      </c>
      <c r="BF211" s="19">
        <v>0</v>
      </c>
      <c r="BG211" s="48">
        <v>1</v>
      </c>
      <c r="BH211" s="19" t="s">
        <v>61</v>
      </c>
      <c r="BI211" s="19" t="s">
        <v>61</v>
      </c>
      <c r="BJ211" s="19">
        <v>-0.33</v>
      </c>
      <c r="BK211" s="19">
        <v>1.04</v>
      </c>
      <c r="BL211" s="19" t="s">
        <v>61</v>
      </c>
      <c r="BM211" s="19" t="s">
        <v>61</v>
      </c>
      <c r="BN211" s="19" t="s">
        <v>61</v>
      </c>
      <c r="BO211" s="19" t="s">
        <v>61</v>
      </c>
      <c r="BP211" s="19">
        <v>8.15</v>
      </c>
      <c r="BQ211" s="19">
        <v>1.59</v>
      </c>
      <c r="BR211" s="19" t="s">
        <v>61</v>
      </c>
      <c r="BS211" s="19">
        <v>0</v>
      </c>
      <c r="BT211" s="26">
        <v>1</v>
      </c>
      <c r="BU211" s="19" t="s">
        <v>61</v>
      </c>
      <c r="BV211" s="19" t="s">
        <v>61</v>
      </c>
      <c r="BW211" s="19">
        <v>-1</v>
      </c>
      <c r="BX211" s="19">
        <v>1.92</v>
      </c>
      <c r="BY211" s="19" t="s">
        <v>61</v>
      </c>
      <c r="BZ211" s="19" t="s">
        <v>61</v>
      </c>
      <c r="CA211" s="19" t="s">
        <v>61</v>
      </c>
      <c r="CB211" s="19">
        <v>1.7999999999999999E-2</v>
      </c>
      <c r="CC211" s="26" t="s">
        <v>60</v>
      </c>
      <c r="CD211" s="26" t="s">
        <v>60</v>
      </c>
      <c r="CE211" s="26" t="s">
        <v>59</v>
      </c>
      <c r="CF211" s="26"/>
      <c r="CG211" s="26"/>
      <c r="CH211" s="26" t="s">
        <v>59</v>
      </c>
      <c r="CI211" s="26" t="s">
        <v>59</v>
      </c>
      <c r="CJ211" s="26" t="s">
        <v>59</v>
      </c>
      <c r="CK211" s="26" t="s">
        <v>59</v>
      </c>
      <c r="CL211" s="26" t="s">
        <v>59</v>
      </c>
      <c r="CM211" s="26" t="s">
        <v>59</v>
      </c>
      <c r="CN211" s="26" t="s">
        <v>59</v>
      </c>
      <c r="CO211" s="26" t="s">
        <v>59</v>
      </c>
      <c r="CP211" s="26" t="s">
        <v>60</v>
      </c>
      <c r="CQ211" s="26" t="s">
        <v>60</v>
      </c>
      <c r="CR211" s="26" t="s">
        <v>59</v>
      </c>
      <c r="CS211" s="26"/>
      <c r="CT211" s="26"/>
      <c r="CU211" s="26" t="s">
        <v>59</v>
      </c>
      <c r="CV211" s="26" t="s">
        <v>59</v>
      </c>
      <c r="CW211" s="26" t="s">
        <v>59</v>
      </c>
      <c r="CX211" s="26" t="s">
        <v>59</v>
      </c>
      <c r="CY211" s="26" t="s">
        <v>59</v>
      </c>
      <c r="CZ211" s="26" t="s">
        <v>59</v>
      </c>
      <c r="DA211" s="26" t="s">
        <v>59</v>
      </c>
      <c r="DB211" s="26" t="s">
        <v>59</v>
      </c>
      <c r="DC211" s="19">
        <v>6</v>
      </c>
      <c r="DD211" s="40" t="s">
        <v>69</v>
      </c>
      <c r="DE211" s="29" t="s">
        <v>61</v>
      </c>
      <c r="DF211" s="29" t="s">
        <v>61</v>
      </c>
      <c r="DG211" s="26" t="s">
        <v>61</v>
      </c>
      <c r="DH211" s="27" t="s">
        <v>61</v>
      </c>
      <c r="DI211" s="29" t="s">
        <v>61</v>
      </c>
      <c r="DJ211" s="26" t="s">
        <v>61</v>
      </c>
    </row>
    <row r="212" spans="1:114" s="43" customFormat="1" ht="14">
      <c r="A212" s="49" t="s">
        <v>302</v>
      </c>
      <c r="B212" s="43">
        <v>12181</v>
      </c>
      <c r="C212" s="34">
        <v>2</v>
      </c>
      <c r="D212" s="43">
        <v>1</v>
      </c>
      <c r="E212" s="48" t="s">
        <v>58</v>
      </c>
      <c r="F212" s="48">
        <v>6</v>
      </c>
      <c r="G212" s="48">
        <f t="shared" si="4"/>
        <v>486</v>
      </c>
      <c r="H212" s="48">
        <f t="shared" si="3"/>
        <v>81</v>
      </c>
      <c r="I212" s="48" t="s">
        <v>139</v>
      </c>
      <c r="J212" s="48" t="s">
        <v>58</v>
      </c>
      <c r="K212" s="26" t="s">
        <v>58</v>
      </c>
      <c r="L212" s="26" t="s">
        <v>139</v>
      </c>
      <c r="M212" s="26" t="s">
        <v>58</v>
      </c>
      <c r="N212" s="26" t="s">
        <v>3519</v>
      </c>
      <c r="O212" s="26" t="s">
        <v>139</v>
      </c>
      <c r="P212" s="26" t="s">
        <v>139</v>
      </c>
      <c r="Q212" s="48" t="s">
        <v>61</v>
      </c>
      <c r="R212" s="48" t="s">
        <v>61</v>
      </c>
      <c r="S212" s="48" t="s">
        <v>59</v>
      </c>
      <c r="T212" s="48" t="s">
        <v>59</v>
      </c>
      <c r="U212" s="48">
        <v>272</v>
      </c>
      <c r="V212" s="48">
        <v>214</v>
      </c>
      <c r="W212" s="48" t="s">
        <v>59</v>
      </c>
      <c r="X212" s="48" t="s">
        <v>59</v>
      </c>
      <c r="Y212" s="69">
        <v>7.7</v>
      </c>
      <c r="Z212" s="69">
        <v>1.8</v>
      </c>
      <c r="AA212" s="69" t="s">
        <v>61</v>
      </c>
      <c r="AB212" s="69" t="s">
        <v>61</v>
      </c>
      <c r="AC212" s="69" t="s">
        <v>61</v>
      </c>
      <c r="AD212" s="69">
        <v>8.3000000000000007</v>
      </c>
      <c r="AE212" s="69">
        <v>1.7</v>
      </c>
      <c r="AF212" s="69" t="s">
        <v>61</v>
      </c>
      <c r="AG212" s="69" t="s">
        <v>61</v>
      </c>
      <c r="AH212" s="69" t="s">
        <v>61</v>
      </c>
      <c r="AI212" s="69" t="s">
        <v>59</v>
      </c>
      <c r="AJ212" s="69" t="s">
        <v>59</v>
      </c>
      <c r="AK212" s="69" t="s">
        <v>59</v>
      </c>
      <c r="AL212" s="69" t="s">
        <v>59</v>
      </c>
      <c r="AM212" s="69" t="s">
        <v>59</v>
      </c>
      <c r="AN212" s="69" t="s">
        <v>59</v>
      </c>
      <c r="AO212" s="69" t="s">
        <v>59</v>
      </c>
      <c r="AP212" s="69" t="s">
        <v>59</v>
      </c>
      <c r="AQ212" s="69" t="s">
        <v>59</v>
      </c>
      <c r="AR212" s="69" t="s">
        <v>59</v>
      </c>
      <c r="AS212" s="69" t="s">
        <v>119</v>
      </c>
      <c r="AT212" s="69" t="s">
        <v>64</v>
      </c>
      <c r="AU212" s="69" t="s">
        <v>59</v>
      </c>
      <c r="AV212" s="69" t="s">
        <v>59</v>
      </c>
      <c r="AW212" s="69" t="s">
        <v>59</v>
      </c>
      <c r="AX212" s="69" t="s">
        <v>59</v>
      </c>
      <c r="AY212" s="218">
        <v>272</v>
      </c>
      <c r="AZ212" s="218">
        <v>214</v>
      </c>
      <c r="BA212" s="69" t="s">
        <v>59</v>
      </c>
      <c r="BB212" s="69" t="s">
        <v>59</v>
      </c>
      <c r="BC212" s="69">
        <v>7.4</v>
      </c>
      <c r="BD212" s="69">
        <v>1.5</v>
      </c>
      <c r="BE212" s="69" t="s">
        <v>61</v>
      </c>
      <c r="BF212" s="69">
        <v>0</v>
      </c>
      <c r="BG212" s="48">
        <v>1</v>
      </c>
      <c r="BH212" s="69" t="s">
        <v>61</v>
      </c>
      <c r="BI212" s="69" t="s">
        <v>61</v>
      </c>
      <c r="BJ212" s="69">
        <v>-0.31</v>
      </c>
      <c r="BK212" s="69" t="s">
        <v>61</v>
      </c>
      <c r="BL212" s="69" t="s">
        <v>61</v>
      </c>
      <c r="BM212" s="69">
        <v>-0.56000000000000005</v>
      </c>
      <c r="BN212" s="69">
        <v>-0.06</v>
      </c>
      <c r="BO212" s="69" t="s">
        <v>61</v>
      </c>
      <c r="BP212" s="69">
        <v>8.1999999999999993</v>
      </c>
      <c r="BQ212" s="69">
        <v>1.6</v>
      </c>
      <c r="BR212" s="69" t="s">
        <v>61</v>
      </c>
      <c r="BS212" s="69">
        <v>0</v>
      </c>
      <c r="BT212" s="26">
        <v>1</v>
      </c>
      <c r="BU212" s="69" t="s">
        <v>61</v>
      </c>
      <c r="BV212" s="69" t="s">
        <v>61</v>
      </c>
      <c r="BW212" s="69" t="s">
        <v>61</v>
      </c>
      <c r="BX212" s="69" t="s">
        <v>61</v>
      </c>
      <c r="BY212" s="69" t="s">
        <v>61</v>
      </c>
      <c r="BZ212" s="69" t="s">
        <v>61</v>
      </c>
      <c r="CA212" s="69" t="s">
        <v>61</v>
      </c>
      <c r="CB212" s="69" t="s">
        <v>61</v>
      </c>
      <c r="CC212" s="69" t="s">
        <v>59</v>
      </c>
      <c r="CD212" s="69" t="s">
        <v>59</v>
      </c>
      <c r="CE212" s="69" t="s">
        <v>59</v>
      </c>
      <c r="CF212" s="69"/>
      <c r="CG212" s="69"/>
      <c r="CH212" s="69" t="s">
        <v>59</v>
      </c>
      <c r="CI212" s="69" t="s">
        <v>59</v>
      </c>
      <c r="CJ212" s="69" t="s">
        <v>59</v>
      </c>
      <c r="CK212" s="69" t="s">
        <v>59</v>
      </c>
      <c r="CL212" s="69" t="s">
        <v>59</v>
      </c>
      <c r="CM212" s="69" t="s">
        <v>59</v>
      </c>
      <c r="CN212" s="69" t="s">
        <v>59</v>
      </c>
      <c r="CO212" s="69" t="s">
        <v>59</v>
      </c>
      <c r="CP212" s="69" t="s">
        <v>59</v>
      </c>
      <c r="CQ212" s="69" t="s">
        <v>59</v>
      </c>
      <c r="CR212" s="69" t="s">
        <v>59</v>
      </c>
      <c r="CS212" s="69"/>
      <c r="CT212" s="69"/>
      <c r="CU212" s="69" t="s">
        <v>59</v>
      </c>
      <c r="CV212" s="69" t="s">
        <v>59</v>
      </c>
      <c r="CW212" s="69" t="s">
        <v>59</v>
      </c>
      <c r="CX212" s="69" t="s">
        <v>59</v>
      </c>
      <c r="CY212" s="69" t="s">
        <v>59</v>
      </c>
      <c r="CZ212" s="69" t="s">
        <v>59</v>
      </c>
      <c r="DA212" s="69" t="s">
        <v>59</v>
      </c>
      <c r="DB212" s="69" t="s">
        <v>59</v>
      </c>
      <c r="DC212" s="69">
        <v>6</v>
      </c>
      <c r="DG212" s="43">
        <v>0.31</v>
      </c>
      <c r="DH212" s="43">
        <v>6.6699999999999995E-2</v>
      </c>
      <c r="DI212" s="43" t="s">
        <v>303</v>
      </c>
      <c r="DJ212" s="43">
        <v>0.02</v>
      </c>
    </row>
    <row r="213" spans="1:114" s="43" customFormat="1">
      <c r="A213" s="37" t="s">
        <v>70</v>
      </c>
      <c r="B213" s="37">
        <v>1521</v>
      </c>
      <c r="C213" s="34">
        <v>2</v>
      </c>
      <c r="D213" s="43">
        <v>1</v>
      </c>
      <c r="E213" s="19" t="s">
        <v>58</v>
      </c>
      <c r="F213" s="26">
        <v>29</v>
      </c>
      <c r="G213" s="48">
        <f t="shared" si="4"/>
        <v>689</v>
      </c>
      <c r="H213" s="48">
        <f t="shared" si="3"/>
        <v>23.758620689655171</v>
      </c>
      <c r="I213" s="39" t="s">
        <v>58</v>
      </c>
      <c r="J213" s="48" t="s">
        <v>58</v>
      </c>
      <c r="K213" s="26" t="s">
        <v>139</v>
      </c>
      <c r="L213" s="26" t="s">
        <v>1379</v>
      </c>
      <c r="M213" s="26" t="s">
        <v>1379</v>
      </c>
      <c r="N213" s="26" t="s">
        <v>1379</v>
      </c>
      <c r="O213" s="26" t="s">
        <v>1379</v>
      </c>
      <c r="P213" s="26" t="s">
        <v>1379</v>
      </c>
      <c r="Q213" s="19" t="s">
        <v>61</v>
      </c>
      <c r="R213" s="19" t="s">
        <v>61</v>
      </c>
      <c r="S213" s="26" t="s">
        <v>59</v>
      </c>
      <c r="T213" s="26" t="s">
        <v>60</v>
      </c>
      <c r="U213" s="19">
        <v>415</v>
      </c>
      <c r="V213" s="19">
        <v>362</v>
      </c>
      <c r="W213" s="19" t="s">
        <v>59</v>
      </c>
      <c r="X213" s="19" t="s">
        <v>59</v>
      </c>
      <c r="Y213" s="19">
        <v>8.1999999999999993</v>
      </c>
      <c r="Z213" s="19">
        <v>1.8</v>
      </c>
      <c r="AA213" s="21" t="s">
        <v>61</v>
      </c>
      <c r="AB213" s="21" t="s">
        <v>61</v>
      </c>
      <c r="AC213" s="21" t="s">
        <v>61</v>
      </c>
      <c r="AD213" s="19">
        <v>8.1999999999999993</v>
      </c>
      <c r="AE213" s="19">
        <v>1.8</v>
      </c>
      <c r="AF213" s="21" t="s">
        <v>61</v>
      </c>
      <c r="AG213" s="21" t="s">
        <v>61</v>
      </c>
      <c r="AH213" s="21" t="s">
        <v>61</v>
      </c>
      <c r="AI213" s="19" t="s">
        <v>59</v>
      </c>
      <c r="AJ213" s="19" t="s">
        <v>59</v>
      </c>
      <c r="AK213" s="19" t="s">
        <v>59</v>
      </c>
      <c r="AL213" s="19" t="s">
        <v>59</v>
      </c>
      <c r="AM213" s="19" t="s">
        <v>59</v>
      </c>
      <c r="AN213" s="19" t="s">
        <v>59</v>
      </c>
      <c r="AO213" s="19" t="s">
        <v>59</v>
      </c>
      <c r="AP213" s="19" t="s">
        <v>59</v>
      </c>
      <c r="AQ213" s="19" t="s">
        <v>59</v>
      </c>
      <c r="AR213" s="19" t="s">
        <v>59</v>
      </c>
      <c r="AS213" s="19" t="s">
        <v>61</v>
      </c>
      <c r="AT213" s="19" t="s">
        <v>64</v>
      </c>
      <c r="AU213" s="19" t="s">
        <v>61</v>
      </c>
      <c r="AV213" s="19" t="s">
        <v>61</v>
      </c>
      <c r="AW213" s="19" t="s">
        <v>61</v>
      </c>
      <c r="AX213" s="19" t="s">
        <v>61</v>
      </c>
      <c r="AY213" s="19">
        <v>368</v>
      </c>
      <c r="AZ213" s="19">
        <v>321</v>
      </c>
      <c r="BA213" s="19" t="s">
        <v>59</v>
      </c>
      <c r="BB213" s="19" t="s">
        <v>59</v>
      </c>
      <c r="BC213" s="19">
        <v>7.9</v>
      </c>
      <c r="BD213" s="19">
        <v>1.6</v>
      </c>
      <c r="BE213" s="21" t="s">
        <v>61</v>
      </c>
      <c r="BF213" s="69">
        <v>0</v>
      </c>
      <c r="BG213" s="48">
        <v>1</v>
      </c>
      <c r="BH213" s="19" t="s">
        <v>61</v>
      </c>
      <c r="BI213" s="21" t="s">
        <v>61</v>
      </c>
      <c r="BJ213" s="21" t="s">
        <v>61</v>
      </c>
      <c r="BK213" s="21" t="s">
        <v>61</v>
      </c>
      <c r="BL213" s="21" t="s">
        <v>61</v>
      </c>
      <c r="BM213" s="21" t="s">
        <v>61</v>
      </c>
      <c r="BN213" s="21" t="s">
        <v>61</v>
      </c>
      <c r="BO213" s="21" t="s">
        <v>61</v>
      </c>
      <c r="BP213" s="19">
        <v>7.8</v>
      </c>
      <c r="BQ213" s="19">
        <v>1.6</v>
      </c>
      <c r="BR213" s="21" t="s">
        <v>61</v>
      </c>
      <c r="BS213" s="69">
        <v>0</v>
      </c>
      <c r="BT213" s="26">
        <v>1</v>
      </c>
      <c r="BU213" s="21" t="s">
        <v>61</v>
      </c>
      <c r="BV213" s="21" t="s">
        <v>61</v>
      </c>
      <c r="BW213" s="21" t="s">
        <v>61</v>
      </c>
      <c r="BX213" s="21" t="s">
        <v>61</v>
      </c>
      <c r="BY213" s="21" t="s">
        <v>61</v>
      </c>
      <c r="BZ213" s="21" t="s">
        <v>61</v>
      </c>
      <c r="CA213" s="21" t="s">
        <v>61</v>
      </c>
      <c r="CB213" s="21" t="s">
        <v>61</v>
      </c>
      <c r="CC213" s="19" t="s">
        <v>59</v>
      </c>
      <c r="CD213" s="19" t="s">
        <v>59</v>
      </c>
      <c r="CE213" s="19" t="s">
        <v>59</v>
      </c>
      <c r="CF213" s="19"/>
      <c r="CG213" s="19"/>
      <c r="CH213" s="19" t="s">
        <v>59</v>
      </c>
      <c r="CI213" s="19" t="s">
        <v>59</v>
      </c>
      <c r="CJ213" s="19" t="s">
        <v>59</v>
      </c>
      <c r="CK213" s="19" t="s">
        <v>59</v>
      </c>
      <c r="CL213" s="19" t="s">
        <v>59</v>
      </c>
      <c r="CM213" s="19" t="s">
        <v>59</v>
      </c>
      <c r="CN213" s="19" t="s">
        <v>59</v>
      </c>
      <c r="CO213" s="19" t="s">
        <v>59</v>
      </c>
      <c r="CP213" s="19" t="s">
        <v>59</v>
      </c>
      <c r="CQ213" s="19" t="s">
        <v>59</v>
      </c>
      <c r="CR213" s="19" t="s">
        <v>59</v>
      </c>
      <c r="CS213" s="19"/>
      <c r="CT213" s="19"/>
      <c r="CU213" s="19" t="s">
        <v>59</v>
      </c>
      <c r="CV213" s="19" t="s">
        <v>59</v>
      </c>
      <c r="CW213" s="19" t="s">
        <v>59</v>
      </c>
      <c r="CX213" s="19" t="s">
        <v>59</v>
      </c>
      <c r="CY213" s="19" t="s">
        <v>59</v>
      </c>
      <c r="CZ213" s="19" t="s">
        <v>59</v>
      </c>
      <c r="DA213" s="19" t="s">
        <v>59</v>
      </c>
      <c r="DB213" s="19" t="s">
        <v>59</v>
      </c>
      <c r="DC213" s="19">
        <v>21</v>
      </c>
      <c r="DD213" s="72" t="s">
        <v>69</v>
      </c>
      <c r="DE213" s="20" t="s">
        <v>61</v>
      </c>
      <c r="DF213" s="20" t="s">
        <v>61</v>
      </c>
      <c r="DG213" s="19" t="s">
        <v>61</v>
      </c>
      <c r="DH213" s="21" t="s">
        <v>61</v>
      </c>
      <c r="DI213" s="20" t="s">
        <v>61</v>
      </c>
      <c r="DJ213" s="19" t="s">
        <v>61</v>
      </c>
    </row>
    <row r="214" spans="1:114" s="43" customFormat="1">
      <c r="A214" s="34" t="s">
        <v>96</v>
      </c>
      <c r="B214" s="22">
        <v>5417</v>
      </c>
      <c r="C214" s="34">
        <v>2</v>
      </c>
      <c r="D214" s="43">
        <v>1</v>
      </c>
      <c r="E214" s="26" t="s">
        <v>58</v>
      </c>
      <c r="F214" s="26">
        <v>78</v>
      </c>
      <c r="G214" s="48">
        <f t="shared" si="4"/>
        <v>483</v>
      </c>
      <c r="H214" s="48">
        <f t="shared" si="3"/>
        <v>6.1923076923076925</v>
      </c>
      <c r="I214" s="26" t="s">
        <v>139</v>
      </c>
      <c r="J214" s="48" t="s">
        <v>58</v>
      </c>
      <c r="K214" s="26" t="s">
        <v>58</v>
      </c>
      <c r="L214" s="26" t="s">
        <v>139</v>
      </c>
      <c r="M214" s="26" t="s">
        <v>139</v>
      </c>
      <c r="N214" s="26" t="s">
        <v>3516</v>
      </c>
      <c r="O214" s="26" t="s">
        <v>139</v>
      </c>
      <c r="P214" s="26" t="s">
        <v>139</v>
      </c>
      <c r="Q214" s="26" t="s">
        <v>61</v>
      </c>
      <c r="R214" s="26" t="s">
        <v>61</v>
      </c>
      <c r="S214" s="26" t="s">
        <v>60</v>
      </c>
      <c r="T214" s="26" t="s">
        <v>60</v>
      </c>
      <c r="U214" s="26">
        <v>231</v>
      </c>
      <c r="V214" s="26">
        <v>252</v>
      </c>
      <c r="W214" s="26" t="s">
        <v>60</v>
      </c>
      <c r="X214" s="26" t="s">
        <v>60</v>
      </c>
      <c r="Y214" s="26">
        <v>7.4</v>
      </c>
      <c r="Z214" s="222">
        <v>1.94</v>
      </c>
      <c r="AA214" s="26" t="s">
        <v>61</v>
      </c>
      <c r="AB214" s="26" t="s">
        <v>61</v>
      </c>
      <c r="AC214" s="26" t="s">
        <v>61</v>
      </c>
      <c r="AD214" s="26">
        <v>7.3</v>
      </c>
      <c r="AE214" s="26">
        <v>1.62</v>
      </c>
      <c r="AF214" s="26" t="s">
        <v>61</v>
      </c>
      <c r="AG214" s="26" t="s">
        <v>61</v>
      </c>
      <c r="AH214" s="26" t="s">
        <v>61</v>
      </c>
      <c r="AI214" s="26" t="s">
        <v>60</v>
      </c>
      <c r="AJ214" s="26" t="s">
        <v>60</v>
      </c>
      <c r="AK214" s="26" t="s">
        <v>59</v>
      </c>
      <c r="AL214" s="26" t="s">
        <v>59</v>
      </c>
      <c r="AM214" s="26" t="s">
        <v>59</v>
      </c>
      <c r="AN214" s="26" t="s">
        <v>60</v>
      </c>
      <c r="AO214" s="26" t="s">
        <v>60</v>
      </c>
      <c r="AP214" s="26" t="s">
        <v>59</v>
      </c>
      <c r="AQ214" s="26" t="s">
        <v>59</v>
      </c>
      <c r="AR214" s="26" t="s">
        <v>59</v>
      </c>
      <c r="AS214" s="26">
        <v>0.13</v>
      </c>
      <c r="AT214" s="26" t="s">
        <v>64</v>
      </c>
      <c r="AU214" s="26" t="s">
        <v>59</v>
      </c>
      <c r="AV214" s="26" t="s">
        <v>59</v>
      </c>
      <c r="AW214" s="26" t="s">
        <v>59</v>
      </c>
      <c r="AX214" s="26" t="s">
        <v>59</v>
      </c>
      <c r="AY214" s="26">
        <v>231</v>
      </c>
      <c r="AZ214" s="26">
        <v>252</v>
      </c>
      <c r="BA214" s="26" t="s">
        <v>60</v>
      </c>
      <c r="BB214" s="26" t="s">
        <v>60</v>
      </c>
      <c r="BC214" s="26">
        <v>7.4</v>
      </c>
      <c r="BD214" s="225">
        <v>1.94</v>
      </c>
      <c r="BE214" s="26" t="s">
        <v>61</v>
      </c>
      <c r="BF214" s="26">
        <v>2</v>
      </c>
      <c r="BG214" s="48">
        <v>1</v>
      </c>
      <c r="BH214" s="26" t="s">
        <v>61</v>
      </c>
      <c r="BI214" s="26" t="s">
        <v>61</v>
      </c>
      <c r="BJ214" s="26">
        <v>-0.01</v>
      </c>
      <c r="BK214" s="26" t="s">
        <v>61</v>
      </c>
      <c r="BL214" s="26" t="s">
        <v>61</v>
      </c>
      <c r="BM214" s="26">
        <v>-0.13</v>
      </c>
      <c r="BN214" s="26">
        <v>0.12</v>
      </c>
      <c r="BO214" s="26" t="s">
        <v>61</v>
      </c>
      <c r="BP214" s="26">
        <v>7.3</v>
      </c>
      <c r="BQ214" s="225">
        <v>1.62</v>
      </c>
      <c r="BR214" s="26" t="s">
        <v>61</v>
      </c>
      <c r="BS214" s="26">
        <v>2</v>
      </c>
      <c r="BT214" s="26">
        <v>1</v>
      </c>
      <c r="BU214" s="26" t="s">
        <v>61</v>
      </c>
      <c r="BV214" s="26" t="s">
        <v>61</v>
      </c>
      <c r="BW214" s="26">
        <v>-0.02</v>
      </c>
      <c r="BX214" s="26" t="s">
        <v>61</v>
      </c>
      <c r="BY214" s="26" t="s">
        <v>61</v>
      </c>
      <c r="BZ214" s="26">
        <v>-0.18</v>
      </c>
      <c r="CA214" s="26">
        <v>0.14000000000000001</v>
      </c>
      <c r="CB214" s="26" t="s">
        <v>61</v>
      </c>
      <c r="CC214" s="26" t="s">
        <v>60</v>
      </c>
      <c r="CD214" s="26" t="s">
        <v>60</v>
      </c>
      <c r="CE214" s="26" t="s">
        <v>59</v>
      </c>
      <c r="CF214" s="26"/>
      <c r="CG214" s="26"/>
      <c r="CH214" s="26" t="s">
        <v>59</v>
      </c>
      <c r="CI214" s="26" t="s">
        <v>59</v>
      </c>
      <c r="CJ214" s="26" t="s">
        <v>59</v>
      </c>
      <c r="CK214" s="26" t="s">
        <v>59</v>
      </c>
      <c r="CL214" s="26" t="s">
        <v>59</v>
      </c>
      <c r="CM214" s="26" t="s">
        <v>59</v>
      </c>
      <c r="CN214" s="26" t="s">
        <v>59</v>
      </c>
      <c r="CO214" s="26" t="s">
        <v>59</v>
      </c>
      <c r="CP214" s="26" t="s">
        <v>60</v>
      </c>
      <c r="CQ214" s="26" t="s">
        <v>60</v>
      </c>
      <c r="CR214" s="26" t="s">
        <v>59</v>
      </c>
      <c r="CS214" s="26"/>
      <c r="CT214" s="26"/>
      <c r="CU214" s="26" t="s">
        <v>59</v>
      </c>
      <c r="CV214" s="26" t="s">
        <v>59</v>
      </c>
      <c r="CW214" s="26" t="s">
        <v>59</v>
      </c>
      <c r="CX214" s="26" t="s">
        <v>59</v>
      </c>
      <c r="CY214" s="26" t="s">
        <v>59</v>
      </c>
      <c r="CZ214" s="26" t="s">
        <v>59</v>
      </c>
      <c r="DA214" s="26" t="s">
        <v>59</v>
      </c>
      <c r="DB214" s="26" t="s">
        <v>59</v>
      </c>
      <c r="DC214" s="26">
        <v>10</v>
      </c>
      <c r="DD214" s="29"/>
      <c r="DE214" s="29" t="s">
        <v>61</v>
      </c>
      <c r="DF214" s="29" t="s">
        <v>61</v>
      </c>
      <c r="DG214" s="26">
        <v>-0.01</v>
      </c>
      <c r="DH214" s="30">
        <v>4.6420000000000003E-2</v>
      </c>
      <c r="DI214" s="29" t="s">
        <v>97</v>
      </c>
      <c r="DJ214" s="26">
        <v>0.83</v>
      </c>
    </row>
    <row r="215" spans="1:114" s="43" customFormat="1">
      <c r="A215" s="51" t="s">
        <v>282</v>
      </c>
      <c r="B215" s="52">
        <v>10171</v>
      </c>
      <c r="C215" s="34">
        <v>2</v>
      </c>
      <c r="D215" s="43">
        <v>1</v>
      </c>
      <c r="E215" s="48" t="s">
        <v>58</v>
      </c>
      <c r="F215" s="48">
        <v>95</v>
      </c>
      <c r="G215" s="48">
        <f t="shared" si="4"/>
        <v>945</v>
      </c>
      <c r="H215" s="48">
        <f t="shared" si="3"/>
        <v>9.9473684210526319</v>
      </c>
      <c r="I215" s="26" t="s">
        <v>58</v>
      </c>
      <c r="J215" s="26" t="s">
        <v>58</v>
      </c>
      <c r="K215" s="26" t="s">
        <v>139</v>
      </c>
      <c r="L215" s="26" t="s">
        <v>1379</v>
      </c>
      <c r="M215" s="26" t="s">
        <v>1379</v>
      </c>
      <c r="N215" s="26" t="s">
        <v>1379</v>
      </c>
      <c r="O215" s="26" t="s">
        <v>1379</v>
      </c>
      <c r="P215" s="26" t="s">
        <v>1379</v>
      </c>
      <c r="Q215" s="48" t="s">
        <v>61</v>
      </c>
      <c r="R215" s="48" t="s">
        <v>61</v>
      </c>
      <c r="S215" s="48" t="s">
        <v>59</v>
      </c>
      <c r="T215" s="48" t="s">
        <v>59</v>
      </c>
      <c r="U215" s="48">
        <v>467</v>
      </c>
      <c r="V215" s="48">
        <v>715</v>
      </c>
      <c r="W215" s="48" t="s">
        <v>59</v>
      </c>
      <c r="X215" s="48" t="s">
        <v>59</v>
      </c>
      <c r="Y215" s="48">
        <v>7.34</v>
      </c>
      <c r="Z215" s="227">
        <v>2.31</v>
      </c>
      <c r="AA215" s="48" t="s">
        <v>61</v>
      </c>
      <c r="AB215" s="48" t="s">
        <v>61</v>
      </c>
      <c r="AC215" s="48" t="s">
        <v>61</v>
      </c>
      <c r="AD215" s="48">
        <v>7.43</v>
      </c>
      <c r="AE215" s="26">
        <v>2.3199999999999998</v>
      </c>
      <c r="AF215" s="48" t="s">
        <v>61</v>
      </c>
      <c r="AG215" s="48" t="s">
        <v>61</v>
      </c>
      <c r="AH215" s="48" t="s">
        <v>61</v>
      </c>
      <c r="AI215" s="48" t="s">
        <v>59</v>
      </c>
      <c r="AJ215" s="48" t="s">
        <v>59</v>
      </c>
      <c r="AK215" s="48" t="s">
        <v>59</v>
      </c>
      <c r="AL215" s="48" t="s">
        <v>59</v>
      </c>
      <c r="AM215" s="48" t="s">
        <v>59</v>
      </c>
      <c r="AN215" s="48" t="s">
        <v>59</v>
      </c>
      <c r="AO215" s="48" t="s">
        <v>59</v>
      </c>
      <c r="AP215" s="48" t="s">
        <v>59</v>
      </c>
      <c r="AQ215" s="48" t="s">
        <v>59</v>
      </c>
      <c r="AR215" s="48" t="s">
        <v>59</v>
      </c>
      <c r="AS215" s="48" t="s">
        <v>61</v>
      </c>
      <c r="AT215" s="48" t="s">
        <v>64</v>
      </c>
      <c r="AU215" s="48" t="s">
        <v>59</v>
      </c>
      <c r="AV215" s="48" t="s">
        <v>59</v>
      </c>
      <c r="AW215" s="48" t="s">
        <v>59</v>
      </c>
      <c r="AX215" s="48" t="s">
        <v>59</v>
      </c>
      <c r="AY215" s="48">
        <v>466</v>
      </c>
      <c r="AZ215" s="48">
        <v>479</v>
      </c>
      <c r="BA215" s="48" t="s">
        <v>59</v>
      </c>
      <c r="BB215" s="48" t="s">
        <v>59</v>
      </c>
      <c r="BC215" s="48">
        <v>7.51</v>
      </c>
      <c r="BD215" s="225">
        <v>1.82</v>
      </c>
      <c r="BE215" s="48" t="s">
        <v>61</v>
      </c>
      <c r="BF215" s="48">
        <v>2</v>
      </c>
      <c r="BG215" s="48">
        <v>1</v>
      </c>
      <c r="BH215" s="48" t="s">
        <v>61</v>
      </c>
      <c r="BI215" s="48" t="s">
        <v>61</v>
      </c>
      <c r="BJ215" s="48" t="s">
        <v>61</v>
      </c>
      <c r="BK215" s="48" t="s">
        <v>61</v>
      </c>
      <c r="BL215" s="48" t="s">
        <v>61</v>
      </c>
      <c r="BM215" s="48" t="s">
        <v>61</v>
      </c>
      <c r="BN215" s="48" t="s">
        <v>61</v>
      </c>
      <c r="BO215" s="48">
        <v>0.19</v>
      </c>
      <c r="BP215" s="48">
        <v>7.37</v>
      </c>
      <c r="BQ215" s="225">
        <v>1.84</v>
      </c>
      <c r="BR215" s="48" t="s">
        <v>61</v>
      </c>
      <c r="BS215" s="48">
        <v>2</v>
      </c>
      <c r="BT215" s="26">
        <v>1</v>
      </c>
      <c r="BU215" s="48" t="s">
        <v>61</v>
      </c>
      <c r="BV215" s="48" t="s">
        <v>61</v>
      </c>
      <c r="BW215" s="48" t="s">
        <v>61</v>
      </c>
      <c r="BX215" s="48" t="s">
        <v>61</v>
      </c>
      <c r="BY215" s="48" t="s">
        <v>61</v>
      </c>
      <c r="BZ215" s="48" t="s">
        <v>59</v>
      </c>
      <c r="CA215" s="48" t="s">
        <v>61</v>
      </c>
      <c r="CB215" s="48">
        <v>0.7</v>
      </c>
      <c r="CC215" s="48" t="s">
        <v>59</v>
      </c>
      <c r="CD215" s="48" t="s">
        <v>59</v>
      </c>
      <c r="CE215" s="48" t="s">
        <v>59</v>
      </c>
      <c r="CF215" s="48"/>
      <c r="CG215" s="48"/>
      <c r="CH215" s="48" t="s">
        <v>59</v>
      </c>
      <c r="CI215" s="48" t="s">
        <v>59</v>
      </c>
      <c r="CJ215" s="48" t="s">
        <v>59</v>
      </c>
      <c r="CK215" s="48" t="s">
        <v>59</v>
      </c>
      <c r="CL215" s="48" t="s">
        <v>59</v>
      </c>
      <c r="CM215" s="48" t="s">
        <v>59</v>
      </c>
      <c r="CN215" s="48" t="s">
        <v>59</v>
      </c>
      <c r="CO215" s="48" t="s">
        <v>59</v>
      </c>
      <c r="CP215" s="48" t="s">
        <v>59</v>
      </c>
      <c r="CQ215" s="48" t="s">
        <v>59</v>
      </c>
      <c r="CR215" s="48" t="s">
        <v>59</v>
      </c>
      <c r="CS215" s="48"/>
      <c r="CT215" s="48"/>
      <c r="CU215" s="48" t="s">
        <v>59</v>
      </c>
      <c r="CV215" s="48" t="s">
        <v>59</v>
      </c>
      <c r="CW215" s="48" t="s">
        <v>59</v>
      </c>
      <c r="CX215" s="48" t="s">
        <v>59</v>
      </c>
      <c r="CY215" s="48" t="s">
        <v>59</v>
      </c>
      <c r="CZ215" s="48" t="s">
        <v>59</v>
      </c>
      <c r="DA215" s="48" t="s">
        <v>59</v>
      </c>
      <c r="DB215" s="48" t="s">
        <v>59</v>
      </c>
      <c r="DC215" s="48">
        <v>24</v>
      </c>
      <c r="DD215" s="55" t="s">
        <v>283</v>
      </c>
      <c r="DG215" s="43" t="s">
        <v>61</v>
      </c>
      <c r="DH215" s="43" t="s">
        <v>61</v>
      </c>
      <c r="DI215" s="43" t="s">
        <v>61</v>
      </c>
      <c r="DJ215" s="43" t="s">
        <v>61</v>
      </c>
    </row>
    <row r="216" spans="1:114" s="43" customFormat="1" ht="14">
      <c r="A216" s="49" t="s">
        <v>312</v>
      </c>
      <c r="B216" s="43">
        <v>12388</v>
      </c>
      <c r="C216" s="34">
        <v>2</v>
      </c>
      <c r="D216" s="43">
        <v>1</v>
      </c>
      <c r="E216" s="48" t="s">
        <v>58</v>
      </c>
      <c r="F216" s="48">
        <v>12</v>
      </c>
      <c r="G216" s="48">
        <f t="shared" si="4"/>
        <v>268</v>
      </c>
      <c r="H216" s="48">
        <f t="shared" si="3"/>
        <v>22.333333333333332</v>
      </c>
      <c r="I216" s="48" t="s">
        <v>139</v>
      </c>
      <c r="J216" s="26" t="s">
        <v>58</v>
      </c>
      <c r="K216" s="26" t="s">
        <v>58</v>
      </c>
      <c r="L216" s="26" t="s">
        <v>58</v>
      </c>
      <c r="M216" s="26" t="s">
        <v>58</v>
      </c>
      <c r="N216" s="26" t="s">
        <v>1379</v>
      </c>
      <c r="O216" s="26" t="s">
        <v>139</v>
      </c>
      <c r="P216" s="26" t="s">
        <v>139</v>
      </c>
      <c r="Q216" s="48" t="s">
        <v>61</v>
      </c>
      <c r="R216" s="48" t="s">
        <v>61</v>
      </c>
      <c r="S216" s="48" t="s">
        <v>59</v>
      </c>
      <c r="T216" s="48" t="s">
        <v>59</v>
      </c>
      <c r="U216" s="48">
        <v>164</v>
      </c>
      <c r="V216" s="48">
        <v>104</v>
      </c>
      <c r="W216" s="48" t="s">
        <v>59</v>
      </c>
      <c r="X216" s="48" t="s">
        <v>59</v>
      </c>
      <c r="Y216" s="69">
        <v>10</v>
      </c>
      <c r="Z216" s="69">
        <v>2.2999999999999998</v>
      </c>
      <c r="AA216" s="69" t="s">
        <v>61</v>
      </c>
      <c r="AB216" s="69" t="s">
        <v>61</v>
      </c>
      <c r="AC216" s="69" t="s">
        <v>61</v>
      </c>
      <c r="AD216" s="69">
        <v>9.6</v>
      </c>
      <c r="AE216" s="69">
        <v>2.1</v>
      </c>
      <c r="AF216" s="69" t="s">
        <v>61</v>
      </c>
      <c r="AG216" s="69" t="s">
        <v>61</v>
      </c>
      <c r="AH216" s="69" t="s">
        <v>61</v>
      </c>
      <c r="AI216" s="69" t="s">
        <v>59</v>
      </c>
      <c r="AJ216" s="69" t="s">
        <v>59</v>
      </c>
      <c r="AK216" s="69" t="s">
        <v>59</v>
      </c>
      <c r="AL216" s="69" t="s">
        <v>59</v>
      </c>
      <c r="AM216" s="69" t="s">
        <v>59</v>
      </c>
      <c r="AN216" s="69" t="s">
        <v>59</v>
      </c>
      <c r="AO216" s="69" t="s">
        <v>59</v>
      </c>
      <c r="AP216" s="69" t="s">
        <v>59</v>
      </c>
      <c r="AQ216" s="69" t="s">
        <v>59</v>
      </c>
      <c r="AR216" s="69" t="s">
        <v>59</v>
      </c>
      <c r="AS216" s="69" t="s">
        <v>61</v>
      </c>
      <c r="AT216" s="69" t="s">
        <v>64</v>
      </c>
      <c r="AU216" s="69" t="s">
        <v>59</v>
      </c>
      <c r="AV216" s="69" t="s">
        <v>59</v>
      </c>
      <c r="AW216" s="69" t="s">
        <v>59</v>
      </c>
      <c r="AX216" s="69" t="s">
        <v>59</v>
      </c>
      <c r="AY216" s="69">
        <v>164</v>
      </c>
      <c r="AZ216" s="69">
        <v>104</v>
      </c>
      <c r="BA216" s="69" t="s">
        <v>59</v>
      </c>
      <c r="BB216" s="69" t="s">
        <v>59</v>
      </c>
      <c r="BC216" s="69">
        <v>10</v>
      </c>
      <c r="BD216" s="69">
        <v>2.2999999999999998</v>
      </c>
      <c r="BE216" s="69" t="s">
        <v>61</v>
      </c>
      <c r="BF216" s="69">
        <v>0</v>
      </c>
      <c r="BG216" s="48">
        <v>1</v>
      </c>
      <c r="BH216" s="69" t="s">
        <v>61</v>
      </c>
      <c r="BI216" s="69" t="s">
        <v>61</v>
      </c>
      <c r="BJ216" s="69" t="s">
        <v>61</v>
      </c>
      <c r="BK216" s="69" t="s">
        <v>61</v>
      </c>
      <c r="BL216" s="69" t="s">
        <v>61</v>
      </c>
      <c r="BM216" s="69" t="s">
        <v>61</v>
      </c>
      <c r="BN216" s="69" t="s">
        <v>61</v>
      </c>
      <c r="BO216" s="69" t="s">
        <v>61</v>
      </c>
      <c r="BP216" s="69">
        <v>9.3000000000000007</v>
      </c>
      <c r="BQ216" s="69">
        <v>2</v>
      </c>
      <c r="BR216" s="69" t="s">
        <v>61</v>
      </c>
      <c r="BS216" s="69">
        <v>0</v>
      </c>
      <c r="BT216" s="26">
        <v>1</v>
      </c>
      <c r="BU216" s="69" t="s">
        <v>61</v>
      </c>
      <c r="BV216" s="69" t="s">
        <v>61</v>
      </c>
      <c r="BW216" s="69" t="s">
        <v>61</v>
      </c>
      <c r="BX216" s="69" t="s">
        <v>61</v>
      </c>
      <c r="BY216" s="69" t="s">
        <v>61</v>
      </c>
      <c r="BZ216" s="69" t="s">
        <v>61</v>
      </c>
      <c r="CA216" s="69" t="s">
        <v>61</v>
      </c>
      <c r="CB216" s="69" t="s">
        <v>61</v>
      </c>
      <c r="CC216" s="69" t="s">
        <v>59</v>
      </c>
      <c r="CD216" s="69" t="s">
        <v>59</v>
      </c>
      <c r="CE216" s="69" t="s">
        <v>59</v>
      </c>
      <c r="CF216" s="69"/>
      <c r="CG216" s="69"/>
      <c r="CH216" s="69" t="s">
        <v>59</v>
      </c>
      <c r="CI216" s="69" t="s">
        <v>59</v>
      </c>
      <c r="CJ216" s="69" t="s">
        <v>59</v>
      </c>
      <c r="CK216" s="69" t="s">
        <v>59</v>
      </c>
      <c r="CL216" s="69" t="s">
        <v>59</v>
      </c>
      <c r="CM216" s="69" t="s">
        <v>59</v>
      </c>
      <c r="CN216" s="69" t="s">
        <v>59</v>
      </c>
      <c r="CO216" s="69" t="s">
        <v>59</v>
      </c>
      <c r="CP216" s="69" t="s">
        <v>59</v>
      </c>
      <c r="CQ216" s="69" t="s">
        <v>59</v>
      </c>
      <c r="CR216" s="69" t="s">
        <v>59</v>
      </c>
      <c r="CS216" s="69"/>
      <c r="CT216" s="69"/>
      <c r="CU216" s="69" t="s">
        <v>59</v>
      </c>
      <c r="CV216" s="69" t="s">
        <v>59</v>
      </c>
      <c r="CW216" s="69" t="s">
        <v>59</v>
      </c>
      <c r="CX216" s="69" t="s">
        <v>59</v>
      </c>
      <c r="CY216" s="69" t="s">
        <v>59</v>
      </c>
      <c r="CZ216" s="69" t="s">
        <v>59</v>
      </c>
      <c r="DA216" s="69" t="s">
        <v>59</v>
      </c>
      <c r="DB216" s="69" t="s">
        <v>59</v>
      </c>
      <c r="DC216" s="69">
        <v>12</v>
      </c>
      <c r="DD216" s="55"/>
      <c r="DG216" s="43">
        <v>-0.53</v>
      </c>
      <c r="DH216" s="43">
        <v>0.21</v>
      </c>
      <c r="DI216" s="43" t="s">
        <v>313</v>
      </c>
      <c r="DJ216" s="43">
        <v>0.03</v>
      </c>
    </row>
    <row r="217" spans="1:114" s="43" customFormat="1" ht="14">
      <c r="A217" s="49" t="s">
        <v>320</v>
      </c>
      <c r="B217" s="43">
        <v>12802</v>
      </c>
      <c r="C217" s="34">
        <v>2</v>
      </c>
      <c r="D217" s="43">
        <v>1</v>
      </c>
      <c r="E217" s="48" t="s">
        <v>58</v>
      </c>
      <c r="F217" s="48">
        <v>40</v>
      </c>
      <c r="G217" s="48">
        <f t="shared" si="4"/>
        <v>3056</v>
      </c>
      <c r="H217" s="48">
        <f t="shared" si="3"/>
        <v>76.400000000000006</v>
      </c>
      <c r="I217" s="48" t="s">
        <v>139</v>
      </c>
      <c r="J217" s="48" t="s">
        <v>58</v>
      </c>
      <c r="K217" s="26" t="s">
        <v>58</v>
      </c>
      <c r="L217" s="26" t="s">
        <v>139</v>
      </c>
      <c r="M217" s="26" t="s">
        <v>58</v>
      </c>
      <c r="N217" s="26" t="s">
        <v>3519</v>
      </c>
      <c r="O217" s="26" t="s">
        <v>139</v>
      </c>
      <c r="P217" s="26" t="s">
        <v>139</v>
      </c>
      <c r="Q217" s="48" t="s">
        <v>61</v>
      </c>
      <c r="R217" s="48" t="s">
        <v>61</v>
      </c>
      <c r="S217" s="48" t="s">
        <v>59</v>
      </c>
      <c r="T217" s="48" t="s">
        <v>59</v>
      </c>
      <c r="U217" s="48">
        <v>1910</v>
      </c>
      <c r="V217" s="48">
        <v>1879</v>
      </c>
      <c r="W217" s="48" t="s">
        <v>59</v>
      </c>
      <c r="X217" s="48" t="s">
        <v>59</v>
      </c>
      <c r="Y217" s="69">
        <v>7.1</v>
      </c>
      <c r="Z217" s="69">
        <v>1.3</v>
      </c>
      <c r="AA217" s="69" t="s">
        <v>61</v>
      </c>
      <c r="AB217" s="69">
        <v>6.7</v>
      </c>
      <c r="AC217" s="69" t="s">
        <v>321</v>
      </c>
      <c r="AD217" s="69">
        <v>7.1</v>
      </c>
      <c r="AE217" s="69">
        <v>1.3</v>
      </c>
      <c r="AF217" s="69" t="s">
        <v>61</v>
      </c>
      <c r="AG217" s="69">
        <v>6.7</v>
      </c>
      <c r="AH217" s="69" t="s">
        <v>322</v>
      </c>
      <c r="AI217" s="69" t="s">
        <v>59</v>
      </c>
      <c r="AJ217" s="69" t="s">
        <v>59</v>
      </c>
      <c r="AK217" s="69" t="s">
        <v>59</v>
      </c>
      <c r="AL217" s="69" t="s">
        <v>59</v>
      </c>
      <c r="AM217" s="69" t="s">
        <v>59</v>
      </c>
      <c r="AN217" s="69" t="s">
        <v>59</v>
      </c>
      <c r="AO217" s="69" t="s">
        <v>59</v>
      </c>
      <c r="AP217" s="69" t="s">
        <v>59</v>
      </c>
      <c r="AQ217" s="69" t="s">
        <v>59</v>
      </c>
      <c r="AR217" s="69" t="s">
        <v>59</v>
      </c>
      <c r="AS217" s="69" t="s">
        <v>61</v>
      </c>
      <c r="AT217" s="69" t="s">
        <v>64</v>
      </c>
      <c r="AU217" s="69" t="s">
        <v>59</v>
      </c>
      <c r="AV217" s="69" t="s">
        <v>59</v>
      </c>
      <c r="AW217" s="69" t="s">
        <v>59</v>
      </c>
      <c r="AX217" s="69" t="s">
        <v>59</v>
      </c>
      <c r="AY217" s="69">
        <v>1543</v>
      </c>
      <c r="AZ217" s="69">
        <v>1513</v>
      </c>
      <c r="BA217" s="69" t="s">
        <v>59</v>
      </c>
      <c r="BB217" s="69" t="s">
        <v>59</v>
      </c>
      <c r="BC217" s="69">
        <v>7.1</v>
      </c>
      <c r="BD217" s="231">
        <v>2.4</v>
      </c>
      <c r="BE217" s="69" t="s">
        <v>61</v>
      </c>
      <c r="BF217" s="69">
        <v>2</v>
      </c>
      <c r="BG217" s="48">
        <v>1</v>
      </c>
      <c r="BH217" s="69" t="s">
        <v>61</v>
      </c>
      <c r="BI217" s="69" t="s">
        <v>61</v>
      </c>
      <c r="BJ217" s="69" t="s">
        <v>61</v>
      </c>
      <c r="BK217" s="69" t="s">
        <v>61</v>
      </c>
      <c r="BL217" s="69" t="s">
        <v>61</v>
      </c>
      <c r="BM217" s="69" t="s">
        <v>61</v>
      </c>
      <c r="BN217" s="69" t="s">
        <v>61</v>
      </c>
      <c r="BO217" s="69" t="s">
        <v>61</v>
      </c>
      <c r="BP217" s="69">
        <v>7.06</v>
      </c>
      <c r="BQ217" s="231">
        <v>2.2799999999999998</v>
      </c>
      <c r="BR217" s="69" t="s">
        <v>61</v>
      </c>
      <c r="BS217" s="69">
        <v>2</v>
      </c>
      <c r="BT217" s="26">
        <v>1</v>
      </c>
      <c r="BU217" s="69" t="s">
        <v>61</v>
      </c>
      <c r="BV217" s="69" t="s">
        <v>61</v>
      </c>
      <c r="BW217" s="69" t="s">
        <v>61</v>
      </c>
      <c r="BX217" s="69" t="s">
        <v>61</v>
      </c>
      <c r="BY217" s="69" t="s">
        <v>61</v>
      </c>
      <c r="BZ217" s="69" t="s">
        <v>61</v>
      </c>
      <c r="CA217" s="69" t="s">
        <v>61</v>
      </c>
      <c r="CB217" s="69" t="s">
        <v>61</v>
      </c>
      <c r="CC217" s="69" t="s">
        <v>59</v>
      </c>
      <c r="CD217" s="69" t="s">
        <v>59</v>
      </c>
      <c r="CE217" s="69" t="s">
        <v>59</v>
      </c>
      <c r="CF217" s="69"/>
      <c r="CG217" s="69"/>
      <c r="CH217" s="69" t="s">
        <v>59</v>
      </c>
      <c r="CI217" s="69" t="s">
        <v>59</v>
      </c>
      <c r="CJ217" s="69" t="s">
        <v>59</v>
      </c>
      <c r="CK217" s="69" t="s">
        <v>59</v>
      </c>
      <c r="CL217" s="69" t="s">
        <v>59</v>
      </c>
      <c r="CM217" s="69" t="s">
        <v>59</v>
      </c>
      <c r="CN217" s="69" t="s">
        <v>59</v>
      </c>
      <c r="CO217" s="69" t="s">
        <v>59</v>
      </c>
      <c r="CP217" s="69" t="s">
        <v>59</v>
      </c>
      <c r="CQ217" s="69" t="s">
        <v>59</v>
      </c>
      <c r="CR217" s="69" t="s">
        <v>59</v>
      </c>
      <c r="CS217" s="69"/>
      <c r="CT217" s="69"/>
      <c r="CU217" s="69" t="s">
        <v>59</v>
      </c>
      <c r="CV217" s="69" t="s">
        <v>59</v>
      </c>
      <c r="CW217" s="69" t="s">
        <v>59</v>
      </c>
      <c r="CX217" s="69" t="s">
        <v>59</v>
      </c>
      <c r="CY217" s="69" t="s">
        <v>59</v>
      </c>
      <c r="CZ217" s="69" t="s">
        <v>59</v>
      </c>
      <c r="DA217" s="69" t="s">
        <v>59</v>
      </c>
      <c r="DB217" s="69" t="s">
        <v>59</v>
      </c>
      <c r="DC217" s="69">
        <v>18</v>
      </c>
      <c r="DD217" s="55"/>
      <c r="DG217" s="43">
        <v>-0.02</v>
      </c>
      <c r="DH217" s="43">
        <v>0.21</v>
      </c>
      <c r="DI217" s="43" t="s">
        <v>323</v>
      </c>
      <c r="DJ217" s="43">
        <v>0.67</v>
      </c>
    </row>
    <row r="218" spans="1:114" s="43" customFormat="1">
      <c r="A218" s="34" t="s">
        <v>123</v>
      </c>
      <c r="B218" s="34">
        <v>6136</v>
      </c>
      <c r="C218" s="34">
        <v>2</v>
      </c>
      <c r="D218" s="43">
        <v>1</v>
      </c>
      <c r="E218" s="26" t="s">
        <v>58</v>
      </c>
      <c r="F218" s="26">
        <v>30</v>
      </c>
      <c r="G218" s="48">
        <f t="shared" si="4"/>
        <v>183</v>
      </c>
      <c r="H218" s="48">
        <f t="shared" si="3"/>
        <v>6.1</v>
      </c>
      <c r="I218" s="26" t="s">
        <v>58</v>
      </c>
      <c r="J218" s="48" t="s">
        <v>58</v>
      </c>
      <c r="K218" s="26" t="s">
        <v>139</v>
      </c>
      <c r="L218" s="26" t="s">
        <v>1379</v>
      </c>
      <c r="M218" s="26" t="s">
        <v>1379</v>
      </c>
      <c r="N218" s="26" t="s">
        <v>1379</v>
      </c>
      <c r="O218" s="26" t="s">
        <v>1379</v>
      </c>
      <c r="P218" s="26" t="s">
        <v>1379</v>
      </c>
      <c r="Q218" s="19" t="s">
        <v>61</v>
      </c>
      <c r="R218" s="19" t="s">
        <v>61</v>
      </c>
      <c r="S218" s="26" t="s">
        <v>60</v>
      </c>
      <c r="T218" s="26" t="s">
        <v>60</v>
      </c>
      <c r="U218" s="26">
        <v>87</v>
      </c>
      <c r="V218" s="26">
        <v>96</v>
      </c>
      <c r="W218" s="26" t="s">
        <v>60</v>
      </c>
      <c r="X218" s="26" t="s">
        <v>60</v>
      </c>
      <c r="Y218" s="26">
        <v>6.6</v>
      </c>
      <c r="Z218" s="26">
        <v>1.9</v>
      </c>
      <c r="AA218" s="26" t="s">
        <v>61</v>
      </c>
      <c r="AB218" s="26" t="s">
        <v>61</v>
      </c>
      <c r="AC218" s="27" t="s">
        <v>61</v>
      </c>
      <c r="AD218" s="26">
        <v>6.85</v>
      </c>
      <c r="AE218" s="26">
        <v>1.6</v>
      </c>
      <c r="AF218" s="26" t="s">
        <v>61</v>
      </c>
      <c r="AG218" s="26" t="s">
        <v>61</v>
      </c>
      <c r="AH218" s="27" t="s">
        <v>61</v>
      </c>
      <c r="AI218" s="26" t="s">
        <v>60</v>
      </c>
      <c r="AJ218" s="26" t="s">
        <v>60</v>
      </c>
      <c r="AK218" s="26" t="s">
        <v>59</v>
      </c>
      <c r="AL218" s="26" t="s">
        <v>59</v>
      </c>
      <c r="AM218" s="26" t="s">
        <v>59</v>
      </c>
      <c r="AN218" s="26" t="s">
        <v>60</v>
      </c>
      <c r="AO218" s="26" t="s">
        <v>60</v>
      </c>
      <c r="AP218" s="26" t="s">
        <v>59</v>
      </c>
      <c r="AQ218" s="26" t="s">
        <v>59</v>
      </c>
      <c r="AR218" s="26" t="s">
        <v>59</v>
      </c>
      <c r="AS218" s="26">
        <v>0.33</v>
      </c>
      <c r="AT218" s="26" t="s">
        <v>64</v>
      </c>
      <c r="AU218" s="26" t="s">
        <v>59</v>
      </c>
      <c r="AV218" s="26" t="s">
        <v>59</v>
      </c>
      <c r="AW218" s="26" t="s">
        <v>59</v>
      </c>
      <c r="AX218" s="26" t="s">
        <v>59</v>
      </c>
      <c r="AY218" s="26">
        <v>87</v>
      </c>
      <c r="AZ218" s="26">
        <v>96</v>
      </c>
      <c r="BA218" s="26" t="s">
        <v>60</v>
      </c>
      <c r="BB218" s="26" t="s">
        <v>60</v>
      </c>
      <c r="BC218" s="26">
        <v>6.7</v>
      </c>
      <c r="BD218" s="27" t="s">
        <v>61</v>
      </c>
      <c r="BE218" s="26" t="s">
        <v>61</v>
      </c>
      <c r="BF218" s="26">
        <v>9</v>
      </c>
      <c r="BG218" s="48">
        <v>1</v>
      </c>
      <c r="BH218" s="27" t="s">
        <v>61</v>
      </c>
      <c r="BI218" s="27" t="s">
        <v>61</v>
      </c>
      <c r="BJ218" s="26" t="s">
        <v>61</v>
      </c>
      <c r="BK218" s="26" t="s">
        <v>61</v>
      </c>
      <c r="BL218" s="26" t="s">
        <v>61</v>
      </c>
      <c r="BM218" s="26" t="s">
        <v>61</v>
      </c>
      <c r="BN218" s="26" t="s">
        <v>61</v>
      </c>
      <c r="BO218" s="26" t="s">
        <v>61</v>
      </c>
      <c r="BP218" s="26">
        <v>7</v>
      </c>
      <c r="BQ218" s="27" t="s">
        <v>61</v>
      </c>
      <c r="BR218" s="26" t="s">
        <v>61</v>
      </c>
      <c r="BS218" s="26">
        <v>9</v>
      </c>
      <c r="BT218" s="26">
        <v>1</v>
      </c>
      <c r="BU218" s="27" t="s">
        <v>61</v>
      </c>
      <c r="BV218" s="27" t="s">
        <v>61</v>
      </c>
      <c r="BW218" s="26" t="s">
        <v>61</v>
      </c>
      <c r="BX218" s="26" t="s">
        <v>61</v>
      </c>
      <c r="BY218" s="27" t="s">
        <v>61</v>
      </c>
      <c r="BZ218" s="26" t="s">
        <v>61</v>
      </c>
      <c r="CA218" s="27" t="s">
        <v>61</v>
      </c>
      <c r="CB218" s="26" t="s">
        <v>61</v>
      </c>
      <c r="CC218" s="26" t="s">
        <v>60</v>
      </c>
      <c r="CD218" s="26" t="s">
        <v>60</v>
      </c>
      <c r="CE218" s="26" t="s">
        <v>59</v>
      </c>
      <c r="CF218" s="26"/>
      <c r="CG218" s="26"/>
      <c r="CH218" s="26" t="s">
        <v>59</v>
      </c>
      <c r="CI218" s="26" t="s">
        <v>59</v>
      </c>
      <c r="CJ218" s="26" t="s">
        <v>59</v>
      </c>
      <c r="CK218" s="26" t="s">
        <v>59</v>
      </c>
      <c r="CL218" s="26" t="s">
        <v>59</v>
      </c>
      <c r="CM218" s="26" t="s">
        <v>59</v>
      </c>
      <c r="CN218" s="26" t="s">
        <v>59</v>
      </c>
      <c r="CO218" s="26" t="s">
        <v>59</v>
      </c>
      <c r="CP218" s="26" t="s">
        <v>60</v>
      </c>
      <c r="CQ218" s="26" t="s">
        <v>60</v>
      </c>
      <c r="CR218" s="26" t="s">
        <v>59</v>
      </c>
      <c r="CS218" s="26"/>
      <c r="CT218" s="26"/>
      <c r="CU218" s="26" t="s">
        <v>59</v>
      </c>
      <c r="CV218" s="26" t="s">
        <v>59</v>
      </c>
      <c r="CW218" s="26" t="s">
        <v>59</v>
      </c>
      <c r="CX218" s="26" t="s">
        <v>59</v>
      </c>
      <c r="CY218" s="26" t="s">
        <v>59</v>
      </c>
      <c r="CZ218" s="26" t="s">
        <v>59</v>
      </c>
      <c r="DA218" s="26" t="s">
        <v>59</v>
      </c>
      <c r="DB218" s="26" t="s">
        <v>59</v>
      </c>
      <c r="DC218" s="26">
        <v>18</v>
      </c>
      <c r="DD218" s="29"/>
      <c r="DE218" s="29" t="s">
        <v>61</v>
      </c>
      <c r="DF218" s="29" t="s">
        <v>61</v>
      </c>
      <c r="DG218" s="26" t="s">
        <v>61</v>
      </c>
      <c r="DH218" s="27" t="s">
        <v>61</v>
      </c>
      <c r="DI218" s="29" t="s">
        <v>61</v>
      </c>
      <c r="DJ218" s="26" t="s">
        <v>61</v>
      </c>
    </row>
    <row r="219" spans="1:114" s="43" customFormat="1" ht="14">
      <c r="A219" s="49" t="s">
        <v>318</v>
      </c>
      <c r="B219" s="43">
        <v>12576</v>
      </c>
      <c r="C219" s="34">
        <v>3</v>
      </c>
      <c r="D219" s="43">
        <v>1</v>
      </c>
      <c r="E219" s="48" t="s">
        <v>58</v>
      </c>
      <c r="F219" s="48">
        <v>21</v>
      </c>
      <c r="G219" s="48">
        <f t="shared" si="4"/>
        <v>914</v>
      </c>
      <c r="H219" s="48">
        <f t="shared" si="3"/>
        <v>43.523809523809526</v>
      </c>
      <c r="I219" s="48" t="s">
        <v>58</v>
      </c>
      <c r="J219" s="48" t="s">
        <v>58</v>
      </c>
      <c r="K219" s="26" t="s">
        <v>139</v>
      </c>
      <c r="L219" s="26" t="s">
        <v>1379</v>
      </c>
      <c r="M219" s="26" t="s">
        <v>1379</v>
      </c>
      <c r="N219" s="26" t="s">
        <v>1379</v>
      </c>
      <c r="O219" s="26" t="s">
        <v>1379</v>
      </c>
      <c r="P219" s="26" t="s">
        <v>1379</v>
      </c>
      <c r="Q219" s="48" t="s">
        <v>61</v>
      </c>
      <c r="R219" s="48" t="s">
        <v>61</v>
      </c>
      <c r="S219" s="48" t="s">
        <v>61</v>
      </c>
      <c r="T219" s="48" t="s">
        <v>59</v>
      </c>
      <c r="U219" s="48">
        <v>350</v>
      </c>
      <c r="V219" s="48">
        <v>294</v>
      </c>
      <c r="W219" s="48">
        <v>270</v>
      </c>
      <c r="X219" s="48" t="s">
        <v>59</v>
      </c>
      <c r="Y219" s="69">
        <v>6.8</v>
      </c>
      <c r="Z219" s="69" t="s">
        <v>61</v>
      </c>
      <c r="AA219" s="69" t="s">
        <v>61</v>
      </c>
      <c r="AB219" s="69">
        <v>6.8</v>
      </c>
      <c r="AC219" s="69" t="s">
        <v>61</v>
      </c>
      <c r="AD219" s="69">
        <v>6.5</v>
      </c>
      <c r="AE219" s="69" t="s">
        <v>61</v>
      </c>
      <c r="AF219" s="69" t="s">
        <v>61</v>
      </c>
      <c r="AG219" s="69">
        <v>6.5</v>
      </c>
      <c r="AH219" s="69" t="s">
        <v>61</v>
      </c>
      <c r="AI219" s="69">
        <v>7.2</v>
      </c>
      <c r="AJ219" s="69" t="s">
        <v>61</v>
      </c>
      <c r="AK219" s="69" t="s">
        <v>61</v>
      </c>
      <c r="AL219" s="69">
        <v>7.2</v>
      </c>
      <c r="AM219" s="69" t="s">
        <v>61</v>
      </c>
      <c r="AN219" s="69" t="s">
        <v>59</v>
      </c>
      <c r="AO219" s="69" t="s">
        <v>59</v>
      </c>
      <c r="AP219" s="69" t="s">
        <v>59</v>
      </c>
      <c r="AQ219" s="69" t="s">
        <v>59</v>
      </c>
      <c r="AR219" s="69" t="s">
        <v>59</v>
      </c>
      <c r="AS219" s="69" t="s">
        <v>61</v>
      </c>
      <c r="AT219" s="69" t="s">
        <v>64</v>
      </c>
      <c r="AU219" s="69" t="s">
        <v>59</v>
      </c>
      <c r="AV219" s="69" t="s">
        <v>59</v>
      </c>
      <c r="AW219" s="69" t="s">
        <v>59</v>
      </c>
      <c r="AX219" s="69" t="s">
        <v>59</v>
      </c>
      <c r="AY219" s="69">
        <v>350</v>
      </c>
      <c r="AZ219" s="69">
        <v>294</v>
      </c>
      <c r="BA219" s="69">
        <v>270</v>
      </c>
      <c r="BB219" s="69" t="s">
        <v>59</v>
      </c>
      <c r="BC219" s="69">
        <v>7</v>
      </c>
      <c r="BD219" s="69" t="s">
        <v>61</v>
      </c>
      <c r="BE219" s="69" t="s">
        <v>61</v>
      </c>
      <c r="BF219" s="26">
        <v>9</v>
      </c>
      <c r="BG219" s="48">
        <v>1</v>
      </c>
      <c r="BH219" s="69">
        <v>7</v>
      </c>
      <c r="BI219" s="69" t="s">
        <v>61</v>
      </c>
      <c r="BJ219" s="69" t="s">
        <v>61</v>
      </c>
      <c r="BK219" s="69" t="s">
        <v>61</v>
      </c>
      <c r="BL219" s="69" t="s">
        <v>61</v>
      </c>
      <c r="BM219" s="69" t="s">
        <v>61</v>
      </c>
      <c r="BN219" s="69" t="s">
        <v>61</v>
      </c>
      <c r="BO219" s="69" t="s">
        <v>61</v>
      </c>
      <c r="BP219" s="69">
        <v>6.9</v>
      </c>
      <c r="BQ219" s="69" t="s">
        <v>61</v>
      </c>
      <c r="BR219" s="69" t="s">
        <v>61</v>
      </c>
      <c r="BS219" s="26">
        <v>9</v>
      </c>
      <c r="BT219" s="26">
        <v>1</v>
      </c>
      <c r="BU219" s="69">
        <v>6.9</v>
      </c>
      <c r="BV219" s="69" t="s">
        <v>61</v>
      </c>
      <c r="BW219" s="69" t="s">
        <v>61</v>
      </c>
      <c r="BX219" s="69" t="s">
        <v>61</v>
      </c>
      <c r="BY219" s="69" t="s">
        <v>61</v>
      </c>
      <c r="BZ219" s="69" t="s">
        <v>61</v>
      </c>
      <c r="CA219" s="69" t="s">
        <v>61</v>
      </c>
      <c r="CB219" s="69" t="s">
        <v>61</v>
      </c>
      <c r="CC219" s="69">
        <v>7.3</v>
      </c>
      <c r="CD219" s="69" t="s">
        <v>61</v>
      </c>
      <c r="CE219" s="69" t="s">
        <v>61</v>
      </c>
      <c r="CF219" s="220"/>
      <c r="CG219" s="220"/>
      <c r="CH219" s="69">
        <v>7.3</v>
      </c>
      <c r="CI219" s="69" t="s">
        <v>61</v>
      </c>
      <c r="CJ219" s="69" t="s">
        <v>61</v>
      </c>
      <c r="CK219" s="69" t="s">
        <v>61</v>
      </c>
      <c r="CL219" s="69" t="s">
        <v>61</v>
      </c>
      <c r="CM219" s="69" t="s">
        <v>61</v>
      </c>
      <c r="CN219" s="69" t="s">
        <v>61</v>
      </c>
      <c r="CO219" s="69" t="s">
        <v>61</v>
      </c>
      <c r="CP219" s="69" t="s">
        <v>59</v>
      </c>
      <c r="CQ219" s="69" t="s">
        <v>59</v>
      </c>
      <c r="CR219" s="69" t="s">
        <v>59</v>
      </c>
      <c r="CS219" s="69"/>
      <c r="CT219" s="69"/>
      <c r="CU219" s="69" t="s">
        <v>59</v>
      </c>
      <c r="CV219" s="69" t="s">
        <v>59</v>
      </c>
      <c r="CW219" s="69" t="s">
        <v>59</v>
      </c>
      <c r="CX219" s="69" t="s">
        <v>59</v>
      </c>
      <c r="CY219" s="69" t="s">
        <v>59</v>
      </c>
      <c r="CZ219" s="69" t="s">
        <v>59</v>
      </c>
      <c r="DA219" s="69" t="s">
        <v>59</v>
      </c>
      <c r="DB219" s="69" t="s">
        <v>59</v>
      </c>
      <c r="DC219" s="69">
        <v>5</v>
      </c>
      <c r="DD219" s="55"/>
      <c r="DG219" s="43" t="s">
        <v>61</v>
      </c>
      <c r="DH219" s="43" t="s">
        <v>61</v>
      </c>
      <c r="DI219" s="43" t="s">
        <v>61</v>
      </c>
      <c r="DJ219" s="43" t="s">
        <v>61</v>
      </c>
    </row>
    <row r="220" spans="1:114" s="43" customFormat="1">
      <c r="A220" s="34" t="s">
        <v>98</v>
      </c>
      <c r="B220" s="209">
        <v>5774</v>
      </c>
      <c r="C220" s="43">
        <v>3</v>
      </c>
      <c r="D220" s="43">
        <v>1</v>
      </c>
      <c r="E220" s="26" t="s">
        <v>58</v>
      </c>
      <c r="F220" s="26">
        <v>11</v>
      </c>
      <c r="G220" s="48">
        <f t="shared" si="4"/>
        <v>105</v>
      </c>
      <c r="H220" s="48">
        <f t="shared" si="3"/>
        <v>9.545454545454545</v>
      </c>
      <c r="I220" s="48" t="s">
        <v>58</v>
      </c>
      <c r="J220" s="48" t="s">
        <v>58</v>
      </c>
      <c r="K220" s="26" t="s">
        <v>58</v>
      </c>
      <c r="L220" s="26" t="s">
        <v>139</v>
      </c>
      <c r="M220" s="26" t="s">
        <v>58</v>
      </c>
      <c r="N220" s="26" t="s">
        <v>3520</v>
      </c>
      <c r="O220" s="26" t="s">
        <v>139</v>
      </c>
      <c r="P220" s="26" t="s">
        <v>139</v>
      </c>
      <c r="Q220" s="26" t="s">
        <v>61</v>
      </c>
      <c r="R220" s="26" t="s">
        <v>61</v>
      </c>
      <c r="S220" s="26" t="s">
        <v>60</v>
      </c>
      <c r="T220" s="26" t="s">
        <v>60</v>
      </c>
      <c r="U220" s="26">
        <v>46</v>
      </c>
      <c r="V220" s="26">
        <v>32</v>
      </c>
      <c r="W220" s="26">
        <v>27</v>
      </c>
      <c r="X220" s="26" t="s">
        <v>60</v>
      </c>
      <c r="Y220" s="26">
        <v>6.9</v>
      </c>
      <c r="Z220" s="26" t="s">
        <v>61</v>
      </c>
      <c r="AA220" s="26" t="s">
        <v>61</v>
      </c>
      <c r="AB220" s="26" t="s">
        <v>61</v>
      </c>
      <c r="AC220" s="27" t="s">
        <v>61</v>
      </c>
      <c r="AD220" s="26">
        <v>7.3</v>
      </c>
      <c r="AE220" s="26" t="s">
        <v>61</v>
      </c>
      <c r="AF220" s="26" t="s">
        <v>61</v>
      </c>
      <c r="AG220" s="26" t="s">
        <v>61</v>
      </c>
      <c r="AH220" s="27" t="s">
        <v>61</v>
      </c>
      <c r="AI220" s="26">
        <v>7.6</v>
      </c>
      <c r="AJ220" s="26" t="s">
        <v>61</v>
      </c>
      <c r="AK220" s="27" t="s">
        <v>61</v>
      </c>
      <c r="AL220" s="26" t="s">
        <v>61</v>
      </c>
      <c r="AM220" s="27" t="s">
        <v>61</v>
      </c>
      <c r="AN220" s="26" t="s">
        <v>60</v>
      </c>
      <c r="AO220" s="26" t="s">
        <v>60</v>
      </c>
      <c r="AP220" s="26" t="s">
        <v>59</v>
      </c>
      <c r="AQ220" s="26" t="s">
        <v>59</v>
      </c>
      <c r="AR220" s="26" t="s">
        <v>59</v>
      </c>
      <c r="AS220" s="26" t="s">
        <v>61</v>
      </c>
      <c r="AT220" s="26" t="s">
        <v>99</v>
      </c>
      <c r="AU220" s="26" t="s">
        <v>61</v>
      </c>
      <c r="AV220" s="26" t="s">
        <v>64</v>
      </c>
      <c r="AW220" s="26" t="s">
        <v>59</v>
      </c>
      <c r="AX220" s="26" t="s">
        <v>59</v>
      </c>
      <c r="AY220" s="26">
        <v>46</v>
      </c>
      <c r="AZ220" s="26">
        <v>32</v>
      </c>
      <c r="BA220" s="26">
        <v>27</v>
      </c>
      <c r="BB220" s="26" t="s">
        <v>60</v>
      </c>
      <c r="BC220" s="26">
        <v>6.8</v>
      </c>
      <c r="BD220" s="26" t="s">
        <v>61</v>
      </c>
      <c r="BE220" s="26" t="s">
        <v>61</v>
      </c>
      <c r="BF220" s="26">
        <v>9</v>
      </c>
      <c r="BG220" s="48">
        <v>1</v>
      </c>
      <c r="BH220" s="27" t="s">
        <v>61</v>
      </c>
      <c r="BI220" s="27" t="s">
        <v>61</v>
      </c>
      <c r="BJ220" s="26" t="s">
        <v>61</v>
      </c>
      <c r="BK220" s="26">
        <v>0.1</v>
      </c>
      <c r="BL220" s="26" t="s">
        <v>61</v>
      </c>
      <c r="BM220" s="26" t="s">
        <v>61</v>
      </c>
      <c r="BN220" s="26" t="s">
        <v>61</v>
      </c>
      <c r="BO220" s="26">
        <v>0.15</v>
      </c>
      <c r="BP220" s="26">
        <v>7.3</v>
      </c>
      <c r="BQ220" s="26" t="s">
        <v>61</v>
      </c>
      <c r="BR220" s="26" t="s">
        <v>61</v>
      </c>
      <c r="BS220" s="26">
        <v>9</v>
      </c>
      <c r="BT220" s="26">
        <v>1</v>
      </c>
      <c r="BU220" s="27" t="s">
        <v>61</v>
      </c>
      <c r="BV220" s="27" t="s">
        <v>61</v>
      </c>
      <c r="BW220" s="26" t="s">
        <v>61</v>
      </c>
      <c r="BX220" s="26" t="s">
        <v>61</v>
      </c>
      <c r="BY220" s="27" t="s">
        <v>61</v>
      </c>
      <c r="BZ220" s="26" t="s">
        <v>61</v>
      </c>
      <c r="CA220" s="27" t="s">
        <v>61</v>
      </c>
      <c r="CB220" s="26">
        <v>0.92</v>
      </c>
      <c r="CC220" s="26">
        <v>7</v>
      </c>
      <c r="CD220" s="26" t="s">
        <v>61</v>
      </c>
      <c r="CE220" s="27" t="s">
        <v>61</v>
      </c>
      <c r="CF220" s="69">
        <v>9</v>
      </c>
      <c r="CG220" s="69">
        <v>1</v>
      </c>
      <c r="CH220" s="27" t="s">
        <v>61</v>
      </c>
      <c r="CI220" s="27" t="s">
        <v>61</v>
      </c>
      <c r="CJ220" s="26">
        <v>0.6</v>
      </c>
      <c r="CK220" s="26" t="s">
        <v>61</v>
      </c>
      <c r="CL220" s="26" t="s">
        <v>61</v>
      </c>
      <c r="CM220" s="26" t="s">
        <v>61</v>
      </c>
      <c r="CN220" s="26" t="s">
        <v>61</v>
      </c>
      <c r="CO220" s="26">
        <v>8.0000000000000002E-3</v>
      </c>
      <c r="CP220" s="26" t="s">
        <v>60</v>
      </c>
      <c r="CQ220" s="26" t="s">
        <v>60</v>
      </c>
      <c r="CR220" s="26" t="s">
        <v>59</v>
      </c>
      <c r="CS220" s="26"/>
      <c r="CT220" s="26"/>
      <c r="CU220" s="26" t="s">
        <v>59</v>
      </c>
      <c r="CV220" s="26" t="s">
        <v>59</v>
      </c>
      <c r="CW220" s="26" t="s">
        <v>59</v>
      </c>
      <c r="CX220" s="26" t="s">
        <v>59</v>
      </c>
      <c r="CY220" s="26" t="s">
        <v>59</v>
      </c>
      <c r="CZ220" s="26" t="s">
        <v>59</v>
      </c>
      <c r="DA220" s="26" t="s">
        <v>59</v>
      </c>
      <c r="DB220" s="26" t="s">
        <v>59</v>
      </c>
      <c r="DC220" s="26">
        <v>12</v>
      </c>
      <c r="DD220" s="29" t="s">
        <v>100</v>
      </c>
      <c r="DE220" s="29" t="s">
        <v>61</v>
      </c>
      <c r="DF220" s="29" t="s">
        <v>61</v>
      </c>
      <c r="DG220" s="31" t="s">
        <v>101</v>
      </c>
      <c r="DH220" s="208" t="s">
        <v>101</v>
      </c>
      <c r="DI220" s="32" t="s">
        <v>102</v>
      </c>
      <c r="DJ220" s="31">
        <v>0.01</v>
      </c>
    </row>
    <row r="221" spans="1:114" s="43" customFormat="1" ht="14">
      <c r="A221" s="49" t="s">
        <v>272</v>
      </c>
      <c r="B221" s="43">
        <v>9147</v>
      </c>
      <c r="C221" s="34">
        <v>2</v>
      </c>
      <c r="D221" s="43">
        <v>1</v>
      </c>
      <c r="E221" s="48" t="s">
        <v>58</v>
      </c>
      <c r="F221" s="48">
        <v>64</v>
      </c>
      <c r="G221" s="48">
        <f t="shared" si="4"/>
        <v>7412</v>
      </c>
      <c r="H221" s="48">
        <f t="shared" ref="H221:H242" si="5">G221/F221</f>
        <v>115.8125</v>
      </c>
      <c r="I221" s="48" t="s">
        <v>139</v>
      </c>
      <c r="J221" s="48" t="s">
        <v>58</v>
      </c>
      <c r="K221" s="26" t="s">
        <v>58</v>
      </c>
      <c r="L221" s="26" t="s">
        <v>139</v>
      </c>
      <c r="M221" s="26" t="s">
        <v>58</v>
      </c>
      <c r="N221" s="26" t="s">
        <v>3519</v>
      </c>
      <c r="O221" s="26" t="s">
        <v>139</v>
      </c>
      <c r="P221" s="26" t="s">
        <v>58</v>
      </c>
      <c r="Q221" s="48">
        <v>5.5E-2</v>
      </c>
      <c r="R221" s="48">
        <v>5.5E-2</v>
      </c>
      <c r="S221" s="48" t="s">
        <v>59</v>
      </c>
      <c r="T221" s="48" t="s">
        <v>59</v>
      </c>
      <c r="U221" s="48">
        <v>3526</v>
      </c>
      <c r="V221" s="48">
        <v>3886</v>
      </c>
      <c r="W221" s="48" t="s">
        <v>59</v>
      </c>
      <c r="X221" s="48" t="s">
        <v>59</v>
      </c>
      <c r="Y221" s="69">
        <v>7.03</v>
      </c>
      <c r="Z221" s="69">
        <v>1.45</v>
      </c>
      <c r="AA221" s="69" t="s">
        <v>61</v>
      </c>
      <c r="AB221" s="69" t="s">
        <v>61</v>
      </c>
      <c r="AC221" s="69" t="s">
        <v>61</v>
      </c>
      <c r="AD221" s="69">
        <v>7.11</v>
      </c>
      <c r="AE221" s="69">
        <v>1.43</v>
      </c>
      <c r="AF221" s="69" t="s">
        <v>61</v>
      </c>
      <c r="AG221" s="69" t="s">
        <v>61</v>
      </c>
      <c r="AH221" s="69" t="s">
        <v>61</v>
      </c>
      <c r="AI221" s="69" t="s">
        <v>59</v>
      </c>
      <c r="AJ221" s="69" t="s">
        <v>59</v>
      </c>
      <c r="AK221" s="69" t="s">
        <v>59</v>
      </c>
      <c r="AL221" s="69" t="s">
        <v>59</v>
      </c>
      <c r="AM221" s="69" t="s">
        <v>59</v>
      </c>
      <c r="AN221" s="69" t="s">
        <v>59</v>
      </c>
      <c r="AO221" s="69" t="s">
        <v>59</v>
      </c>
      <c r="AP221" s="69" t="s">
        <v>59</v>
      </c>
      <c r="AQ221" s="69" t="s">
        <v>59</v>
      </c>
      <c r="AR221" s="69" t="s">
        <v>59</v>
      </c>
      <c r="AS221" s="69">
        <v>0.46</v>
      </c>
      <c r="AT221" s="69" t="s">
        <v>64</v>
      </c>
      <c r="AU221" s="69" t="s">
        <v>59</v>
      </c>
      <c r="AV221" s="69" t="s">
        <v>59</v>
      </c>
      <c r="AW221" s="69" t="s">
        <v>59</v>
      </c>
      <c r="AX221" s="69" t="s">
        <v>59</v>
      </c>
      <c r="AY221" s="69">
        <v>3526</v>
      </c>
      <c r="AZ221" s="69">
        <v>3886</v>
      </c>
      <c r="BA221" s="69" t="s">
        <v>59</v>
      </c>
      <c r="BB221" s="69" t="s">
        <v>59</v>
      </c>
      <c r="BC221" s="69">
        <v>7.1</v>
      </c>
      <c r="BD221" s="69" t="s">
        <v>61</v>
      </c>
      <c r="BE221" s="69" t="s">
        <v>61</v>
      </c>
      <c r="BF221" s="26">
        <v>9</v>
      </c>
      <c r="BG221" s="48">
        <v>1</v>
      </c>
      <c r="BH221" s="69" t="s">
        <v>61</v>
      </c>
      <c r="BI221" s="69" t="s">
        <v>61</v>
      </c>
      <c r="BJ221" s="69" t="s">
        <v>61</v>
      </c>
      <c r="BK221" s="69" t="s">
        <v>61</v>
      </c>
      <c r="BL221" s="69" t="s">
        <v>61</v>
      </c>
      <c r="BM221" s="69" t="s">
        <v>61</v>
      </c>
      <c r="BN221" s="69" t="s">
        <v>61</v>
      </c>
      <c r="BO221" s="69" t="s">
        <v>61</v>
      </c>
      <c r="BP221" s="69">
        <v>7.25</v>
      </c>
      <c r="BQ221" s="69" t="s">
        <v>61</v>
      </c>
      <c r="BR221" s="69" t="s">
        <v>61</v>
      </c>
      <c r="BS221" s="26">
        <v>9</v>
      </c>
      <c r="BT221" s="26">
        <v>1</v>
      </c>
      <c r="BU221" s="69" t="s">
        <v>61</v>
      </c>
      <c r="BV221" s="69" t="s">
        <v>61</v>
      </c>
      <c r="BW221" s="69" t="s">
        <v>61</v>
      </c>
      <c r="BX221" s="69" t="s">
        <v>61</v>
      </c>
      <c r="BY221" s="69" t="s">
        <v>61</v>
      </c>
      <c r="BZ221" s="69" t="s">
        <v>61</v>
      </c>
      <c r="CA221" s="69" t="s">
        <v>61</v>
      </c>
      <c r="CB221" s="69" t="s">
        <v>61</v>
      </c>
      <c r="CC221" s="69" t="s">
        <v>59</v>
      </c>
      <c r="CD221" s="69" t="s">
        <v>59</v>
      </c>
      <c r="CE221" s="69" t="s">
        <v>59</v>
      </c>
      <c r="CF221" s="69"/>
      <c r="CG221" s="69"/>
      <c r="CH221" s="69" t="s">
        <v>59</v>
      </c>
      <c r="CI221" s="69" t="s">
        <v>59</v>
      </c>
      <c r="CJ221" s="69" t="s">
        <v>59</v>
      </c>
      <c r="CK221" s="69" t="s">
        <v>59</v>
      </c>
      <c r="CL221" s="69" t="s">
        <v>59</v>
      </c>
      <c r="CM221" s="69" t="s">
        <v>59</v>
      </c>
      <c r="CN221" s="69" t="s">
        <v>59</v>
      </c>
      <c r="CO221" s="69" t="s">
        <v>59</v>
      </c>
      <c r="CP221" s="69" t="s">
        <v>59</v>
      </c>
      <c r="CQ221" s="69" t="s">
        <v>59</v>
      </c>
      <c r="CR221" s="69" t="s">
        <v>59</v>
      </c>
      <c r="CS221" s="69"/>
      <c r="CT221" s="69"/>
      <c r="CU221" s="69" t="s">
        <v>59</v>
      </c>
      <c r="CV221" s="69" t="s">
        <v>59</v>
      </c>
      <c r="CW221" s="69" t="s">
        <v>59</v>
      </c>
      <c r="CX221" s="69" t="s">
        <v>59</v>
      </c>
      <c r="CY221" s="69" t="s">
        <v>59</v>
      </c>
      <c r="CZ221" s="69" t="s">
        <v>59</v>
      </c>
      <c r="DA221" s="69" t="s">
        <v>59</v>
      </c>
      <c r="DB221" s="69" t="s">
        <v>59</v>
      </c>
      <c r="DC221" s="69">
        <v>24</v>
      </c>
      <c r="DD221" s="55"/>
      <c r="DG221" s="43">
        <v>0.1</v>
      </c>
      <c r="DH221" s="43">
        <v>0.10440000000000001</v>
      </c>
      <c r="DI221" s="43" t="s">
        <v>273</v>
      </c>
      <c r="DJ221" s="43">
        <v>0.17</v>
      </c>
    </row>
    <row r="222" spans="1:114" s="43" customFormat="1">
      <c r="A222" s="34" t="s">
        <v>135</v>
      </c>
      <c r="B222" s="34">
        <v>8004</v>
      </c>
      <c r="C222" s="34">
        <v>2</v>
      </c>
      <c r="D222" s="43">
        <v>1</v>
      </c>
      <c r="E222" s="26" t="s">
        <v>58</v>
      </c>
      <c r="F222" s="26">
        <v>74</v>
      </c>
      <c r="G222" s="48">
        <f t="shared" si="4"/>
        <v>2495</v>
      </c>
      <c r="H222" s="48">
        <f t="shared" si="5"/>
        <v>33.716216216216218</v>
      </c>
      <c r="I222" s="48" t="s">
        <v>58</v>
      </c>
      <c r="J222" s="48" t="s">
        <v>58</v>
      </c>
      <c r="K222" s="26" t="s">
        <v>58</v>
      </c>
      <c r="L222" s="26" t="s">
        <v>139</v>
      </c>
      <c r="M222" s="26" t="s">
        <v>139</v>
      </c>
      <c r="N222" s="26" t="s">
        <v>3530</v>
      </c>
      <c r="O222" s="26" t="s">
        <v>139</v>
      </c>
      <c r="P222" s="26" t="s">
        <v>139</v>
      </c>
      <c r="Q222" s="26" t="s">
        <v>61</v>
      </c>
      <c r="R222" s="26" t="s">
        <v>61</v>
      </c>
      <c r="S222" s="26" t="s">
        <v>60</v>
      </c>
      <c r="T222" s="26" t="s">
        <v>60</v>
      </c>
      <c r="U222" s="26">
        <v>918</v>
      </c>
      <c r="V222" s="26">
        <v>1577</v>
      </c>
      <c r="W222" s="26" t="s">
        <v>59</v>
      </c>
      <c r="X222" s="26" t="s">
        <v>59</v>
      </c>
      <c r="Y222" s="26">
        <v>7.2</v>
      </c>
      <c r="Z222" s="26">
        <v>1.3</v>
      </c>
      <c r="AA222" s="26" t="s">
        <v>61</v>
      </c>
      <c r="AB222" s="26" t="s">
        <v>61</v>
      </c>
      <c r="AC222" s="27" t="s">
        <v>61</v>
      </c>
      <c r="AD222" s="26">
        <v>7.1</v>
      </c>
      <c r="AE222" s="26">
        <v>1.3</v>
      </c>
      <c r="AF222" s="26" t="s">
        <v>61</v>
      </c>
      <c r="AG222" s="26" t="s">
        <v>61</v>
      </c>
      <c r="AH222" s="27" t="s">
        <v>61</v>
      </c>
      <c r="AI222" s="26" t="s">
        <v>60</v>
      </c>
      <c r="AJ222" s="26" t="s">
        <v>60</v>
      </c>
      <c r="AK222" s="26" t="s">
        <v>59</v>
      </c>
      <c r="AL222" s="26" t="s">
        <v>59</v>
      </c>
      <c r="AM222" s="26" t="s">
        <v>59</v>
      </c>
      <c r="AN222" s="26" t="s">
        <v>60</v>
      </c>
      <c r="AO222" s="26" t="s">
        <v>60</v>
      </c>
      <c r="AP222" s="26" t="s">
        <v>59</v>
      </c>
      <c r="AQ222" s="26" t="s">
        <v>59</v>
      </c>
      <c r="AR222" s="26" t="s">
        <v>59</v>
      </c>
      <c r="AS222" s="26">
        <v>0.78029999999999999</v>
      </c>
      <c r="AT222" s="26" t="s">
        <v>64</v>
      </c>
      <c r="AU222" s="26" t="s">
        <v>59</v>
      </c>
      <c r="AV222" s="26" t="s">
        <v>59</v>
      </c>
      <c r="AW222" s="26" t="s">
        <v>59</v>
      </c>
      <c r="AX222" s="26" t="s">
        <v>59</v>
      </c>
      <c r="AY222" s="26">
        <v>918</v>
      </c>
      <c r="AZ222" s="26">
        <v>1577</v>
      </c>
      <c r="BA222" s="26" t="s">
        <v>60</v>
      </c>
      <c r="BB222" s="26" t="s">
        <v>60</v>
      </c>
      <c r="BC222" s="26">
        <f>7.2-0.4</f>
        <v>6.8</v>
      </c>
      <c r="BD222" s="27" t="s">
        <v>61</v>
      </c>
      <c r="BE222" s="26" t="s">
        <v>61</v>
      </c>
      <c r="BF222" s="26">
        <v>9</v>
      </c>
      <c r="BG222" s="48">
        <v>1</v>
      </c>
      <c r="BH222" s="27" t="s">
        <v>61</v>
      </c>
      <c r="BI222" s="27" t="s">
        <v>61</v>
      </c>
      <c r="BJ222" s="26">
        <v>-0.4</v>
      </c>
      <c r="BK222" s="26" t="s">
        <v>61</v>
      </c>
      <c r="BL222" s="26" t="s">
        <v>61</v>
      </c>
      <c r="BM222" s="26">
        <v>-0.4</v>
      </c>
      <c r="BN222" s="26">
        <v>-0.3</v>
      </c>
      <c r="BO222" s="26" t="s">
        <v>61</v>
      </c>
      <c r="BP222" s="26">
        <v>6.7</v>
      </c>
      <c r="BQ222" s="27" t="s">
        <v>61</v>
      </c>
      <c r="BR222" s="26" t="s">
        <v>61</v>
      </c>
      <c r="BS222" s="26">
        <v>9</v>
      </c>
      <c r="BT222" s="26">
        <v>1</v>
      </c>
      <c r="BU222" s="27" t="s">
        <v>61</v>
      </c>
      <c r="BV222" s="27" t="s">
        <v>61</v>
      </c>
      <c r="BW222" s="26">
        <v>-0.4</v>
      </c>
      <c r="BX222" s="26" t="s">
        <v>61</v>
      </c>
      <c r="BY222" s="27" t="s">
        <v>61</v>
      </c>
      <c r="BZ222" s="26">
        <v>-0.4</v>
      </c>
      <c r="CA222" s="26">
        <v>-0.3</v>
      </c>
      <c r="CB222" s="26" t="s">
        <v>61</v>
      </c>
      <c r="CC222" s="26" t="s">
        <v>60</v>
      </c>
      <c r="CD222" s="26" t="s">
        <v>60</v>
      </c>
      <c r="CE222" s="27" t="s">
        <v>59</v>
      </c>
      <c r="CF222" s="27"/>
      <c r="CG222" s="27"/>
      <c r="CH222" s="27" t="s">
        <v>59</v>
      </c>
      <c r="CI222" s="27" t="s">
        <v>59</v>
      </c>
      <c r="CJ222" s="26" t="s">
        <v>59</v>
      </c>
      <c r="CK222" s="27" t="s">
        <v>59</v>
      </c>
      <c r="CL222" s="27" t="s">
        <v>59</v>
      </c>
      <c r="CM222" s="26" t="s">
        <v>59</v>
      </c>
      <c r="CN222" s="26" t="s">
        <v>59</v>
      </c>
      <c r="CO222" s="26" t="s">
        <v>59</v>
      </c>
      <c r="CP222" s="26" t="s">
        <v>60</v>
      </c>
      <c r="CQ222" s="26" t="s">
        <v>60</v>
      </c>
      <c r="CR222" s="27" t="s">
        <v>59</v>
      </c>
      <c r="CS222" s="27"/>
      <c r="CT222" s="27"/>
      <c r="CU222" s="27" t="s">
        <v>59</v>
      </c>
      <c r="CV222" s="27" t="s">
        <v>59</v>
      </c>
      <c r="CW222" s="26" t="s">
        <v>59</v>
      </c>
      <c r="CX222" s="27" t="s">
        <v>59</v>
      </c>
      <c r="CY222" s="27" t="s">
        <v>59</v>
      </c>
      <c r="CZ222" s="27" t="s">
        <v>59</v>
      </c>
      <c r="DA222" s="27" t="s">
        <v>59</v>
      </c>
      <c r="DB222" s="26" t="s">
        <v>59</v>
      </c>
      <c r="DC222" s="26">
        <v>18</v>
      </c>
      <c r="DD222" s="22" t="s">
        <v>136</v>
      </c>
      <c r="DE222" s="29" t="s">
        <v>61</v>
      </c>
      <c r="DF222" s="29" t="s">
        <v>61</v>
      </c>
      <c r="DG222" s="31">
        <v>0</v>
      </c>
      <c r="DH222" s="158" t="s">
        <v>77</v>
      </c>
      <c r="DI222" s="32" t="s">
        <v>97</v>
      </c>
      <c r="DJ222" s="31">
        <v>0.66</v>
      </c>
    </row>
    <row r="223" spans="1:114" s="43" customFormat="1">
      <c r="A223" s="34" t="s">
        <v>120</v>
      </c>
      <c r="B223" s="34">
        <v>5996</v>
      </c>
      <c r="C223" s="34">
        <v>2</v>
      </c>
      <c r="D223" s="43">
        <v>1</v>
      </c>
      <c r="E223" s="26" t="s">
        <v>58</v>
      </c>
      <c r="F223" s="26">
        <v>52</v>
      </c>
      <c r="G223" s="48">
        <f t="shared" si="4"/>
        <v>560</v>
      </c>
      <c r="H223" s="48">
        <f t="shared" si="5"/>
        <v>10.76923076923077</v>
      </c>
      <c r="I223" s="26" t="s">
        <v>139</v>
      </c>
      <c r="J223" s="48" t="s">
        <v>58</v>
      </c>
      <c r="K223" s="26" t="s">
        <v>58</v>
      </c>
      <c r="L223" s="26" t="s">
        <v>139</v>
      </c>
      <c r="M223" s="26" t="s">
        <v>58</v>
      </c>
      <c r="N223" s="26" t="s">
        <v>3515</v>
      </c>
      <c r="O223" s="26" t="s">
        <v>139</v>
      </c>
      <c r="P223" s="26" t="s">
        <v>139</v>
      </c>
      <c r="Q223" s="26" t="s">
        <v>61</v>
      </c>
      <c r="R223" s="26" t="s">
        <v>61</v>
      </c>
      <c r="S223" s="26" t="s">
        <v>60</v>
      </c>
      <c r="T223" s="26" t="s">
        <v>60</v>
      </c>
      <c r="U223" s="26">
        <v>354</v>
      </c>
      <c r="V223" s="26">
        <v>379</v>
      </c>
      <c r="W223" s="26" t="s">
        <v>60</v>
      </c>
      <c r="X223" s="26" t="s">
        <v>60</v>
      </c>
      <c r="Y223" s="26">
        <v>7.3</v>
      </c>
      <c r="Z223" s="226">
        <v>1.22</v>
      </c>
      <c r="AA223" s="26" t="s">
        <v>61</v>
      </c>
      <c r="AB223" s="26" t="s">
        <v>61</v>
      </c>
      <c r="AC223" s="27" t="s">
        <v>61</v>
      </c>
      <c r="AD223" s="26">
        <v>7.33</v>
      </c>
      <c r="AE223" s="33">
        <v>1.34</v>
      </c>
      <c r="AF223" s="26" t="s">
        <v>61</v>
      </c>
      <c r="AG223" s="26" t="s">
        <v>61</v>
      </c>
      <c r="AH223" s="27" t="s">
        <v>61</v>
      </c>
      <c r="AI223" s="26" t="s">
        <v>60</v>
      </c>
      <c r="AJ223" s="26" t="s">
        <v>60</v>
      </c>
      <c r="AK223" s="26" t="s">
        <v>59</v>
      </c>
      <c r="AL223" s="26" t="s">
        <v>59</v>
      </c>
      <c r="AM223" s="26" t="s">
        <v>59</v>
      </c>
      <c r="AN223" s="26" t="s">
        <v>60</v>
      </c>
      <c r="AO223" s="26" t="s">
        <v>60</v>
      </c>
      <c r="AP223" s="26" t="s">
        <v>59</v>
      </c>
      <c r="AQ223" s="26" t="s">
        <v>59</v>
      </c>
      <c r="AR223" s="26" t="s">
        <v>59</v>
      </c>
      <c r="AS223" s="26" t="s">
        <v>61</v>
      </c>
      <c r="AT223" s="26" t="s">
        <v>64</v>
      </c>
      <c r="AU223" s="26" t="s">
        <v>59</v>
      </c>
      <c r="AV223" s="26" t="s">
        <v>59</v>
      </c>
      <c r="AW223" s="26" t="s">
        <v>59</v>
      </c>
      <c r="AX223" s="26" t="s">
        <v>59</v>
      </c>
      <c r="AY223" s="26">
        <v>280</v>
      </c>
      <c r="AZ223" s="26">
        <v>280</v>
      </c>
      <c r="BA223" s="26" t="s">
        <v>60</v>
      </c>
      <c r="BB223" s="26" t="s">
        <v>60</v>
      </c>
      <c r="BC223" s="26">
        <v>7.17</v>
      </c>
      <c r="BD223" s="26" t="s">
        <v>61</v>
      </c>
      <c r="BE223" s="26" t="s">
        <v>61</v>
      </c>
      <c r="BF223" s="26">
        <v>9</v>
      </c>
      <c r="BG223" s="48">
        <v>1</v>
      </c>
      <c r="BH223" s="27" t="s">
        <v>61</v>
      </c>
      <c r="BI223" s="27" t="s">
        <v>61</v>
      </c>
      <c r="BJ223" s="26" t="s">
        <v>61</v>
      </c>
      <c r="BK223" s="26" t="s">
        <v>61</v>
      </c>
      <c r="BL223" s="26" t="s">
        <v>61</v>
      </c>
      <c r="BM223" s="26" t="s">
        <v>61</v>
      </c>
      <c r="BN223" s="26" t="s">
        <v>61</v>
      </c>
      <c r="BO223" s="26" t="s">
        <v>61</v>
      </c>
      <c r="BP223" s="26">
        <v>7.11</v>
      </c>
      <c r="BQ223" s="26" t="s">
        <v>61</v>
      </c>
      <c r="BR223" s="26" t="s">
        <v>61</v>
      </c>
      <c r="BS223" s="26">
        <v>9</v>
      </c>
      <c r="BT223" s="26">
        <v>1</v>
      </c>
      <c r="BU223" s="27" t="s">
        <v>61</v>
      </c>
      <c r="BV223" s="27" t="s">
        <v>61</v>
      </c>
      <c r="BW223" s="26" t="s">
        <v>61</v>
      </c>
      <c r="BX223" s="26" t="s">
        <v>61</v>
      </c>
      <c r="BY223" s="27" t="s">
        <v>61</v>
      </c>
      <c r="BZ223" s="26" t="s">
        <v>61</v>
      </c>
      <c r="CA223" s="27" t="s">
        <v>61</v>
      </c>
      <c r="CB223" s="26" t="s">
        <v>61</v>
      </c>
      <c r="CC223" s="26" t="s">
        <v>60</v>
      </c>
      <c r="CD223" s="26" t="s">
        <v>60</v>
      </c>
      <c r="CE223" s="26" t="s">
        <v>59</v>
      </c>
      <c r="CF223" s="26"/>
      <c r="CG223" s="26"/>
      <c r="CH223" s="26" t="s">
        <v>59</v>
      </c>
      <c r="CI223" s="26" t="s">
        <v>59</v>
      </c>
      <c r="CJ223" s="26" t="s">
        <v>59</v>
      </c>
      <c r="CK223" s="26" t="s">
        <v>59</v>
      </c>
      <c r="CL223" s="26" t="s">
        <v>59</v>
      </c>
      <c r="CM223" s="26" t="s">
        <v>59</v>
      </c>
      <c r="CN223" s="26" t="s">
        <v>59</v>
      </c>
      <c r="CO223" s="26" t="s">
        <v>59</v>
      </c>
      <c r="CP223" s="26" t="s">
        <v>59</v>
      </c>
      <c r="CQ223" s="26" t="s">
        <v>60</v>
      </c>
      <c r="CR223" s="26" t="s">
        <v>59</v>
      </c>
      <c r="CS223" s="26"/>
      <c r="CT223" s="26"/>
      <c r="CU223" s="26" t="s">
        <v>59</v>
      </c>
      <c r="CV223" s="26" t="s">
        <v>59</v>
      </c>
      <c r="CW223" s="26" t="s">
        <v>59</v>
      </c>
      <c r="CX223" s="26" t="s">
        <v>59</v>
      </c>
      <c r="CY223" s="26" t="s">
        <v>59</v>
      </c>
      <c r="CZ223" s="26" t="s">
        <v>59</v>
      </c>
      <c r="DA223" s="26" t="s">
        <v>59</v>
      </c>
      <c r="DB223" s="26" t="s">
        <v>59</v>
      </c>
      <c r="DC223" s="26">
        <v>12</v>
      </c>
      <c r="DD223" s="29"/>
      <c r="DE223" s="29" t="s">
        <v>61</v>
      </c>
      <c r="DF223" s="29" t="s">
        <v>61</v>
      </c>
      <c r="DG223" s="26" t="s">
        <v>121</v>
      </c>
      <c r="DH223" s="30">
        <v>0.1052</v>
      </c>
      <c r="DI223" s="29" t="s">
        <v>122</v>
      </c>
      <c r="DJ223" s="26">
        <v>0.57099999999999995</v>
      </c>
    </row>
    <row r="224" spans="1:114" s="43" customFormat="1">
      <c r="A224" s="34" t="s">
        <v>79</v>
      </c>
      <c r="B224" s="34">
        <v>5118</v>
      </c>
      <c r="C224" s="34">
        <v>2</v>
      </c>
      <c r="D224" s="43">
        <v>1</v>
      </c>
      <c r="E224" s="26" t="s">
        <v>58</v>
      </c>
      <c r="F224" s="26">
        <v>24</v>
      </c>
      <c r="G224" s="48">
        <f t="shared" si="4"/>
        <v>7101</v>
      </c>
      <c r="H224" s="48">
        <f t="shared" si="5"/>
        <v>295.875</v>
      </c>
      <c r="I224" s="48" t="s">
        <v>58</v>
      </c>
      <c r="J224" s="48" t="s">
        <v>58</v>
      </c>
      <c r="K224" s="26" t="s">
        <v>58</v>
      </c>
      <c r="L224" s="26" t="s">
        <v>139</v>
      </c>
      <c r="M224" s="26" t="s">
        <v>58</v>
      </c>
      <c r="N224" s="26" t="s">
        <v>3517</v>
      </c>
      <c r="O224" s="26" t="s">
        <v>139</v>
      </c>
      <c r="P224" s="26" t="s">
        <v>139</v>
      </c>
      <c r="Q224" s="19" t="s">
        <v>61</v>
      </c>
      <c r="R224" s="19" t="s">
        <v>61</v>
      </c>
      <c r="S224" s="26" t="s">
        <v>80</v>
      </c>
      <c r="T224" s="26" t="s">
        <v>80</v>
      </c>
      <c r="U224" s="26">
        <v>3131</v>
      </c>
      <c r="V224" s="26">
        <v>3970</v>
      </c>
      <c r="W224" s="26" t="s">
        <v>80</v>
      </c>
      <c r="X224" s="26" t="s">
        <v>80</v>
      </c>
      <c r="Y224" s="26">
        <v>7.33</v>
      </c>
      <c r="Z224" s="26" t="s">
        <v>61</v>
      </c>
      <c r="AA224" s="26" t="s">
        <v>61</v>
      </c>
      <c r="AB224" s="26" t="s">
        <v>61</v>
      </c>
      <c r="AC224" s="27" t="s">
        <v>61</v>
      </c>
      <c r="AD224" s="26">
        <v>7.25</v>
      </c>
      <c r="AE224" s="26" t="s">
        <v>61</v>
      </c>
      <c r="AF224" s="26" t="s">
        <v>61</v>
      </c>
      <c r="AG224" s="26" t="s">
        <v>61</v>
      </c>
      <c r="AH224" s="27" t="s">
        <v>61</v>
      </c>
      <c r="AI224" s="26" t="s">
        <v>80</v>
      </c>
      <c r="AJ224" s="26" t="s">
        <v>80</v>
      </c>
      <c r="AK224" s="26" t="s">
        <v>59</v>
      </c>
      <c r="AL224" s="26" t="s">
        <v>59</v>
      </c>
      <c r="AM224" s="26" t="s">
        <v>59</v>
      </c>
      <c r="AN224" s="26" t="s">
        <v>80</v>
      </c>
      <c r="AO224" s="26" t="s">
        <v>80</v>
      </c>
      <c r="AP224" s="26" t="s">
        <v>59</v>
      </c>
      <c r="AQ224" s="26" t="s">
        <v>59</v>
      </c>
      <c r="AR224" s="26" t="s">
        <v>59</v>
      </c>
      <c r="AS224" s="26">
        <v>0.41099999999999998</v>
      </c>
      <c r="AT224" s="26" t="s">
        <v>64</v>
      </c>
      <c r="AU224" s="26" t="s">
        <v>59</v>
      </c>
      <c r="AV224" s="26" t="s">
        <v>59</v>
      </c>
      <c r="AW224" s="26" t="s">
        <v>59</v>
      </c>
      <c r="AX224" s="26" t="s">
        <v>59</v>
      </c>
      <c r="AY224" s="26">
        <v>3131</v>
      </c>
      <c r="AZ224" s="26">
        <v>3970</v>
      </c>
      <c r="BA224" s="26" t="s">
        <v>80</v>
      </c>
      <c r="BB224" s="26" t="s">
        <v>80</v>
      </c>
      <c r="BC224" s="26">
        <v>7.37</v>
      </c>
      <c r="BD224" s="26" t="s">
        <v>61</v>
      </c>
      <c r="BE224" s="26" t="s">
        <v>61</v>
      </c>
      <c r="BF224" s="26">
        <v>9</v>
      </c>
      <c r="BG224" s="48">
        <v>1</v>
      </c>
      <c r="BH224" s="27" t="s">
        <v>61</v>
      </c>
      <c r="BI224" s="27" t="s">
        <v>61</v>
      </c>
      <c r="BJ224" s="26" t="s">
        <v>61</v>
      </c>
      <c r="BK224" s="26" t="s">
        <v>61</v>
      </c>
      <c r="BL224" s="26" t="s">
        <v>61</v>
      </c>
      <c r="BM224" s="26" t="s">
        <v>61</v>
      </c>
      <c r="BN224" s="26" t="s">
        <v>61</v>
      </c>
      <c r="BO224" s="26" t="s">
        <v>61</v>
      </c>
      <c r="BP224" s="26">
        <v>7.26</v>
      </c>
      <c r="BQ224" s="27" t="s">
        <v>61</v>
      </c>
      <c r="BR224" s="26" t="s">
        <v>61</v>
      </c>
      <c r="BS224" s="26">
        <v>9</v>
      </c>
      <c r="BT224" s="26">
        <v>1</v>
      </c>
      <c r="BU224" s="27" t="s">
        <v>61</v>
      </c>
      <c r="BV224" s="27" t="s">
        <v>61</v>
      </c>
      <c r="BW224" s="26" t="s">
        <v>61</v>
      </c>
      <c r="BX224" s="26" t="s">
        <v>61</v>
      </c>
      <c r="BY224" s="27" t="s">
        <v>61</v>
      </c>
      <c r="BZ224" s="26" t="s">
        <v>61</v>
      </c>
      <c r="CA224" s="27" t="s">
        <v>61</v>
      </c>
      <c r="CB224" s="26" t="s">
        <v>81</v>
      </c>
      <c r="CC224" s="26" t="s">
        <v>80</v>
      </c>
      <c r="CD224" s="26" t="s">
        <v>80</v>
      </c>
      <c r="CE224" s="26" t="s">
        <v>59</v>
      </c>
      <c r="CF224" s="26"/>
      <c r="CG224" s="26"/>
      <c r="CH224" s="26" t="s">
        <v>59</v>
      </c>
      <c r="CI224" s="26" t="s">
        <v>59</v>
      </c>
      <c r="CJ224" s="26" t="s">
        <v>59</v>
      </c>
      <c r="CK224" s="26" t="s">
        <v>59</v>
      </c>
      <c r="CL224" s="26" t="s">
        <v>59</v>
      </c>
      <c r="CM224" s="26" t="s">
        <v>59</v>
      </c>
      <c r="CN224" s="26" t="s">
        <v>59</v>
      </c>
      <c r="CO224" s="26" t="s">
        <v>59</v>
      </c>
      <c r="CP224" s="26" t="s">
        <v>80</v>
      </c>
      <c r="CQ224" s="26" t="s">
        <v>80</v>
      </c>
      <c r="CR224" s="26" t="s">
        <v>59</v>
      </c>
      <c r="CS224" s="26"/>
      <c r="CT224" s="26"/>
      <c r="CU224" s="26" t="s">
        <v>59</v>
      </c>
      <c r="CV224" s="26" t="s">
        <v>59</v>
      </c>
      <c r="CW224" s="26" t="s">
        <v>59</v>
      </c>
      <c r="CX224" s="26" t="s">
        <v>59</v>
      </c>
      <c r="CY224" s="26" t="s">
        <v>59</v>
      </c>
      <c r="CZ224" s="26" t="s">
        <v>59</v>
      </c>
      <c r="DA224" s="26" t="s">
        <v>59</v>
      </c>
      <c r="DB224" s="26" t="s">
        <v>59</v>
      </c>
      <c r="DC224" s="26">
        <v>12</v>
      </c>
      <c r="DD224" s="29" t="s">
        <v>82</v>
      </c>
      <c r="DE224" s="29" t="s">
        <v>61</v>
      </c>
      <c r="DF224" s="29" t="s">
        <v>61</v>
      </c>
      <c r="DG224" s="26" t="s">
        <v>61</v>
      </c>
      <c r="DH224" s="27" t="s">
        <v>61</v>
      </c>
      <c r="DI224" s="29" t="s">
        <v>61</v>
      </c>
      <c r="DJ224" s="26" t="s">
        <v>61</v>
      </c>
    </row>
    <row r="225" spans="1:114" s="43" customFormat="1">
      <c r="A225" s="49" t="s">
        <v>285</v>
      </c>
      <c r="B225" s="43">
        <v>10196</v>
      </c>
      <c r="C225" s="34">
        <v>2</v>
      </c>
      <c r="D225" s="43">
        <v>1</v>
      </c>
      <c r="E225" s="162" t="s">
        <v>139</v>
      </c>
      <c r="F225" s="48">
        <v>6</v>
      </c>
      <c r="G225" s="48">
        <f t="shared" si="4"/>
        <v>1489</v>
      </c>
      <c r="H225" s="48">
        <f t="shared" si="5"/>
        <v>248.16666666666666</v>
      </c>
      <c r="I225" s="48" t="s">
        <v>139</v>
      </c>
      <c r="J225" s="48" t="s">
        <v>139</v>
      </c>
      <c r="K225" s="26" t="s">
        <v>58</v>
      </c>
      <c r="L225" s="26" t="s">
        <v>139</v>
      </c>
      <c r="M225" s="26" t="s">
        <v>58</v>
      </c>
      <c r="N225" s="26" t="s">
        <v>3525</v>
      </c>
      <c r="O225" s="26" t="s">
        <v>58</v>
      </c>
      <c r="P225" s="26" t="s">
        <v>58</v>
      </c>
      <c r="Q225" s="48">
        <v>-2E-3</v>
      </c>
      <c r="R225" s="48">
        <v>-2E-3</v>
      </c>
      <c r="S225" s="48" t="s">
        <v>59</v>
      </c>
      <c r="T225" s="48" t="s">
        <v>59</v>
      </c>
      <c r="U225" s="48">
        <v>840</v>
      </c>
      <c r="V225" s="48">
        <v>649</v>
      </c>
      <c r="W225" s="48" t="s">
        <v>59</v>
      </c>
      <c r="X225" s="48" t="s">
        <v>59</v>
      </c>
      <c r="Y225" s="48">
        <v>7.34</v>
      </c>
      <c r="Z225" s="48">
        <v>1.31</v>
      </c>
      <c r="AA225" s="48" t="s">
        <v>61</v>
      </c>
      <c r="AB225" s="48" t="s">
        <v>61</v>
      </c>
      <c r="AC225" s="48" t="s">
        <v>61</v>
      </c>
      <c r="AD225" s="48">
        <v>7.46</v>
      </c>
      <c r="AE225" s="48">
        <v>1.53</v>
      </c>
      <c r="AF225" s="48" t="s">
        <v>61</v>
      </c>
      <c r="AG225" s="48" t="s">
        <v>61</v>
      </c>
      <c r="AH225" s="48" t="s">
        <v>61</v>
      </c>
      <c r="AI225" s="48" t="s">
        <v>59</v>
      </c>
      <c r="AJ225" s="48" t="s">
        <v>59</v>
      </c>
      <c r="AK225" s="48" t="s">
        <v>59</v>
      </c>
      <c r="AL225" s="48" t="s">
        <v>59</v>
      </c>
      <c r="AM225" s="48" t="s">
        <v>59</v>
      </c>
      <c r="AN225" s="48" t="s">
        <v>59</v>
      </c>
      <c r="AO225" s="48" t="s">
        <v>59</v>
      </c>
      <c r="AP225" s="48" t="s">
        <v>59</v>
      </c>
      <c r="AQ225" s="48" t="s">
        <v>59</v>
      </c>
      <c r="AR225" s="48" t="s">
        <v>59</v>
      </c>
      <c r="AS225" s="48">
        <v>0.1</v>
      </c>
      <c r="AT225" s="48" t="s">
        <v>64</v>
      </c>
      <c r="AU225" s="48" t="s">
        <v>59</v>
      </c>
      <c r="AV225" s="48" t="s">
        <v>59</v>
      </c>
      <c r="AW225" s="48" t="s">
        <v>59</v>
      </c>
      <c r="AX225" s="48" t="s">
        <v>59</v>
      </c>
      <c r="AY225" s="48">
        <v>840</v>
      </c>
      <c r="AZ225" s="48">
        <v>649</v>
      </c>
      <c r="BA225" s="48" t="s">
        <v>59</v>
      </c>
      <c r="BB225" s="48" t="s">
        <v>59</v>
      </c>
      <c r="BC225" s="48">
        <v>7.06</v>
      </c>
      <c r="BD225" s="48" t="s">
        <v>61</v>
      </c>
      <c r="BE225" s="48" t="s">
        <v>61</v>
      </c>
      <c r="BF225" s="26">
        <v>9</v>
      </c>
      <c r="BG225" s="48">
        <v>1</v>
      </c>
      <c r="BH225" s="48" t="s">
        <v>61</v>
      </c>
      <c r="BI225" s="48" t="s">
        <v>61</v>
      </c>
      <c r="BJ225" s="48">
        <v>-0.28000000000000003</v>
      </c>
      <c r="BK225" s="48" t="s">
        <v>61</v>
      </c>
      <c r="BL225" s="48" t="s">
        <v>61</v>
      </c>
      <c r="BM225" s="48" t="s">
        <v>61</v>
      </c>
      <c r="BN225" s="48" t="s">
        <v>61</v>
      </c>
      <c r="BO225" s="48" t="s">
        <v>286</v>
      </c>
      <c r="BP225" s="48">
        <v>7.05</v>
      </c>
      <c r="BQ225" s="48" t="s">
        <v>61</v>
      </c>
      <c r="BR225" s="48" t="s">
        <v>61</v>
      </c>
      <c r="BS225" s="26">
        <v>9</v>
      </c>
      <c r="BT225" s="26">
        <v>1</v>
      </c>
      <c r="BU225" s="48" t="s">
        <v>61</v>
      </c>
      <c r="BV225" s="48" t="s">
        <v>61</v>
      </c>
      <c r="BW225" s="48">
        <v>-0.41</v>
      </c>
      <c r="BX225" s="48" t="s">
        <v>61</v>
      </c>
      <c r="BY225" s="48" t="s">
        <v>61</v>
      </c>
      <c r="BZ225" s="48" t="s">
        <v>61</v>
      </c>
      <c r="CA225" s="48" t="s">
        <v>61</v>
      </c>
      <c r="CB225" s="48" t="s">
        <v>286</v>
      </c>
      <c r="CC225" s="48" t="s">
        <v>59</v>
      </c>
      <c r="CD225" s="48" t="s">
        <v>59</v>
      </c>
      <c r="CE225" s="48" t="s">
        <v>59</v>
      </c>
      <c r="CF225" s="48"/>
      <c r="CG225" s="48"/>
      <c r="CH225" s="48" t="s">
        <v>59</v>
      </c>
      <c r="CI225" s="48" t="s">
        <v>59</v>
      </c>
      <c r="CJ225" s="48" t="s">
        <v>59</v>
      </c>
      <c r="CK225" s="48" t="s">
        <v>59</v>
      </c>
      <c r="CL225" s="48" t="s">
        <v>59</v>
      </c>
      <c r="CM225" s="48" t="s">
        <v>59</v>
      </c>
      <c r="CN225" s="48" t="s">
        <v>59</v>
      </c>
      <c r="CO225" s="48" t="s">
        <v>59</v>
      </c>
      <c r="CP225" s="48" t="s">
        <v>59</v>
      </c>
      <c r="CQ225" s="48" t="s">
        <v>59</v>
      </c>
      <c r="CR225" s="48" t="s">
        <v>59</v>
      </c>
      <c r="CS225" s="48"/>
      <c r="CT225" s="48"/>
      <c r="CU225" s="48" t="s">
        <v>59</v>
      </c>
      <c r="CV225" s="48" t="s">
        <v>59</v>
      </c>
      <c r="CW225" s="48" t="s">
        <v>59</v>
      </c>
      <c r="CX225" s="48" t="s">
        <v>59</v>
      </c>
      <c r="CY225" s="48" t="s">
        <v>59</v>
      </c>
      <c r="CZ225" s="48" t="s">
        <v>59</v>
      </c>
      <c r="DA225" s="48" t="s">
        <v>59</v>
      </c>
      <c r="DB225" s="48" t="s">
        <v>59</v>
      </c>
      <c r="DC225" s="48">
        <v>12</v>
      </c>
      <c r="DD225" s="55"/>
      <c r="DG225" s="43">
        <v>0.03</v>
      </c>
      <c r="DH225" s="43">
        <v>0.21529999999999999</v>
      </c>
      <c r="DI225" s="43" t="s">
        <v>287</v>
      </c>
      <c r="DJ225" s="43">
        <v>0.60699999999999998</v>
      </c>
    </row>
    <row r="226" spans="1:114" s="43" customFormat="1">
      <c r="A226" s="34" t="s">
        <v>89</v>
      </c>
      <c r="B226" s="34">
        <v>5221</v>
      </c>
      <c r="C226" s="34">
        <v>2</v>
      </c>
      <c r="D226" s="43">
        <v>1</v>
      </c>
      <c r="E226" s="26" t="s">
        <v>58</v>
      </c>
      <c r="F226" s="26">
        <v>11</v>
      </c>
      <c r="G226" s="48">
        <f t="shared" si="4"/>
        <v>244</v>
      </c>
      <c r="H226" s="48">
        <f t="shared" si="5"/>
        <v>22.181818181818183</v>
      </c>
      <c r="I226" s="26" t="s">
        <v>58</v>
      </c>
      <c r="J226" s="48" t="s">
        <v>58</v>
      </c>
      <c r="K226" s="26" t="s">
        <v>139</v>
      </c>
      <c r="L226" s="26" t="s">
        <v>1379</v>
      </c>
      <c r="M226" s="26" t="s">
        <v>1379</v>
      </c>
      <c r="N226" s="26" t="s">
        <v>1379</v>
      </c>
      <c r="O226" s="26" t="s">
        <v>1379</v>
      </c>
      <c r="P226" s="26" t="s">
        <v>1379</v>
      </c>
      <c r="Q226" s="19" t="s">
        <v>61</v>
      </c>
      <c r="R226" s="19" t="s">
        <v>61</v>
      </c>
      <c r="S226" s="26" t="s">
        <v>60</v>
      </c>
      <c r="T226" s="26" t="s">
        <v>60</v>
      </c>
      <c r="U226" s="26">
        <v>118</v>
      </c>
      <c r="V226" s="26">
        <v>126</v>
      </c>
      <c r="W226" s="26" t="s">
        <v>60</v>
      </c>
      <c r="X226" s="26" t="s">
        <v>60</v>
      </c>
      <c r="Y226" s="26">
        <v>7.4</v>
      </c>
      <c r="Z226" s="26">
        <v>1.6</v>
      </c>
      <c r="AA226" s="26" t="s">
        <v>61</v>
      </c>
      <c r="AB226" s="26" t="s">
        <v>61</v>
      </c>
      <c r="AC226" s="27" t="s">
        <v>61</v>
      </c>
      <c r="AD226" s="26">
        <v>7.3</v>
      </c>
      <c r="AE226" s="26">
        <v>1.5</v>
      </c>
      <c r="AF226" s="26" t="s">
        <v>61</v>
      </c>
      <c r="AG226" s="26" t="s">
        <v>61</v>
      </c>
      <c r="AH226" s="27" t="s">
        <v>61</v>
      </c>
      <c r="AI226" s="26" t="s">
        <v>60</v>
      </c>
      <c r="AJ226" s="26" t="s">
        <v>60</v>
      </c>
      <c r="AK226" s="26" t="s">
        <v>59</v>
      </c>
      <c r="AL226" s="26" t="s">
        <v>59</v>
      </c>
      <c r="AM226" s="26" t="s">
        <v>59</v>
      </c>
      <c r="AN226" s="26" t="s">
        <v>60</v>
      </c>
      <c r="AO226" s="26" t="s">
        <v>60</v>
      </c>
      <c r="AP226" s="26" t="s">
        <v>59</v>
      </c>
      <c r="AQ226" s="26" t="s">
        <v>59</v>
      </c>
      <c r="AR226" s="26" t="s">
        <v>59</v>
      </c>
      <c r="AS226" s="26">
        <v>0.69</v>
      </c>
      <c r="AT226" s="26" t="s">
        <v>64</v>
      </c>
      <c r="AU226" s="26" t="s">
        <v>59</v>
      </c>
      <c r="AV226" s="26" t="s">
        <v>59</v>
      </c>
      <c r="AW226" s="26" t="s">
        <v>59</v>
      </c>
      <c r="AX226" s="26" t="s">
        <v>59</v>
      </c>
      <c r="AY226" s="26">
        <v>118</v>
      </c>
      <c r="AZ226" s="26">
        <v>126</v>
      </c>
      <c r="BA226" s="26" t="s">
        <v>60</v>
      </c>
      <c r="BB226" s="26" t="s">
        <v>60</v>
      </c>
      <c r="BC226" s="26">
        <v>7.2</v>
      </c>
      <c r="BD226" s="26" t="s">
        <v>61</v>
      </c>
      <c r="BE226" s="26" t="s">
        <v>61</v>
      </c>
      <c r="BF226" s="26">
        <v>9</v>
      </c>
      <c r="BG226" s="48">
        <v>1</v>
      </c>
      <c r="BH226" s="27" t="s">
        <v>61</v>
      </c>
      <c r="BI226" s="27" t="s">
        <v>61</v>
      </c>
      <c r="BJ226" s="26">
        <v>-0.26</v>
      </c>
      <c r="BK226" s="26" t="s">
        <v>61</v>
      </c>
      <c r="BL226" s="26" t="s">
        <v>61</v>
      </c>
      <c r="BM226" s="26" t="s">
        <v>61</v>
      </c>
      <c r="BN226" s="26" t="s">
        <v>61</v>
      </c>
      <c r="BO226" s="26" t="s">
        <v>61</v>
      </c>
      <c r="BP226" s="26">
        <v>7.1</v>
      </c>
      <c r="BQ226" s="26" t="s">
        <v>61</v>
      </c>
      <c r="BR226" s="26" t="s">
        <v>61</v>
      </c>
      <c r="BS226" s="26">
        <v>9</v>
      </c>
      <c r="BT226" s="26">
        <v>1</v>
      </c>
      <c r="BU226" s="27" t="s">
        <v>61</v>
      </c>
      <c r="BV226" s="27" t="s">
        <v>61</v>
      </c>
      <c r="BW226" s="26">
        <v>-0.16</v>
      </c>
      <c r="BX226" s="26" t="s">
        <v>61</v>
      </c>
      <c r="BY226" s="27" t="s">
        <v>61</v>
      </c>
      <c r="BZ226" s="26" t="s">
        <v>61</v>
      </c>
      <c r="CA226" s="27" t="s">
        <v>61</v>
      </c>
      <c r="CB226" s="26" t="s">
        <v>61</v>
      </c>
      <c r="CC226" s="26" t="s">
        <v>60</v>
      </c>
      <c r="CD226" s="26" t="s">
        <v>60</v>
      </c>
      <c r="CE226" s="26" t="s">
        <v>59</v>
      </c>
      <c r="CF226" s="26"/>
      <c r="CG226" s="26"/>
      <c r="CH226" s="26" t="s">
        <v>59</v>
      </c>
      <c r="CI226" s="26" t="s">
        <v>59</v>
      </c>
      <c r="CJ226" s="26" t="s">
        <v>59</v>
      </c>
      <c r="CK226" s="26" t="s">
        <v>59</v>
      </c>
      <c r="CL226" s="26" t="s">
        <v>59</v>
      </c>
      <c r="CM226" s="26" t="s">
        <v>59</v>
      </c>
      <c r="CN226" s="26" t="s">
        <v>59</v>
      </c>
      <c r="CO226" s="26" t="s">
        <v>59</v>
      </c>
      <c r="CP226" s="26" t="s">
        <v>60</v>
      </c>
      <c r="CQ226" s="26" t="s">
        <v>60</v>
      </c>
      <c r="CR226" s="26" t="s">
        <v>59</v>
      </c>
      <c r="CS226" s="26"/>
      <c r="CT226" s="26"/>
      <c r="CU226" s="26" t="s">
        <v>59</v>
      </c>
      <c r="CV226" s="26" t="s">
        <v>59</v>
      </c>
      <c r="CW226" s="26" t="s">
        <v>59</v>
      </c>
      <c r="CX226" s="26" t="s">
        <v>59</v>
      </c>
      <c r="CY226" s="26" t="s">
        <v>59</v>
      </c>
      <c r="CZ226" s="26" t="s">
        <v>59</v>
      </c>
      <c r="DA226" s="26" t="s">
        <v>59</v>
      </c>
      <c r="DB226" s="26" t="s">
        <v>59</v>
      </c>
      <c r="DC226" s="26">
        <v>12</v>
      </c>
      <c r="DD226" s="29"/>
      <c r="DE226" s="29" t="s">
        <v>61</v>
      </c>
      <c r="DF226" s="29" t="s">
        <v>61</v>
      </c>
      <c r="DG226" s="26" t="s">
        <v>61</v>
      </c>
      <c r="DH226" s="27" t="s">
        <v>61</v>
      </c>
      <c r="DI226" s="29" t="s">
        <v>61</v>
      </c>
      <c r="DJ226" s="26" t="s">
        <v>61</v>
      </c>
    </row>
    <row r="227" spans="1:114" s="43" customFormat="1" ht="14">
      <c r="A227" s="49" t="s">
        <v>309</v>
      </c>
      <c r="B227" s="43">
        <v>12327</v>
      </c>
      <c r="C227" s="34">
        <v>2</v>
      </c>
      <c r="D227" s="43">
        <v>1</v>
      </c>
      <c r="E227" s="48" t="s">
        <v>58</v>
      </c>
      <c r="F227" s="48">
        <v>9</v>
      </c>
      <c r="G227" s="48">
        <f t="shared" si="4"/>
        <v>1292</v>
      </c>
      <c r="H227" s="48">
        <f t="shared" si="5"/>
        <v>143.55555555555554</v>
      </c>
      <c r="I227" s="48" t="s">
        <v>139</v>
      </c>
      <c r="J227" s="48" t="s">
        <v>139</v>
      </c>
      <c r="K227" s="26" t="s">
        <v>58</v>
      </c>
      <c r="L227" s="26" t="s">
        <v>58</v>
      </c>
      <c r="M227" s="26" t="s">
        <v>58</v>
      </c>
      <c r="N227" s="26" t="s">
        <v>1379</v>
      </c>
      <c r="O227" s="26" t="s">
        <v>58</v>
      </c>
      <c r="P227" s="26" t="s">
        <v>58</v>
      </c>
      <c r="Q227" s="48">
        <v>6.6100000000000006E-2</v>
      </c>
      <c r="R227" s="48">
        <v>6.6100000000000006E-2</v>
      </c>
      <c r="S227" s="48" t="s">
        <v>59</v>
      </c>
      <c r="T227" s="48" t="s">
        <v>59</v>
      </c>
      <c r="U227" s="48">
        <v>771</v>
      </c>
      <c r="V227" s="48">
        <v>521</v>
      </c>
      <c r="W227" s="48" t="s">
        <v>59</v>
      </c>
      <c r="X227" s="48" t="s">
        <v>59</v>
      </c>
      <c r="Y227" s="69">
        <v>7.4</v>
      </c>
      <c r="Z227" s="69" t="s">
        <v>61</v>
      </c>
      <c r="AA227" s="69">
        <v>0.2</v>
      </c>
      <c r="AB227" s="69" t="s">
        <v>61</v>
      </c>
      <c r="AC227" s="69" t="s">
        <v>61</v>
      </c>
      <c r="AD227" s="69">
        <v>7.8</v>
      </c>
      <c r="AE227" s="69" t="s">
        <v>61</v>
      </c>
      <c r="AF227" s="69">
        <v>0.2</v>
      </c>
      <c r="AG227" s="69" t="s">
        <v>61</v>
      </c>
      <c r="AH227" s="69" t="s">
        <v>61</v>
      </c>
      <c r="AI227" s="69" t="s">
        <v>59</v>
      </c>
      <c r="AJ227" s="69" t="s">
        <v>59</v>
      </c>
      <c r="AK227" s="69" t="s">
        <v>59</v>
      </c>
      <c r="AL227" s="69" t="s">
        <v>59</v>
      </c>
      <c r="AM227" s="69" t="s">
        <v>59</v>
      </c>
      <c r="AN227" s="69" t="s">
        <v>59</v>
      </c>
      <c r="AO227" s="69" t="s">
        <v>59</v>
      </c>
      <c r="AP227" s="69" t="s">
        <v>59</v>
      </c>
      <c r="AQ227" s="69" t="s">
        <v>59</v>
      </c>
      <c r="AR227" s="69" t="s">
        <v>59</v>
      </c>
      <c r="AS227" s="69">
        <v>0.1416</v>
      </c>
      <c r="AT227" s="69" t="s">
        <v>64</v>
      </c>
      <c r="AU227" s="69" t="s">
        <v>59</v>
      </c>
      <c r="AV227" s="69" t="s">
        <v>59</v>
      </c>
      <c r="AW227" s="69" t="s">
        <v>59</v>
      </c>
      <c r="AX227" s="69" t="s">
        <v>59</v>
      </c>
      <c r="AY227" s="69">
        <v>771</v>
      </c>
      <c r="AZ227" s="69">
        <v>521</v>
      </c>
      <c r="BA227" s="69" t="s">
        <v>59</v>
      </c>
      <c r="BB227" s="69" t="s">
        <v>59</v>
      </c>
      <c r="BC227" s="69">
        <v>7.73</v>
      </c>
      <c r="BD227" s="69" t="s">
        <v>61</v>
      </c>
      <c r="BE227" s="69">
        <v>0.11</v>
      </c>
      <c r="BF227" s="69">
        <v>1</v>
      </c>
      <c r="BG227" s="48">
        <v>1</v>
      </c>
      <c r="BH227" s="69" t="s">
        <v>61</v>
      </c>
      <c r="BI227" s="69" t="s">
        <v>61</v>
      </c>
      <c r="BJ227" s="69" t="s">
        <v>61</v>
      </c>
      <c r="BK227" s="69" t="s">
        <v>61</v>
      </c>
      <c r="BL227" s="69" t="s">
        <v>61</v>
      </c>
      <c r="BM227" s="69" t="s">
        <v>61</v>
      </c>
      <c r="BN227" s="69" t="s">
        <v>61</v>
      </c>
      <c r="BO227" s="69" t="s">
        <v>61</v>
      </c>
      <c r="BP227" s="69">
        <v>7.19</v>
      </c>
      <c r="BQ227" s="69" t="s">
        <v>61</v>
      </c>
      <c r="BR227" s="69">
        <v>0.12</v>
      </c>
      <c r="BS227" s="69">
        <v>1</v>
      </c>
      <c r="BT227" s="26">
        <v>1</v>
      </c>
      <c r="BU227" s="69" t="s">
        <v>61</v>
      </c>
      <c r="BV227" s="69" t="s">
        <v>61</v>
      </c>
      <c r="BW227" s="69" t="s">
        <v>61</v>
      </c>
      <c r="BX227" s="69" t="s">
        <v>61</v>
      </c>
      <c r="BY227" s="69" t="s">
        <v>61</v>
      </c>
      <c r="BZ227" s="69" t="s">
        <v>61</v>
      </c>
      <c r="CA227" s="69" t="s">
        <v>61</v>
      </c>
      <c r="CB227" s="69" t="s">
        <v>61</v>
      </c>
      <c r="CC227" s="69" t="s">
        <v>59</v>
      </c>
      <c r="CD227" s="69" t="s">
        <v>59</v>
      </c>
      <c r="CE227" s="69" t="s">
        <v>59</v>
      </c>
      <c r="CF227" s="69"/>
      <c r="CG227" s="69"/>
      <c r="CH227" s="69" t="s">
        <v>59</v>
      </c>
      <c r="CI227" s="69" t="s">
        <v>59</v>
      </c>
      <c r="CJ227" s="69" t="s">
        <v>59</v>
      </c>
      <c r="CK227" s="69" t="s">
        <v>59</v>
      </c>
      <c r="CL227" s="69" t="s">
        <v>59</v>
      </c>
      <c r="CM227" s="69" t="s">
        <v>59</v>
      </c>
      <c r="CN227" s="69" t="s">
        <v>59</v>
      </c>
      <c r="CO227" s="69" t="s">
        <v>59</v>
      </c>
      <c r="CP227" s="69" t="s">
        <v>59</v>
      </c>
      <c r="CQ227" s="69" t="s">
        <v>59</v>
      </c>
      <c r="CR227" s="69" t="s">
        <v>59</v>
      </c>
      <c r="CS227" s="69"/>
      <c r="CT227" s="69"/>
      <c r="CU227" s="69" t="s">
        <v>59</v>
      </c>
      <c r="CV227" s="69" t="s">
        <v>59</v>
      </c>
      <c r="CW227" s="69" t="s">
        <v>59</v>
      </c>
      <c r="CX227" s="69" t="s">
        <v>59</v>
      </c>
      <c r="CY227" s="69" t="s">
        <v>59</v>
      </c>
      <c r="CZ227" s="69" t="s">
        <v>59</v>
      </c>
      <c r="DA227" s="69" t="s">
        <v>59</v>
      </c>
      <c r="DB227" s="69" t="s">
        <v>59</v>
      </c>
      <c r="DC227" s="69">
        <v>24</v>
      </c>
      <c r="DD227" s="55"/>
      <c r="DG227" s="43">
        <v>-0.53</v>
      </c>
      <c r="DH227" s="43">
        <v>0.16</v>
      </c>
      <c r="DI227" s="43" t="s">
        <v>310</v>
      </c>
      <c r="DJ227" s="43">
        <v>1.1900000000000001E-2</v>
      </c>
    </row>
    <row r="228" spans="1:114" s="43" customFormat="1">
      <c r="A228" s="34" t="s">
        <v>76</v>
      </c>
      <c r="B228" s="34">
        <v>3514</v>
      </c>
      <c r="C228" s="34">
        <v>2</v>
      </c>
      <c r="D228" s="43">
        <v>1</v>
      </c>
      <c r="E228" s="26" t="s">
        <v>58</v>
      </c>
      <c r="F228" s="26">
        <v>35</v>
      </c>
      <c r="G228" s="48">
        <f t="shared" si="4"/>
        <v>707</v>
      </c>
      <c r="H228" s="48">
        <f t="shared" si="5"/>
        <v>20.2</v>
      </c>
      <c r="I228" s="48" t="s">
        <v>58</v>
      </c>
      <c r="J228" s="48" t="s">
        <v>58</v>
      </c>
      <c r="K228" s="26" t="s">
        <v>58</v>
      </c>
      <c r="L228" s="26" t="s">
        <v>139</v>
      </c>
      <c r="M228" s="26" t="s">
        <v>58</v>
      </c>
      <c r="N228" s="26" t="s">
        <v>3527</v>
      </c>
      <c r="O228" s="26" t="s">
        <v>139</v>
      </c>
      <c r="P228" s="26" t="s">
        <v>139</v>
      </c>
      <c r="Q228" s="19" t="s">
        <v>61</v>
      </c>
      <c r="R228" s="19" t="s">
        <v>61</v>
      </c>
      <c r="S228" s="26" t="s">
        <v>60</v>
      </c>
      <c r="T228" s="26" t="s">
        <v>60</v>
      </c>
      <c r="U228" s="26">
        <v>429</v>
      </c>
      <c r="V228" s="26">
        <v>278</v>
      </c>
      <c r="W228" s="26" t="s">
        <v>60</v>
      </c>
      <c r="X228" s="26" t="s">
        <v>60</v>
      </c>
      <c r="Y228" s="26">
        <v>7.4</v>
      </c>
      <c r="Z228" s="27" t="s">
        <v>61</v>
      </c>
      <c r="AA228" s="27" t="s">
        <v>61</v>
      </c>
      <c r="AB228" s="27" t="s">
        <v>61</v>
      </c>
      <c r="AC228" s="27" t="s">
        <v>61</v>
      </c>
      <c r="AD228" s="26">
        <v>7.5</v>
      </c>
      <c r="AE228" s="27" t="s">
        <v>61</v>
      </c>
      <c r="AF228" s="27" t="s">
        <v>61</v>
      </c>
      <c r="AG228" s="27" t="s">
        <v>61</v>
      </c>
      <c r="AH228" s="27" t="s">
        <v>61</v>
      </c>
      <c r="AI228" s="26" t="s">
        <v>60</v>
      </c>
      <c r="AJ228" s="26" t="s">
        <v>60</v>
      </c>
      <c r="AK228" s="26" t="s">
        <v>59</v>
      </c>
      <c r="AL228" s="26" t="s">
        <v>59</v>
      </c>
      <c r="AM228" s="26" t="s">
        <v>59</v>
      </c>
      <c r="AN228" s="26" t="s">
        <v>60</v>
      </c>
      <c r="AO228" s="26" t="s">
        <v>60</v>
      </c>
      <c r="AP228" s="26" t="s">
        <v>59</v>
      </c>
      <c r="AQ228" s="26" t="s">
        <v>59</v>
      </c>
      <c r="AR228" s="26" t="s">
        <v>59</v>
      </c>
      <c r="AS228" s="26">
        <v>0.69</v>
      </c>
      <c r="AT228" s="26" t="s">
        <v>64</v>
      </c>
      <c r="AU228" s="26" t="s">
        <v>61</v>
      </c>
      <c r="AV228" s="26" t="s">
        <v>61</v>
      </c>
      <c r="AW228" s="26" t="s">
        <v>61</v>
      </c>
      <c r="AX228" s="26" t="s">
        <v>61</v>
      </c>
      <c r="AY228" s="26">
        <v>429</v>
      </c>
      <c r="AZ228" s="26">
        <v>278</v>
      </c>
      <c r="BA228" s="26" t="s">
        <v>60</v>
      </c>
      <c r="BB228" s="26" t="s">
        <v>60</v>
      </c>
      <c r="BC228" s="26">
        <v>7.9</v>
      </c>
      <c r="BD228" s="27" t="s">
        <v>61</v>
      </c>
      <c r="BE228" s="27" t="s">
        <v>61</v>
      </c>
      <c r="BF228" s="26">
        <v>9</v>
      </c>
      <c r="BG228" s="48">
        <v>1</v>
      </c>
      <c r="BH228" s="26" t="s">
        <v>61</v>
      </c>
      <c r="BI228" s="27" t="s">
        <v>61</v>
      </c>
      <c r="BJ228" s="27" t="s">
        <v>61</v>
      </c>
      <c r="BK228" s="27" t="s">
        <v>61</v>
      </c>
      <c r="BL228" s="27" t="s">
        <v>61</v>
      </c>
      <c r="BM228" s="27" t="s">
        <v>61</v>
      </c>
      <c r="BN228" s="27" t="s">
        <v>61</v>
      </c>
      <c r="BO228" s="27" t="s">
        <v>61</v>
      </c>
      <c r="BP228" s="26">
        <v>7.9</v>
      </c>
      <c r="BQ228" s="27" t="s">
        <v>61</v>
      </c>
      <c r="BR228" s="27" t="s">
        <v>61</v>
      </c>
      <c r="BS228" s="26">
        <v>9</v>
      </c>
      <c r="BT228" s="26">
        <v>1</v>
      </c>
      <c r="BU228" s="27" t="s">
        <v>61</v>
      </c>
      <c r="BV228" s="27" t="s">
        <v>61</v>
      </c>
      <c r="BW228" s="27" t="s">
        <v>61</v>
      </c>
      <c r="BX228" s="27" t="s">
        <v>61</v>
      </c>
      <c r="BY228" s="27" t="s">
        <v>61</v>
      </c>
      <c r="BZ228" s="27" t="s">
        <v>61</v>
      </c>
      <c r="CA228" s="27" t="s">
        <v>61</v>
      </c>
      <c r="CB228" s="27" t="s">
        <v>61</v>
      </c>
      <c r="CC228" s="26" t="s">
        <v>60</v>
      </c>
      <c r="CD228" s="26" t="s">
        <v>60</v>
      </c>
      <c r="CE228" s="26" t="s">
        <v>59</v>
      </c>
      <c r="CF228" s="26"/>
      <c r="CG228" s="26"/>
      <c r="CH228" s="26" t="s">
        <v>59</v>
      </c>
      <c r="CI228" s="26" t="s">
        <v>59</v>
      </c>
      <c r="CJ228" s="26" t="s">
        <v>59</v>
      </c>
      <c r="CK228" s="26" t="s">
        <v>59</v>
      </c>
      <c r="CL228" s="26" t="s">
        <v>59</v>
      </c>
      <c r="CM228" s="26" t="s">
        <v>59</v>
      </c>
      <c r="CN228" s="26" t="s">
        <v>59</v>
      </c>
      <c r="CO228" s="26" t="s">
        <v>59</v>
      </c>
      <c r="CP228" s="26" t="s">
        <v>60</v>
      </c>
      <c r="CQ228" s="26" t="s">
        <v>60</v>
      </c>
      <c r="CR228" s="26" t="s">
        <v>59</v>
      </c>
      <c r="CS228" s="26"/>
      <c r="CT228" s="26"/>
      <c r="CU228" s="26" t="s">
        <v>59</v>
      </c>
      <c r="CV228" s="26" t="s">
        <v>59</v>
      </c>
      <c r="CW228" s="26" t="s">
        <v>59</v>
      </c>
      <c r="CX228" s="26" t="s">
        <v>59</v>
      </c>
      <c r="CY228" s="26" t="s">
        <v>59</v>
      </c>
      <c r="CZ228" s="26" t="s">
        <v>59</v>
      </c>
      <c r="DA228" s="26" t="s">
        <v>59</v>
      </c>
      <c r="DB228" s="26" t="s">
        <v>59</v>
      </c>
      <c r="DC228" s="26">
        <v>24</v>
      </c>
      <c r="DD228" s="29"/>
      <c r="DE228" s="29" t="s">
        <v>61</v>
      </c>
      <c r="DF228" s="29" t="s">
        <v>61</v>
      </c>
      <c r="DG228" s="26">
        <v>0</v>
      </c>
      <c r="DH228" s="40" t="s">
        <v>77</v>
      </c>
      <c r="DI228" s="29" t="s">
        <v>78</v>
      </c>
      <c r="DJ228" s="26">
        <v>0.99</v>
      </c>
    </row>
    <row r="229" spans="1:114" s="43" customFormat="1">
      <c r="A229" s="34" t="s">
        <v>127</v>
      </c>
      <c r="B229" s="34">
        <v>7500</v>
      </c>
      <c r="C229" s="34">
        <v>2</v>
      </c>
      <c r="D229" s="43">
        <v>1</v>
      </c>
      <c r="E229" s="26" t="s">
        <v>58</v>
      </c>
      <c r="F229" s="26">
        <v>58</v>
      </c>
      <c r="G229" s="48">
        <f t="shared" si="4"/>
        <v>3608</v>
      </c>
      <c r="H229" s="48">
        <f t="shared" si="5"/>
        <v>62.206896551724135</v>
      </c>
      <c r="I229" s="48" t="s">
        <v>58</v>
      </c>
      <c r="J229" s="48" t="s">
        <v>58</v>
      </c>
      <c r="K229" s="26" t="s">
        <v>58</v>
      </c>
      <c r="L229" s="26" t="s">
        <v>139</v>
      </c>
      <c r="M229" s="26" t="s">
        <v>58</v>
      </c>
      <c r="N229" s="26" t="s">
        <v>3523</v>
      </c>
      <c r="O229" s="26" t="s">
        <v>139</v>
      </c>
      <c r="P229" s="26" t="s">
        <v>139</v>
      </c>
      <c r="Q229" s="26" t="s">
        <v>61</v>
      </c>
      <c r="R229" s="26" t="s">
        <v>61</v>
      </c>
      <c r="S229" s="26" t="s">
        <v>60</v>
      </c>
      <c r="T229" s="26" t="s">
        <v>60</v>
      </c>
      <c r="U229" s="26">
        <v>1934</v>
      </c>
      <c r="V229" s="26">
        <v>1674</v>
      </c>
      <c r="W229" s="26" t="s">
        <v>60</v>
      </c>
      <c r="X229" s="26" t="s">
        <v>60</v>
      </c>
      <c r="Y229" s="26">
        <v>7.56</v>
      </c>
      <c r="Z229" s="26" t="s">
        <v>128</v>
      </c>
      <c r="AA229" s="26" t="s">
        <v>61</v>
      </c>
      <c r="AB229" s="26" t="s">
        <v>61</v>
      </c>
      <c r="AC229" s="27" t="s">
        <v>61</v>
      </c>
      <c r="AD229" s="26">
        <v>7.75</v>
      </c>
      <c r="AE229" s="26" t="s">
        <v>128</v>
      </c>
      <c r="AF229" s="26" t="s">
        <v>61</v>
      </c>
      <c r="AG229" s="26" t="s">
        <v>61</v>
      </c>
      <c r="AH229" s="27" t="s">
        <v>61</v>
      </c>
      <c r="AI229" s="26" t="s">
        <v>60</v>
      </c>
      <c r="AJ229" s="26" t="s">
        <v>60</v>
      </c>
      <c r="AK229" s="26" t="s">
        <v>59</v>
      </c>
      <c r="AL229" s="26" t="s">
        <v>59</v>
      </c>
      <c r="AM229" s="26" t="s">
        <v>59</v>
      </c>
      <c r="AN229" s="26" t="s">
        <v>60</v>
      </c>
      <c r="AO229" s="26" t="s">
        <v>60</v>
      </c>
      <c r="AP229" s="26" t="s">
        <v>59</v>
      </c>
      <c r="AQ229" s="26" t="s">
        <v>59</v>
      </c>
      <c r="AR229" s="26" t="s">
        <v>59</v>
      </c>
      <c r="AS229" s="26" t="s">
        <v>61</v>
      </c>
      <c r="AT229" s="26" t="s">
        <v>64</v>
      </c>
      <c r="AU229" s="26" t="s">
        <v>59</v>
      </c>
      <c r="AV229" s="26" t="s">
        <v>59</v>
      </c>
      <c r="AW229" s="26" t="s">
        <v>59</v>
      </c>
      <c r="AX229" s="26" t="s">
        <v>59</v>
      </c>
      <c r="AY229" s="26">
        <v>1934</v>
      </c>
      <c r="AZ229" s="26">
        <v>1674</v>
      </c>
      <c r="BA229" s="26" t="s">
        <v>60</v>
      </c>
      <c r="BB229" s="26" t="s">
        <v>60</v>
      </c>
      <c r="BC229" s="26">
        <v>7.35</v>
      </c>
      <c r="BD229" s="27" t="s">
        <v>61</v>
      </c>
      <c r="BE229" s="26" t="s">
        <v>61</v>
      </c>
      <c r="BF229" s="26">
        <v>9</v>
      </c>
      <c r="BG229" s="48">
        <v>1</v>
      </c>
      <c r="BH229" s="27" t="s">
        <v>61</v>
      </c>
      <c r="BI229" s="27" t="s">
        <v>61</v>
      </c>
      <c r="BJ229" s="26" t="s">
        <v>61</v>
      </c>
      <c r="BK229" s="26" t="s">
        <v>61</v>
      </c>
      <c r="BL229" s="26" t="s">
        <v>61</v>
      </c>
      <c r="BM229" s="26" t="s">
        <v>61</v>
      </c>
      <c r="BN229" s="26" t="s">
        <v>61</v>
      </c>
      <c r="BO229" s="26" t="s">
        <v>61</v>
      </c>
      <c r="BP229" s="26">
        <v>7.32</v>
      </c>
      <c r="BQ229" s="27" t="s">
        <v>61</v>
      </c>
      <c r="BR229" s="26" t="s">
        <v>61</v>
      </c>
      <c r="BS229" s="26">
        <v>9</v>
      </c>
      <c r="BT229" s="26">
        <v>1</v>
      </c>
      <c r="BU229" s="27" t="s">
        <v>61</v>
      </c>
      <c r="BV229" s="27" t="s">
        <v>61</v>
      </c>
      <c r="BW229" s="26" t="s">
        <v>61</v>
      </c>
      <c r="BX229" s="26" t="s">
        <v>61</v>
      </c>
      <c r="BY229" s="27" t="s">
        <v>61</v>
      </c>
      <c r="BZ229" s="26" t="s">
        <v>61</v>
      </c>
      <c r="CA229" s="27" t="s">
        <v>61</v>
      </c>
      <c r="CB229" s="26" t="s">
        <v>61</v>
      </c>
      <c r="CC229" s="26" t="s">
        <v>60</v>
      </c>
      <c r="CD229" s="26" t="s">
        <v>60</v>
      </c>
      <c r="CE229" s="27" t="s">
        <v>59</v>
      </c>
      <c r="CF229" s="27"/>
      <c r="CG229" s="27"/>
      <c r="CH229" s="27" t="s">
        <v>59</v>
      </c>
      <c r="CI229" s="27" t="s">
        <v>59</v>
      </c>
      <c r="CJ229" s="26" t="s">
        <v>59</v>
      </c>
      <c r="CK229" s="27" t="s">
        <v>59</v>
      </c>
      <c r="CL229" s="27" t="s">
        <v>59</v>
      </c>
      <c r="CM229" s="26" t="s">
        <v>59</v>
      </c>
      <c r="CN229" s="26" t="s">
        <v>59</v>
      </c>
      <c r="CO229" s="26" t="s">
        <v>59</v>
      </c>
      <c r="CP229" s="26" t="s">
        <v>60</v>
      </c>
      <c r="CQ229" s="26" t="s">
        <v>60</v>
      </c>
      <c r="CR229" s="27" t="s">
        <v>59</v>
      </c>
      <c r="CS229" s="27"/>
      <c r="CT229" s="27"/>
      <c r="CU229" s="27" t="s">
        <v>59</v>
      </c>
      <c r="CV229" s="27" t="s">
        <v>59</v>
      </c>
      <c r="CW229" s="26" t="s">
        <v>59</v>
      </c>
      <c r="CX229" s="27" t="s">
        <v>59</v>
      </c>
      <c r="CY229" s="27" t="s">
        <v>59</v>
      </c>
      <c r="CZ229" s="27" t="s">
        <v>59</v>
      </c>
      <c r="DA229" s="27" t="s">
        <v>59</v>
      </c>
      <c r="DB229" s="26" t="s">
        <v>59</v>
      </c>
      <c r="DC229" s="26">
        <v>15</v>
      </c>
      <c r="DD229" s="29" t="s">
        <v>109</v>
      </c>
      <c r="DE229" s="29" t="s">
        <v>61</v>
      </c>
      <c r="DF229" s="29" t="s">
        <v>61</v>
      </c>
      <c r="DG229" s="26" t="s">
        <v>129</v>
      </c>
      <c r="DH229" s="30">
        <v>6.9000000000000006E-2</v>
      </c>
      <c r="DI229" s="29" t="s">
        <v>130</v>
      </c>
      <c r="DJ229" s="26" t="s">
        <v>61</v>
      </c>
    </row>
    <row r="230" spans="1:114" s="43" customFormat="1" ht="14">
      <c r="A230" s="49" t="s">
        <v>311</v>
      </c>
      <c r="B230" s="43">
        <v>12334</v>
      </c>
      <c r="C230" s="43">
        <v>4</v>
      </c>
      <c r="D230" s="43">
        <v>1</v>
      </c>
      <c r="E230" s="48" t="s">
        <v>58</v>
      </c>
      <c r="F230" s="48">
        <v>36</v>
      </c>
      <c r="G230" s="48">
        <f t="shared" si="4"/>
        <v>468</v>
      </c>
      <c r="H230" s="48">
        <f t="shared" si="5"/>
        <v>13</v>
      </c>
      <c r="I230" s="26" t="s">
        <v>58</v>
      </c>
      <c r="J230" s="26" t="s">
        <v>58</v>
      </c>
      <c r="K230" s="26" t="s">
        <v>139</v>
      </c>
      <c r="L230" s="26" t="s">
        <v>1379</v>
      </c>
      <c r="M230" s="26" t="s">
        <v>1379</v>
      </c>
      <c r="N230" s="26" t="s">
        <v>1379</v>
      </c>
      <c r="O230" s="26" t="s">
        <v>1379</v>
      </c>
      <c r="P230" s="26" t="s">
        <v>1379</v>
      </c>
      <c r="Q230" s="48" t="s">
        <v>61</v>
      </c>
      <c r="R230" s="48" t="s">
        <v>61</v>
      </c>
      <c r="S230" s="48" t="s">
        <v>59</v>
      </c>
      <c r="T230" s="48" t="s">
        <v>59</v>
      </c>
      <c r="U230" s="48">
        <v>117</v>
      </c>
      <c r="V230" s="48">
        <v>1117</v>
      </c>
      <c r="W230" s="48">
        <v>117</v>
      </c>
      <c r="X230" s="48">
        <v>117</v>
      </c>
      <c r="Y230" s="69">
        <v>7.8</v>
      </c>
      <c r="Z230" s="69">
        <v>1.2</v>
      </c>
      <c r="AA230" s="69" t="s">
        <v>61</v>
      </c>
      <c r="AB230" s="69" t="s">
        <v>61</v>
      </c>
      <c r="AC230" s="69" t="s">
        <v>61</v>
      </c>
      <c r="AD230" s="69">
        <v>7.5</v>
      </c>
      <c r="AE230" s="69">
        <v>1.5</v>
      </c>
      <c r="AF230" s="69" t="s">
        <v>61</v>
      </c>
      <c r="AG230" s="69" t="s">
        <v>61</v>
      </c>
      <c r="AH230" s="69" t="s">
        <v>61</v>
      </c>
      <c r="AI230" s="69">
        <v>7.8</v>
      </c>
      <c r="AJ230" s="69">
        <v>1.4</v>
      </c>
      <c r="AK230" s="69" t="s">
        <v>61</v>
      </c>
      <c r="AL230" s="69" t="s">
        <v>61</v>
      </c>
      <c r="AM230" s="69" t="s">
        <v>61</v>
      </c>
      <c r="AN230" s="69">
        <v>7.7</v>
      </c>
      <c r="AO230" s="69">
        <v>1.3</v>
      </c>
      <c r="AP230" s="69" t="s">
        <v>61</v>
      </c>
      <c r="AQ230" s="69" t="s">
        <v>61</v>
      </c>
      <c r="AR230" s="69" t="s">
        <v>61</v>
      </c>
      <c r="AS230" s="69" t="s">
        <v>61</v>
      </c>
      <c r="AT230" s="69" t="s">
        <v>64</v>
      </c>
      <c r="AU230" s="69" t="s">
        <v>59</v>
      </c>
      <c r="AV230" s="69" t="s">
        <v>59</v>
      </c>
      <c r="AW230" s="69" t="s">
        <v>59</v>
      </c>
      <c r="AX230" s="69" t="s">
        <v>59</v>
      </c>
      <c r="AY230" s="69">
        <v>117</v>
      </c>
      <c r="AZ230" s="69">
        <v>117</v>
      </c>
      <c r="BA230" s="69">
        <v>117</v>
      </c>
      <c r="BB230" s="69">
        <v>117</v>
      </c>
      <c r="BC230" s="69">
        <v>7.42</v>
      </c>
      <c r="BD230" s="69" t="s">
        <v>61</v>
      </c>
      <c r="BE230" s="69">
        <v>0.1</v>
      </c>
      <c r="BF230" s="69">
        <v>1</v>
      </c>
      <c r="BG230" s="48">
        <v>1</v>
      </c>
      <c r="BH230" s="69" t="s">
        <v>61</v>
      </c>
      <c r="BI230" s="69" t="s">
        <v>61</v>
      </c>
      <c r="BJ230" s="69">
        <v>-0.38</v>
      </c>
      <c r="BK230" s="69" t="s">
        <v>61</v>
      </c>
      <c r="BL230" s="69" t="s">
        <v>61</v>
      </c>
      <c r="BM230" s="69" t="s">
        <v>61</v>
      </c>
      <c r="BN230" s="69" t="s">
        <v>61</v>
      </c>
      <c r="BO230" s="69" t="s">
        <v>61</v>
      </c>
      <c r="BP230" s="69">
        <v>6.82</v>
      </c>
      <c r="BQ230" s="69" t="s">
        <v>61</v>
      </c>
      <c r="BR230" s="69">
        <v>0.09</v>
      </c>
      <c r="BS230" s="69">
        <v>1</v>
      </c>
      <c r="BT230" s="26">
        <v>1</v>
      </c>
      <c r="BU230" s="69" t="s">
        <v>61</v>
      </c>
      <c r="BV230" s="69" t="s">
        <v>61</v>
      </c>
      <c r="BW230" s="69">
        <v>-0.68</v>
      </c>
      <c r="BX230" s="69" t="s">
        <v>61</v>
      </c>
      <c r="BY230" s="69" t="s">
        <v>61</v>
      </c>
      <c r="BZ230" s="69" t="s">
        <v>61</v>
      </c>
      <c r="CA230" s="69" t="s">
        <v>61</v>
      </c>
      <c r="CB230" s="69" t="s">
        <v>61</v>
      </c>
      <c r="CC230" s="69">
        <v>7.46</v>
      </c>
      <c r="CD230" s="69" t="s">
        <v>61</v>
      </c>
      <c r="CE230" s="69">
        <v>0.1</v>
      </c>
      <c r="CF230" s="69">
        <v>1</v>
      </c>
      <c r="CG230" s="69">
        <v>1</v>
      </c>
      <c r="CH230" s="69" t="s">
        <v>61</v>
      </c>
      <c r="CI230" s="69" t="s">
        <v>61</v>
      </c>
      <c r="CJ230" s="69">
        <v>-0.34</v>
      </c>
      <c r="CK230" s="69" t="s">
        <v>61</v>
      </c>
      <c r="CL230" s="69" t="s">
        <v>61</v>
      </c>
      <c r="CM230" s="69" t="s">
        <v>61</v>
      </c>
      <c r="CN230" s="69" t="s">
        <v>61</v>
      </c>
      <c r="CO230" s="69" t="s">
        <v>61</v>
      </c>
      <c r="CP230" s="69">
        <v>6.86</v>
      </c>
      <c r="CQ230" s="69" t="s">
        <v>61</v>
      </c>
      <c r="CR230" s="69">
        <v>0.1</v>
      </c>
      <c r="CS230" s="69">
        <v>1</v>
      </c>
      <c r="CT230" s="43">
        <v>1</v>
      </c>
      <c r="CU230" s="69" t="s">
        <v>61</v>
      </c>
      <c r="CV230" s="69" t="s">
        <v>61</v>
      </c>
      <c r="CW230" s="69">
        <v>-0.84</v>
      </c>
      <c r="CX230" s="69" t="s">
        <v>61</v>
      </c>
      <c r="CY230" s="69" t="s">
        <v>61</v>
      </c>
      <c r="CZ230" s="69" t="s">
        <v>61</v>
      </c>
      <c r="DA230" s="69" t="s">
        <v>61</v>
      </c>
      <c r="DB230" s="69" t="s">
        <v>61</v>
      </c>
      <c r="DC230" s="69">
        <v>42</v>
      </c>
      <c r="DD230" s="55"/>
      <c r="DG230" s="43" t="s">
        <v>61</v>
      </c>
      <c r="DH230" s="43" t="s">
        <v>61</v>
      </c>
      <c r="DI230" s="43" t="s">
        <v>61</v>
      </c>
      <c r="DJ230" s="43" t="s">
        <v>61</v>
      </c>
    </row>
    <row r="231" spans="1:114" s="43" customFormat="1">
      <c r="A231" s="34" t="s">
        <v>116</v>
      </c>
      <c r="B231" s="34">
        <v>5941</v>
      </c>
      <c r="C231" s="34">
        <v>2</v>
      </c>
      <c r="D231" s="43">
        <v>1</v>
      </c>
      <c r="E231" s="26" t="s">
        <v>58</v>
      </c>
      <c r="F231" s="26">
        <v>9</v>
      </c>
      <c r="G231" s="48">
        <f t="shared" si="4"/>
        <v>769</v>
      </c>
      <c r="H231" s="48">
        <f t="shared" si="5"/>
        <v>85.444444444444443</v>
      </c>
      <c r="I231" s="26" t="s">
        <v>139</v>
      </c>
      <c r="J231" s="48" t="s">
        <v>58</v>
      </c>
      <c r="K231" s="26" t="s">
        <v>58</v>
      </c>
      <c r="L231" s="26" t="s">
        <v>139</v>
      </c>
      <c r="M231" s="26" t="s">
        <v>139</v>
      </c>
      <c r="N231" s="26" t="s">
        <v>3516</v>
      </c>
      <c r="O231" s="26" t="s">
        <v>139</v>
      </c>
      <c r="P231" s="26" t="s">
        <v>139</v>
      </c>
      <c r="Q231" s="26" t="s">
        <v>61</v>
      </c>
      <c r="R231" s="26" t="s">
        <v>61</v>
      </c>
      <c r="S231" s="26" t="s">
        <v>60</v>
      </c>
      <c r="T231" s="26" t="s">
        <v>60</v>
      </c>
      <c r="U231" s="26">
        <v>418</v>
      </c>
      <c r="V231" s="26">
        <v>351</v>
      </c>
      <c r="W231" s="26" t="s">
        <v>60</v>
      </c>
      <c r="X231" s="26" t="s">
        <v>60</v>
      </c>
      <c r="Y231" s="26">
        <v>8</v>
      </c>
      <c r="Z231" s="26">
        <v>1.2</v>
      </c>
      <c r="AA231" s="26" t="s">
        <v>61</v>
      </c>
      <c r="AB231" s="26" t="s">
        <v>61</v>
      </c>
      <c r="AC231" s="27" t="s">
        <v>61</v>
      </c>
      <c r="AD231" s="26">
        <v>8.1</v>
      </c>
      <c r="AE231" s="26">
        <v>1.3</v>
      </c>
      <c r="AF231" s="26" t="s">
        <v>61</v>
      </c>
      <c r="AG231" s="26" t="s">
        <v>61</v>
      </c>
      <c r="AH231" s="27" t="s">
        <v>61</v>
      </c>
      <c r="AI231" s="26" t="s">
        <v>60</v>
      </c>
      <c r="AJ231" s="26" t="s">
        <v>60</v>
      </c>
      <c r="AK231" s="26" t="s">
        <v>59</v>
      </c>
      <c r="AL231" s="26" t="s">
        <v>59</v>
      </c>
      <c r="AM231" s="26" t="s">
        <v>59</v>
      </c>
      <c r="AN231" s="26" t="s">
        <v>60</v>
      </c>
      <c r="AO231" s="26" t="s">
        <v>60</v>
      </c>
      <c r="AP231" s="26" t="s">
        <v>59</v>
      </c>
      <c r="AQ231" s="26" t="s">
        <v>59</v>
      </c>
      <c r="AR231" s="26" t="s">
        <v>59</v>
      </c>
      <c r="AS231" s="26" t="s">
        <v>61</v>
      </c>
      <c r="AT231" s="26" t="s">
        <v>64</v>
      </c>
      <c r="AU231" s="26" t="s">
        <v>59</v>
      </c>
      <c r="AV231" s="26" t="s">
        <v>59</v>
      </c>
      <c r="AW231" s="26" t="s">
        <v>59</v>
      </c>
      <c r="AX231" s="26" t="s">
        <v>59</v>
      </c>
      <c r="AY231" s="26">
        <v>418</v>
      </c>
      <c r="AZ231" s="26">
        <v>351</v>
      </c>
      <c r="BA231" s="26" t="s">
        <v>59</v>
      </c>
      <c r="BB231" s="26" t="s">
        <v>60</v>
      </c>
      <c r="BC231" s="26">
        <v>8.1999999999999993</v>
      </c>
      <c r="BD231" s="26" t="s">
        <v>61</v>
      </c>
      <c r="BE231" s="26" t="s">
        <v>61</v>
      </c>
      <c r="BF231" s="26">
        <v>9</v>
      </c>
      <c r="BG231" s="48">
        <v>1</v>
      </c>
      <c r="BH231" s="27" t="s">
        <v>61</v>
      </c>
      <c r="BI231" s="27" t="s">
        <v>61</v>
      </c>
      <c r="BJ231" s="26">
        <v>0.2</v>
      </c>
      <c r="BK231" s="26">
        <v>0.05</v>
      </c>
      <c r="BL231" s="26" t="s">
        <v>61</v>
      </c>
      <c r="BM231" s="26" t="s">
        <v>61</v>
      </c>
      <c r="BN231" s="26" t="s">
        <v>61</v>
      </c>
      <c r="BO231" s="26" t="s">
        <v>61</v>
      </c>
      <c r="BP231" s="26">
        <v>7.8</v>
      </c>
      <c r="BQ231" s="26" t="s">
        <v>61</v>
      </c>
      <c r="BR231" s="26" t="s">
        <v>61</v>
      </c>
      <c r="BS231" s="26">
        <v>9</v>
      </c>
      <c r="BT231" s="26">
        <v>1</v>
      </c>
      <c r="BU231" s="27" t="s">
        <v>61</v>
      </c>
      <c r="BV231" s="27" t="s">
        <v>61</v>
      </c>
      <c r="BW231" s="26">
        <v>-0.3</v>
      </c>
      <c r="BX231" s="26">
        <v>7.0000000000000007E-2</v>
      </c>
      <c r="BY231" s="27" t="s">
        <v>61</v>
      </c>
      <c r="BZ231" s="26" t="s">
        <v>61</v>
      </c>
      <c r="CA231" s="27" t="s">
        <v>61</v>
      </c>
      <c r="CB231" s="26" t="s">
        <v>61</v>
      </c>
      <c r="CC231" s="26" t="s">
        <v>60</v>
      </c>
      <c r="CD231" s="26" t="s">
        <v>60</v>
      </c>
      <c r="CE231" s="26" t="s">
        <v>59</v>
      </c>
      <c r="CF231" s="26"/>
      <c r="CG231" s="26"/>
      <c r="CH231" s="26" t="s">
        <v>59</v>
      </c>
      <c r="CI231" s="26" t="s">
        <v>59</v>
      </c>
      <c r="CJ231" s="26" t="s">
        <v>59</v>
      </c>
      <c r="CK231" s="26" t="s">
        <v>59</v>
      </c>
      <c r="CL231" s="26" t="s">
        <v>59</v>
      </c>
      <c r="CM231" s="26" t="s">
        <v>59</v>
      </c>
      <c r="CN231" s="26" t="s">
        <v>59</v>
      </c>
      <c r="CO231" s="26" t="s">
        <v>59</v>
      </c>
      <c r="CP231" s="26" t="s">
        <v>60</v>
      </c>
      <c r="CQ231" s="26" t="s">
        <v>60</v>
      </c>
      <c r="CR231" s="26" t="s">
        <v>59</v>
      </c>
      <c r="CS231" s="26"/>
      <c r="CT231" s="26"/>
      <c r="CU231" s="26" t="s">
        <v>59</v>
      </c>
      <c r="CV231" s="26" t="s">
        <v>59</v>
      </c>
      <c r="CW231" s="26" t="s">
        <v>59</v>
      </c>
      <c r="CX231" s="26" t="s">
        <v>59</v>
      </c>
      <c r="CY231" s="26" t="s">
        <v>59</v>
      </c>
      <c r="CZ231" s="26" t="s">
        <v>59</v>
      </c>
      <c r="DA231" s="26" t="s">
        <v>59</v>
      </c>
      <c r="DB231" s="26" t="s">
        <v>59</v>
      </c>
      <c r="DC231" s="26">
        <v>12</v>
      </c>
      <c r="DD231" s="29"/>
      <c r="DE231" s="29" t="s">
        <v>61</v>
      </c>
      <c r="DF231" s="29" t="s">
        <v>61</v>
      </c>
      <c r="DG231" s="26" t="s">
        <v>117</v>
      </c>
      <c r="DH231" s="30">
        <v>9.2499999999999999E-2</v>
      </c>
      <c r="DI231" s="29" t="s">
        <v>118</v>
      </c>
      <c r="DJ231" s="26" t="s">
        <v>119</v>
      </c>
    </row>
    <row r="232" spans="1:114" s="43" customFormat="1">
      <c r="A232" s="34" t="s">
        <v>113</v>
      </c>
      <c r="B232" s="34">
        <v>5899</v>
      </c>
      <c r="C232" s="34">
        <v>2</v>
      </c>
      <c r="D232" s="43">
        <v>1</v>
      </c>
      <c r="E232" s="26" t="s">
        <v>58</v>
      </c>
      <c r="F232" s="26">
        <v>12</v>
      </c>
      <c r="G232" s="48">
        <f t="shared" si="4"/>
        <v>754</v>
      </c>
      <c r="H232" s="48">
        <f t="shared" si="5"/>
        <v>62.833333333333336</v>
      </c>
      <c r="I232" s="26" t="s">
        <v>139</v>
      </c>
      <c r="J232" s="48" t="s">
        <v>58</v>
      </c>
      <c r="K232" s="26" t="s">
        <v>58</v>
      </c>
      <c r="L232" s="26" t="s">
        <v>139</v>
      </c>
      <c r="M232" s="26" t="s">
        <v>58</v>
      </c>
      <c r="N232" s="26" t="s">
        <v>3516</v>
      </c>
      <c r="O232" s="26" t="s">
        <v>139</v>
      </c>
      <c r="P232" s="26" t="s">
        <v>58</v>
      </c>
      <c r="Q232" s="26">
        <v>2.7E-2</v>
      </c>
      <c r="R232" s="26">
        <v>2.7E-2</v>
      </c>
      <c r="S232" s="26" t="s">
        <v>60</v>
      </c>
      <c r="T232" s="26" t="s">
        <v>60</v>
      </c>
      <c r="U232" s="26">
        <v>326</v>
      </c>
      <c r="V232" s="26">
        <v>428</v>
      </c>
      <c r="W232" s="26" t="s">
        <v>60</v>
      </c>
      <c r="X232" s="26" t="s">
        <v>60</v>
      </c>
      <c r="Y232" s="26">
        <v>8</v>
      </c>
      <c r="Z232" s="26" t="s">
        <v>61</v>
      </c>
      <c r="AA232" s="26" t="s">
        <v>61</v>
      </c>
      <c r="AB232" s="26" t="s">
        <v>61</v>
      </c>
      <c r="AC232" s="27" t="s">
        <v>61</v>
      </c>
      <c r="AD232" s="26">
        <v>8.1</v>
      </c>
      <c r="AE232" s="26" t="s">
        <v>61</v>
      </c>
      <c r="AF232" s="26" t="s">
        <v>61</v>
      </c>
      <c r="AG232" s="26" t="s">
        <v>61</v>
      </c>
      <c r="AH232" s="27" t="s">
        <v>61</v>
      </c>
      <c r="AI232" s="26" t="s">
        <v>60</v>
      </c>
      <c r="AJ232" s="26" t="s">
        <v>60</v>
      </c>
      <c r="AK232" s="26" t="s">
        <v>59</v>
      </c>
      <c r="AL232" s="26" t="s">
        <v>59</v>
      </c>
      <c r="AM232" s="26" t="s">
        <v>59</v>
      </c>
      <c r="AN232" s="26" t="s">
        <v>60</v>
      </c>
      <c r="AO232" s="26" t="s">
        <v>60</v>
      </c>
      <c r="AP232" s="26" t="s">
        <v>59</v>
      </c>
      <c r="AQ232" s="26" t="s">
        <v>59</v>
      </c>
      <c r="AR232" s="26" t="s">
        <v>59</v>
      </c>
      <c r="AS232" s="26" t="s">
        <v>61</v>
      </c>
      <c r="AT232" s="26" t="s">
        <v>64</v>
      </c>
      <c r="AU232" s="26" t="s">
        <v>59</v>
      </c>
      <c r="AV232" s="26" t="s">
        <v>59</v>
      </c>
      <c r="AW232" s="26" t="s">
        <v>59</v>
      </c>
      <c r="AX232" s="26" t="s">
        <v>59</v>
      </c>
      <c r="AY232" s="26">
        <v>326</v>
      </c>
      <c r="AZ232" s="26">
        <v>428</v>
      </c>
      <c r="BA232" s="26" t="s">
        <v>60</v>
      </c>
      <c r="BB232" s="26" t="s">
        <v>60</v>
      </c>
      <c r="BC232" s="26">
        <v>7.8</v>
      </c>
      <c r="BD232" s="27" t="s">
        <v>61</v>
      </c>
      <c r="BE232" s="26" t="s">
        <v>61</v>
      </c>
      <c r="BF232" s="26">
        <v>9</v>
      </c>
      <c r="BG232" s="48">
        <v>1</v>
      </c>
      <c r="BH232" s="27" t="s">
        <v>61</v>
      </c>
      <c r="BI232" s="27" t="s">
        <v>61</v>
      </c>
      <c r="BJ232" s="26" t="s">
        <v>61</v>
      </c>
      <c r="BK232" s="26" t="s">
        <v>61</v>
      </c>
      <c r="BL232" s="26" t="s">
        <v>61</v>
      </c>
      <c r="BM232" s="26" t="s">
        <v>61</v>
      </c>
      <c r="BN232" s="26" t="s">
        <v>61</v>
      </c>
      <c r="BO232" s="26" t="s">
        <v>61</v>
      </c>
      <c r="BP232" s="26">
        <v>8</v>
      </c>
      <c r="BQ232" s="27" t="s">
        <v>61</v>
      </c>
      <c r="BR232" s="26" t="s">
        <v>61</v>
      </c>
      <c r="BS232" s="26">
        <v>9</v>
      </c>
      <c r="BT232" s="26">
        <v>1</v>
      </c>
      <c r="BU232" s="27" t="s">
        <v>61</v>
      </c>
      <c r="BV232" s="27" t="s">
        <v>61</v>
      </c>
      <c r="BW232" s="26" t="s">
        <v>61</v>
      </c>
      <c r="BX232" s="26" t="s">
        <v>61</v>
      </c>
      <c r="BY232" s="27" t="s">
        <v>61</v>
      </c>
      <c r="BZ232" s="26" t="s">
        <v>61</v>
      </c>
      <c r="CA232" s="27" t="s">
        <v>61</v>
      </c>
      <c r="CB232" s="26" t="s">
        <v>61</v>
      </c>
      <c r="CC232" s="26" t="s">
        <v>60</v>
      </c>
      <c r="CD232" s="26" t="s">
        <v>60</v>
      </c>
      <c r="CE232" s="26" t="s">
        <v>59</v>
      </c>
      <c r="CF232" s="26"/>
      <c r="CG232" s="26"/>
      <c r="CH232" s="26" t="s">
        <v>59</v>
      </c>
      <c r="CI232" s="26" t="s">
        <v>59</v>
      </c>
      <c r="CJ232" s="26" t="s">
        <v>59</v>
      </c>
      <c r="CK232" s="26" t="s">
        <v>59</v>
      </c>
      <c r="CL232" s="26" t="s">
        <v>59</v>
      </c>
      <c r="CM232" s="26" t="s">
        <v>59</v>
      </c>
      <c r="CN232" s="26" t="s">
        <v>59</v>
      </c>
      <c r="CO232" s="26" t="s">
        <v>59</v>
      </c>
      <c r="CP232" s="26" t="s">
        <v>60</v>
      </c>
      <c r="CQ232" s="26" t="s">
        <v>60</v>
      </c>
      <c r="CR232" s="26" t="s">
        <v>59</v>
      </c>
      <c r="CS232" s="26"/>
      <c r="CT232" s="26"/>
      <c r="CU232" s="26" t="s">
        <v>59</v>
      </c>
      <c r="CV232" s="26" t="s">
        <v>59</v>
      </c>
      <c r="CW232" s="26" t="s">
        <v>59</v>
      </c>
      <c r="CX232" s="26" t="s">
        <v>59</v>
      </c>
      <c r="CY232" s="26" t="s">
        <v>59</v>
      </c>
      <c r="CZ232" s="26" t="s">
        <v>59</v>
      </c>
      <c r="DA232" s="26" t="s">
        <v>59</v>
      </c>
      <c r="DB232" s="26" t="s">
        <v>59</v>
      </c>
      <c r="DC232" s="26">
        <v>30</v>
      </c>
      <c r="DD232" s="29"/>
      <c r="DE232" s="29" t="s">
        <v>61</v>
      </c>
      <c r="DF232" s="29" t="s">
        <v>61</v>
      </c>
      <c r="DG232" s="26" t="s">
        <v>114</v>
      </c>
      <c r="DH232" s="30">
        <v>0.15759999999999999</v>
      </c>
      <c r="DI232" s="29" t="s">
        <v>115</v>
      </c>
      <c r="DJ232" s="26">
        <v>0.54</v>
      </c>
    </row>
    <row r="233" spans="1:114" s="43" customFormat="1">
      <c r="A233" s="34" t="s">
        <v>103</v>
      </c>
      <c r="B233" s="209">
        <v>5870</v>
      </c>
      <c r="C233" s="43">
        <v>4</v>
      </c>
      <c r="D233" s="43">
        <v>1</v>
      </c>
      <c r="E233" s="26" t="s">
        <v>58</v>
      </c>
      <c r="F233" s="26">
        <v>345</v>
      </c>
      <c r="G233" s="48">
        <f t="shared" si="4"/>
        <v>4138</v>
      </c>
      <c r="H233" s="48">
        <f t="shared" si="5"/>
        <v>11.994202898550725</v>
      </c>
      <c r="I233" s="48" t="s">
        <v>58</v>
      </c>
      <c r="J233" s="48" t="s">
        <v>58</v>
      </c>
      <c r="K233" s="26" t="s">
        <v>58</v>
      </c>
      <c r="L233" s="26" t="s">
        <v>139</v>
      </c>
      <c r="M233" s="26" t="s">
        <v>58</v>
      </c>
      <c r="N233" s="26" t="s">
        <v>3521</v>
      </c>
      <c r="O233" s="26" t="s">
        <v>139</v>
      </c>
      <c r="P233" s="26" t="s">
        <v>139</v>
      </c>
      <c r="Q233" s="26" t="s">
        <v>61</v>
      </c>
      <c r="R233" s="26" t="s">
        <v>61</v>
      </c>
      <c r="S233" s="26" t="s">
        <v>60</v>
      </c>
      <c r="T233" s="26" t="s">
        <v>60</v>
      </c>
      <c r="U233" s="26">
        <v>983</v>
      </c>
      <c r="V233" s="26">
        <v>1043</v>
      </c>
      <c r="W233" s="26">
        <v>1049</v>
      </c>
      <c r="X233" s="26">
        <v>1063</v>
      </c>
      <c r="Y233" s="26">
        <v>8</v>
      </c>
      <c r="Z233" s="26" t="s">
        <v>61</v>
      </c>
      <c r="AA233" s="26" t="s">
        <v>61</v>
      </c>
      <c r="AB233" s="26" t="s">
        <v>61</v>
      </c>
      <c r="AC233" s="27" t="s">
        <v>61</v>
      </c>
      <c r="AD233" s="26">
        <v>7.99</v>
      </c>
      <c r="AE233" s="26" t="s">
        <v>61</v>
      </c>
      <c r="AF233" s="26" t="s">
        <v>61</v>
      </c>
      <c r="AG233" s="26" t="s">
        <v>61</v>
      </c>
      <c r="AH233" s="27" t="s">
        <v>61</v>
      </c>
      <c r="AI233" s="26">
        <v>7.98</v>
      </c>
      <c r="AJ233" s="26" t="s">
        <v>61</v>
      </c>
      <c r="AK233" s="27" t="s">
        <v>61</v>
      </c>
      <c r="AL233" s="26" t="s">
        <v>61</v>
      </c>
      <c r="AM233" s="27" t="s">
        <v>61</v>
      </c>
      <c r="AN233" s="26">
        <v>8.02</v>
      </c>
      <c r="AO233" s="27" t="s">
        <v>61</v>
      </c>
      <c r="AP233" s="27" t="s">
        <v>61</v>
      </c>
      <c r="AQ233" s="27" t="s">
        <v>61</v>
      </c>
      <c r="AR233" s="27" t="s">
        <v>61</v>
      </c>
      <c r="AS233" s="26">
        <v>0.83299999999999996</v>
      </c>
      <c r="AT233" s="40" t="s">
        <v>104</v>
      </c>
      <c r="AU233" s="27" t="s">
        <v>59</v>
      </c>
      <c r="AV233" s="27" t="s">
        <v>59</v>
      </c>
      <c r="AW233" s="27" t="s">
        <v>59</v>
      </c>
      <c r="AX233" s="27" t="s">
        <v>59</v>
      </c>
      <c r="AY233" s="26">
        <v>983</v>
      </c>
      <c r="AZ233" s="26">
        <v>1043</v>
      </c>
      <c r="BA233" s="26">
        <v>1049</v>
      </c>
      <c r="BB233" s="26">
        <v>1063</v>
      </c>
      <c r="BC233" s="26">
        <v>7.84</v>
      </c>
      <c r="BD233" s="27" t="s">
        <v>61</v>
      </c>
      <c r="BE233" s="26" t="s">
        <v>61</v>
      </c>
      <c r="BF233" s="26">
        <v>9</v>
      </c>
      <c r="BG233" s="48">
        <v>1</v>
      </c>
      <c r="BH233" s="27" t="s">
        <v>61</v>
      </c>
      <c r="BI233" s="27" t="s">
        <v>61</v>
      </c>
      <c r="BJ233" s="26">
        <v>-0.2</v>
      </c>
      <c r="BK233" s="26" t="s">
        <v>61</v>
      </c>
      <c r="BL233" s="26" t="s">
        <v>61</v>
      </c>
      <c r="BM233" s="26" t="s">
        <v>61</v>
      </c>
      <c r="BN233" s="26" t="s">
        <v>61</v>
      </c>
      <c r="BO233" s="26" t="s">
        <v>61</v>
      </c>
      <c r="BP233" s="26">
        <v>7.69</v>
      </c>
      <c r="BQ233" s="26" t="s">
        <v>61</v>
      </c>
      <c r="BR233" s="26" t="s">
        <v>61</v>
      </c>
      <c r="BS233" s="26">
        <v>9</v>
      </c>
      <c r="BT233" s="26">
        <v>1</v>
      </c>
      <c r="BU233" s="27" t="s">
        <v>61</v>
      </c>
      <c r="BV233" s="27" t="s">
        <v>61</v>
      </c>
      <c r="BW233" s="26">
        <v>-0.3</v>
      </c>
      <c r="BX233" s="26" t="s">
        <v>61</v>
      </c>
      <c r="BY233" s="27" t="s">
        <v>61</v>
      </c>
      <c r="BZ233" s="26" t="s">
        <v>61</v>
      </c>
      <c r="CA233" s="27" t="s">
        <v>61</v>
      </c>
      <c r="CB233" s="26" t="s">
        <v>61</v>
      </c>
      <c r="CC233" s="26">
        <v>7.58</v>
      </c>
      <c r="CD233" s="26" t="s">
        <v>61</v>
      </c>
      <c r="CE233" s="27" t="s">
        <v>61</v>
      </c>
      <c r="CF233" s="69">
        <v>9</v>
      </c>
      <c r="CG233" s="69">
        <v>1</v>
      </c>
      <c r="CH233" s="27" t="s">
        <v>61</v>
      </c>
      <c r="CI233" s="27" t="s">
        <v>61</v>
      </c>
      <c r="CJ233" s="26">
        <v>-0.4</v>
      </c>
      <c r="CK233" s="27" t="s">
        <v>61</v>
      </c>
      <c r="CL233" s="27" t="s">
        <v>61</v>
      </c>
      <c r="CM233" s="26" t="s">
        <v>61</v>
      </c>
      <c r="CN233" s="26" t="s">
        <v>61</v>
      </c>
      <c r="CO233" s="26" t="s">
        <v>61</v>
      </c>
      <c r="CP233" s="26">
        <v>7.46</v>
      </c>
      <c r="CQ233" s="26" t="s">
        <v>61</v>
      </c>
      <c r="CR233" s="27" t="s">
        <v>61</v>
      </c>
      <c r="CS233" s="69">
        <v>9</v>
      </c>
      <c r="CT233" s="43">
        <v>1</v>
      </c>
      <c r="CU233" s="27" t="s">
        <v>61</v>
      </c>
      <c r="CV233" s="27" t="s">
        <v>61</v>
      </c>
      <c r="CW233" s="26">
        <v>-0.6</v>
      </c>
      <c r="CX233" s="27" t="s">
        <v>61</v>
      </c>
      <c r="CY233" s="27" t="s">
        <v>61</v>
      </c>
      <c r="CZ233" s="27" t="s">
        <v>61</v>
      </c>
      <c r="DA233" s="27" t="s">
        <v>61</v>
      </c>
      <c r="DB233" s="26" t="s">
        <v>61</v>
      </c>
      <c r="DC233" s="26">
        <v>36</v>
      </c>
      <c r="DD233" s="29"/>
      <c r="DE233" s="29" t="s">
        <v>61</v>
      </c>
      <c r="DF233" s="29" t="s">
        <v>61</v>
      </c>
      <c r="DG233" s="26" t="s">
        <v>105</v>
      </c>
      <c r="DH233" s="27" t="s">
        <v>106</v>
      </c>
      <c r="DI233" s="29" t="s">
        <v>107</v>
      </c>
      <c r="DJ233" s="26" t="s">
        <v>108</v>
      </c>
    </row>
    <row r="234" spans="1:114" s="43" customFormat="1">
      <c r="A234" s="34" t="s">
        <v>125</v>
      </c>
      <c r="B234" s="34">
        <v>6534</v>
      </c>
      <c r="C234" s="34">
        <v>2</v>
      </c>
      <c r="D234" s="43">
        <v>1</v>
      </c>
      <c r="E234" s="26" t="s">
        <v>58</v>
      </c>
      <c r="F234" s="26">
        <v>6</v>
      </c>
      <c r="G234" s="48">
        <f t="shared" si="4"/>
        <v>325</v>
      </c>
      <c r="H234" s="48">
        <f t="shared" si="5"/>
        <v>54.166666666666664</v>
      </c>
      <c r="I234" s="48" t="s">
        <v>58</v>
      </c>
      <c r="J234" s="48" t="s">
        <v>58</v>
      </c>
      <c r="K234" s="26" t="s">
        <v>139</v>
      </c>
      <c r="L234" s="26" t="s">
        <v>1379</v>
      </c>
      <c r="M234" s="26" t="s">
        <v>1379</v>
      </c>
      <c r="N234" s="26" t="s">
        <v>1379</v>
      </c>
      <c r="O234" s="26" t="s">
        <v>1379</v>
      </c>
      <c r="P234" s="26" t="s">
        <v>1379</v>
      </c>
      <c r="Q234" s="19" t="s">
        <v>61</v>
      </c>
      <c r="R234" s="19" t="s">
        <v>61</v>
      </c>
      <c r="S234" s="26" t="s">
        <v>60</v>
      </c>
      <c r="T234" s="26" t="s">
        <v>60</v>
      </c>
      <c r="U234" s="26">
        <v>181</v>
      </c>
      <c r="V234" s="26">
        <v>180</v>
      </c>
      <c r="W234" s="26" t="s">
        <v>60</v>
      </c>
      <c r="X234" s="26" t="s">
        <v>60</v>
      </c>
      <c r="Y234" s="26">
        <v>8.1</v>
      </c>
      <c r="Z234" s="26">
        <v>2.1</v>
      </c>
      <c r="AA234" s="26" t="s">
        <v>61</v>
      </c>
      <c r="AB234" s="26" t="s">
        <v>61</v>
      </c>
      <c r="AC234" s="27" t="s">
        <v>61</v>
      </c>
      <c r="AD234" s="26">
        <v>7.8</v>
      </c>
      <c r="AE234" s="26">
        <v>1.9</v>
      </c>
      <c r="AF234" s="26" t="s">
        <v>61</v>
      </c>
      <c r="AG234" s="26" t="s">
        <v>61</v>
      </c>
      <c r="AH234" s="27" t="s">
        <v>61</v>
      </c>
      <c r="AI234" s="26" t="s">
        <v>59</v>
      </c>
      <c r="AJ234" s="26" t="s">
        <v>59</v>
      </c>
      <c r="AK234" s="26" t="s">
        <v>59</v>
      </c>
      <c r="AL234" s="26" t="s">
        <v>59</v>
      </c>
      <c r="AM234" s="26" t="s">
        <v>59</v>
      </c>
      <c r="AN234" s="26" t="s">
        <v>60</v>
      </c>
      <c r="AO234" s="26" t="s">
        <v>60</v>
      </c>
      <c r="AP234" s="26" t="s">
        <v>59</v>
      </c>
      <c r="AQ234" s="26" t="s">
        <v>59</v>
      </c>
      <c r="AR234" s="26" t="s">
        <v>59</v>
      </c>
      <c r="AS234" s="26" t="s">
        <v>61</v>
      </c>
      <c r="AT234" s="26" t="s">
        <v>64</v>
      </c>
      <c r="AU234" s="26" t="s">
        <v>59</v>
      </c>
      <c r="AV234" s="26" t="s">
        <v>59</v>
      </c>
      <c r="AW234" s="26" t="s">
        <v>59</v>
      </c>
      <c r="AX234" s="26" t="s">
        <v>59</v>
      </c>
      <c r="AY234" s="26">
        <v>160</v>
      </c>
      <c r="AZ234" s="26">
        <v>165</v>
      </c>
      <c r="BA234" s="26" t="s">
        <v>60</v>
      </c>
      <c r="BB234" s="26" t="s">
        <v>60</v>
      </c>
      <c r="BC234" s="26">
        <v>7.9</v>
      </c>
      <c r="BD234" s="26" t="s">
        <v>61</v>
      </c>
      <c r="BE234" s="26" t="s">
        <v>61</v>
      </c>
      <c r="BF234" s="26">
        <v>9</v>
      </c>
      <c r="BG234" s="48">
        <v>1</v>
      </c>
      <c r="BH234" s="27" t="s">
        <v>61</v>
      </c>
      <c r="BI234" s="27" t="s">
        <v>61</v>
      </c>
      <c r="BJ234" s="26">
        <v>-0.2</v>
      </c>
      <c r="BK234" s="26">
        <v>1.54</v>
      </c>
      <c r="BL234" s="26" t="s">
        <v>61</v>
      </c>
      <c r="BM234" s="26" t="s">
        <v>61</v>
      </c>
      <c r="BN234" s="26" t="s">
        <v>61</v>
      </c>
      <c r="BO234" s="26" t="s">
        <v>61</v>
      </c>
      <c r="BP234" s="26">
        <v>7.57</v>
      </c>
      <c r="BQ234" s="26" t="s">
        <v>61</v>
      </c>
      <c r="BR234" s="26" t="s">
        <v>61</v>
      </c>
      <c r="BS234" s="26">
        <v>9</v>
      </c>
      <c r="BT234" s="26">
        <v>1</v>
      </c>
      <c r="BU234" s="27" t="s">
        <v>61</v>
      </c>
      <c r="BV234" s="27" t="s">
        <v>61</v>
      </c>
      <c r="BW234" s="26">
        <v>-0.23</v>
      </c>
      <c r="BX234" s="26">
        <v>1.42</v>
      </c>
      <c r="BY234" s="27" t="s">
        <v>61</v>
      </c>
      <c r="BZ234" s="26" t="s">
        <v>61</v>
      </c>
      <c r="CA234" s="27" t="s">
        <v>61</v>
      </c>
      <c r="CB234" s="26" t="s">
        <v>61</v>
      </c>
      <c r="CC234" s="26" t="s">
        <v>60</v>
      </c>
      <c r="CD234" s="26" t="s">
        <v>60</v>
      </c>
      <c r="CE234" s="26" t="s">
        <v>59</v>
      </c>
      <c r="CF234" s="26"/>
      <c r="CG234" s="26"/>
      <c r="CH234" s="26" t="s">
        <v>59</v>
      </c>
      <c r="CI234" s="26" t="s">
        <v>59</v>
      </c>
      <c r="CJ234" s="26" t="s">
        <v>59</v>
      </c>
      <c r="CK234" s="26" t="s">
        <v>59</v>
      </c>
      <c r="CL234" s="26" t="s">
        <v>59</v>
      </c>
      <c r="CM234" s="26" t="s">
        <v>59</v>
      </c>
      <c r="CN234" s="26" t="s">
        <v>59</v>
      </c>
      <c r="CO234" s="26" t="s">
        <v>59</v>
      </c>
      <c r="CP234" s="26" t="s">
        <v>60</v>
      </c>
      <c r="CQ234" s="26" t="s">
        <v>60</v>
      </c>
      <c r="CR234" s="26" t="s">
        <v>59</v>
      </c>
      <c r="CS234" s="26"/>
      <c r="CT234" s="26"/>
      <c r="CU234" s="26" t="s">
        <v>59</v>
      </c>
      <c r="CV234" s="26" t="s">
        <v>59</v>
      </c>
      <c r="CW234" s="26" t="s">
        <v>59</v>
      </c>
      <c r="CX234" s="26" t="s">
        <v>59</v>
      </c>
      <c r="CY234" s="26" t="s">
        <v>59</v>
      </c>
      <c r="CZ234" s="26" t="s">
        <v>59</v>
      </c>
      <c r="DA234" s="26" t="s">
        <v>59</v>
      </c>
      <c r="DB234" s="26" t="s">
        <v>59</v>
      </c>
      <c r="DC234" s="26">
        <v>12</v>
      </c>
      <c r="DD234" s="29" t="s">
        <v>126</v>
      </c>
      <c r="DE234" s="29" t="s">
        <v>61</v>
      </c>
      <c r="DF234" s="29" t="s">
        <v>61</v>
      </c>
      <c r="DG234" s="26" t="s">
        <v>61</v>
      </c>
      <c r="DH234" s="27" t="s">
        <v>61</v>
      </c>
      <c r="DI234" s="29" t="s">
        <v>61</v>
      </c>
      <c r="DJ234" s="26" t="s">
        <v>61</v>
      </c>
    </row>
    <row r="235" spans="1:114" s="43" customFormat="1">
      <c r="A235" s="34" t="s">
        <v>74</v>
      </c>
      <c r="B235" s="34">
        <v>2317</v>
      </c>
      <c r="C235" s="34">
        <v>2</v>
      </c>
      <c r="D235" s="43">
        <v>1</v>
      </c>
      <c r="E235" s="26" t="s">
        <v>58</v>
      </c>
      <c r="F235" s="26">
        <v>66</v>
      </c>
      <c r="G235" s="48">
        <f t="shared" si="4"/>
        <v>598</v>
      </c>
      <c r="H235" s="48">
        <f t="shared" si="5"/>
        <v>9.0606060606060606</v>
      </c>
      <c r="I235" s="26" t="s">
        <v>139</v>
      </c>
      <c r="J235" s="48" t="s">
        <v>58</v>
      </c>
      <c r="K235" s="26" t="s">
        <v>58</v>
      </c>
      <c r="L235" s="26" t="s">
        <v>139</v>
      </c>
      <c r="M235" s="26" t="s">
        <v>139</v>
      </c>
      <c r="N235" s="26" t="s">
        <v>3516</v>
      </c>
      <c r="O235" s="26" t="s">
        <v>139</v>
      </c>
      <c r="P235" s="26" t="s">
        <v>139</v>
      </c>
      <c r="Q235" s="19" t="s">
        <v>61</v>
      </c>
      <c r="R235" s="19" t="s">
        <v>61</v>
      </c>
      <c r="S235" s="26" t="s">
        <v>60</v>
      </c>
      <c r="T235" s="26" t="s">
        <v>60</v>
      </c>
      <c r="U235" s="26">
        <v>291</v>
      </c>
      <c r="V235" s="26">
        <v>307</v>
      </c>
      <c r="W235" s="26" t="s">
        <v>60</v>
      </c>
      <c r="X235" s="26" t="s">
        <v>60</v>
      </c>
      <c r="Y235" s="26">
        <v>8.1</v>
      </c>
      <c r="Z235" s="27" t="s">
        <v>61</v>
      </c>
      <c r="AA235" s="27">
        <v>0.1</v>
      </c>
      <c r="AB235" s="27" t="s">
        <v>61</v>
      </c>
      <c r="AC235" s="27" t="s">
        <v>61</v>
      </c>
      <c r="AD235" s="26">
        <v>8.4</v>
      </c>
      <c r="AE235" s="27" t="s">
        <v>61</v>
      </c>
      <c r="AF235" s="26">
        <v>0.1</v>
      </c>
      <c r="AG235" s="27" t="s">
        <v>61</v>
      </c>
      <c r="AH235" s="27" t="s">
        <v>61</v>
      </c>
      <c r="AI235" s="26" t="s">
        <v>60</v>
      </c>
      <c r="AJ235" s="26" t="s">
        <v>60</v>
      </c>
      <c r="AK235" s="26" t="s">
        <v>59</v>
      </c>
      <c r="AL235" s="26" t="s">
        <v>59</v>
      </c>
      <c r="AM235" s="26" t="s">
        <v>59</v>
      </c>
      <c r="AN235" s="26" t="s">
        <v>60</v>
      </c>
      <c r="AO235" s="26" t="s">
        <v>60</v>
      </c>
      <c r="AP235" s="26" t="s">
        <v>59</v>
      </c>
      <c r="AQ235" s="26" t="s">
        <v>59</v>
      </c>
      <c r="AR235" s="26" t="s">
        <v>59</v>
      </c>
      <c r="AS235" s="26" t="s">
        <v>61</v>
      </c>
      <c r="AT235" s="26" t="s">
        <v>64</v>
      </c>
      <c r="AU235" s="26" t="s">
        <v>61</v>
      </c>
      <c r="AV235" s="26" t="s">
        <v>61</v>
      </c>
      <c r="AW235" s="26" t="s">
        <v>61</v>
      </c>
      <c r="AX235" s="26" t="s">
        <v>61</v>
      </c>
      <c r="AY235" s="26">
        <v>291</v>
      </c>
      <c r="AZ235" s="26">
        <v>307</v>
      </c>
      <c r="BA235" s="26" t="s">
        <v>60</v>
      </c>
      <c r="BB235" s="26" t="s">
        <v>60</v>
      </c>
      <c r="BC235" s="27">
        <v>8.24</v>
      </c>
      <c r="BD235" s="27" t="s">
        <v>61</v>
      </c>
      <c r="BE235" s="27" t="s">
        <v>61</v>
      </c>
      <c r="BF235" s="26">
        <v>9</v>
      </c>
      <c r="BG235" s="48">
        <v>1</v>
      </c>
      <c r="BH235" s="26" t="s">
        <v>61</v>
      </c>
      <c r="BI235" s="27" t="s">
        <v>61</v>
      </c>
      <c r="BJ235" s="27">
        <v>0.14000000000000001</v>
      </c>
      <c r="BK235" s="27" t="s">
        <v>61</v>
      </c>
      <c r="BL235" s="27" t="s">
        <v>61</v>
      </c>
      <c r="BM235" s="27" t="s">
        <v>61</v>
      </c>
      <c r="BN235" s="27" t="s">
        <v>61</v>
      </c>
      <c r="BO235" s="27" t="s">
        <v>61</v>
      </c>
      <c r="BP235" s="27">
        <v>8.17</v>
      </c>
      <c r="BQ235" s="27" t="s">
        <v>61</v>
      </c>
      <c r="BR235" s="27" t="s">
        <v>61</v>
      </c>
      <c r="BS235" s="26">
        <v>9</v>
      </c>
      <c r="BT235" s="26">
        <v>1</v>
      </c>
      <c r="BU235" s="27" t="s">
        <v>61</v>
      </c>
      <c r="BV235" s="27" t="s">
        <v>61</v>
      </c>
      <c r="BW235" s="27">
        <v>-0.23</v>
      </c>
      <c r="BX235" s="27" t="s">
        <v>61</v>
      </c>
      <c r="BY235" s="27" t="s">
        <v>61</v>
      </c>
      <c r="BZ235" s="27" t="s">
        <v>61</v>
      </c>
      <c r="CA235" s="27" t="s">
        <v>61</v>
      </c>
      <c r="CB235" s="27" t="s">
        <v>61</v>
      </c>
      <c r="CC235" s="26" t="s">
        <v>60</v>
      </c>
      <c r="CD235" s="26" t="s">
        <v>60</v>
      </c>
      <c r="CE235" s="26" t="s">
        <v>59</v>
      </c>
      <c r="CF235" s="26"/>
      <c r="CG235" s="26"/>
      <c r="CH235" s="26" t="s">
        <v>59</v>
      </c>
      <c r="CI235" s="26" t="s">
        <v>59</v>
      </c>
      <c r="CJ235" s="26" t="s">
        <v>59</v>
      </c>
      <c r="CK235" s="26" t="s">
        <v>59</v>
      </c>
      <c r="CL235" s="26" t="s">
        <v>59</v>
      </c>
      <c r="CM235" s="26" t="s">
        <v>59</v>
      </c>
      <c r="CN235" s="26" t="s">
        <v>59</v>
      </c>
      <c r="CO235" s="26" t="s">
        <v>59</v>
      </c>
      <c r="CP235" s="26" t="s">
        <v>60</v>
      </c>
      <c r="CQ235" s="26" t="s">
        <v>60</v>
      </c>
      <c r="CR235" s="26" t="s">
        <v>59</v>
      </c>
      <c r="CS235" s="26"/>
      <c r="CT235" s="26"/>
      <c r="CU235" s="26" t="s">
        <v>59</v>
      </c>
      <c r="CV235" s="26" t="s">
        <v>59</v>
      </c>
      <c r="CW235" s="26" t="s">
        <v>59</v>
      </c>
      <c r="CX235" s="26" t="s">
        <v>59</v>
      </c>
      <c r="CY235" s="26" t="s">
        <v>59</v>
      </c>
      <c r="CZ235" s="26" t="s">
        <v>59</v>
      </c>
      <c r="DA235" s="26" t="s">
        <v>59</v>
      </c>
      <c r="DB235" s="26" t="s">
        <v>59</v>
      </c>
      <c r="DC235" s="26">
        <v>12</v>
      </c>
      <c r="DD235" s="29" t="s">
        <v>69</v>
      </c>
      <c r="DE235" s="29" t="s">
        <v>61</v>
      </c>
      <c r="DF235" s="29" t="s">
        <v>61</v>
      </c>
      <c r="DG235" s="26">
        <v>0.21490000000000001</v>
      </c>
      <c r="DH235" s="30">
        <v>0.37</v>
      </c>
      <c r="DI235" s="29" t="s">
        <v>75</v>
      </c>
      <c r="DJ235" s="26">
        <v>0.09</v>
      </c>
    </row>
    <row r="236" spans="1:114" s="43" customFormat="1" ht="14">
      <c r="A236" s="49" t="s">
        <v>292</v>
      </c>
      <c r="B236" s="43">
        <v>10388</v>
      </c>
      <c r="C236" s="34">
        <v>2</v>
      </c>
      <c r="D236" s="43">
        <v>1</v>
      </c>
      <c r="E236" s="48" t="s">
        <v>58</v>
      </c>
      <c r="F236" s="48">
        <v>11</v>
      </c>
      <c r="G236" s="48">
        <f t="shared" si="4"/>
        <v>1092</v>
      </c>
      <c r="H236" s="48">
        <f t="shared" si="5"/>
        <v>99.272727272727266</v>
      </c>
      <c r="I236" s="48" t="s">
        <v>139</v>
      </c>
      <c r="J236" s="48" t="s">
        <v>58</v>
      </c>
      <c r="K236" s="26" t="s">
        <v>58</v>
      </c>
      <c r="L236" s="26" t="s">
        <v>139</v>
      </c>
      <c r="M236" s="26" t="s">
        <v>139</v>
      </c>
      <c r="N236" s="26" t="s">
        <v>3516</v>
      </c>
      <c r="O236" s="26" t="s">
        <v>139</v>
      </c>
      <c r="P236" s="26" t="s">
        <v>58</v>
      </c>
      <c r="Q236" s="48">
        <v>2.0000000000000001E-4</v>
      </c>
      <c r="R236" s="48">
        <v>2.0000000000000001E-4</v>
      </c>
      <c r="S236" s="48" t="s">
        <v>59</v>
      </c>
      <c r="T236" s="48" t="s">
        <v>59</v>
      </c>
      <c r="U236" s="48">
        <v>621</v>
      </c>
      <c r="V236" s="48">
        <v>471</v>
      </c>
      <c r="W236" s="48" t="s">
        <v>59</v>
      </c>
      <c r="X236" s="48" t="s">
        <v>59</v>
      </c>
      <c r="Y236" s="69">
        <v>8.4</v>
      </c>
      <c r="Z236" s="69" t="s">
        <v>61</v>
      </c>
      <c r="AA236" s="69">
        <v>0.08</v>
      </c>
      <c r="AB236" s="69" t="s">
        <v>61</v>
      </c>
      <c r="AC236" s="69" t="s">
        <v>61</v>
      </c>
      <c r="AD236" s="69">
        <v>8.5</v>
      </c>
      <c r="AE236" s="69" t="s">
        <v>61</v>
      </c>
      <c r="AF236" s="69">
        <v>0.09</v>
      </c>
      <c r="AG236" s="69" t="s">
        <v>61</v>
      </c>
      <c r="AH236" s="69" t="s">
        <v>61</v>
      </c>
      <c r="AI236" s="69" t="s">
        <v>59</v>
      </c>
      <c r="AJ236" s="69" t="s">
        <v>59</v>
      </c>
      <c r="AK236" s="69" t="s">
        <v>59</v>
      </c>
      <c r="AL236" s="69" t="s">
        <v>59</v>
      </c>
      <c r="AM236" s="69" t="s">
        <v>59</v>
      </c>
      <c r="AN236" s="69" t="s">
        <v>59</v>
      </c>
      <c r="AO236" s="69" t="s">
        <v>59</v>
      </c>
      <c r="AP236" s="69" t="s">
        <v>59</v>
      </c>
      <c r="AQ236" s="69" t="s">
        <v>59</v>
      </c>
      <c r="AR236" s="69" t="s">
        <v>59</v>
      </c>
      <c r="AS236" s="69" t="s">
        <v>61</v>
      </c>
      <c r="AT236" s="69" t="s">
        <v>64</v>
      </c>
      <c r="AU236" s="69" t="s">
        <v>59</v>
      </c>
      <c r="AV236" s="69" t="s">
        <v>59</v>
      </c>
      <c r="AW236" s="69" t="s">
        <v>59</v>
      </c>
      <c r="AX236" s="69" t="s">
        <v>59</v>
      </c>
      <c r="AY236" s="69">
        <v>621</v>
      </c>
      <c r="AZ236" s="69">
        <v>471</v>
      </c>
      <c r="BA236" s="69" t="s">
        <v>59</v>
      </c>
      <c r="BB236" s="69" t="s">
        <v>59</v>
      </c>
      <c r="BC236" s="69">
        <v>8.1</v>
      </c>
      <c r="BD236" s="69" t="s">
        <v>61</v>
      </c>
      <c r="BE236" s="69">
        <v>0.08</v>
      </c>
      <c r="BF236" s="69">
        <v>1</v>
      </c>
      <c r="BG236" s="48">
        <v>1</v>
      </c>
      <c r="BH236" s="69" t="s">
        <v>61</v>
      </c>
      <c r="BI236" s="69" t="s">
        <v>61</v>
      </c>
      <c r="BJ236" s="69">
        <v>-0.32</v>
      </c>
      <c r="BK236" s="69" t="s">
        <v>61</v>
      </c>
      <c r="BL236" s="69" t="s">
        <v>61</v>
      </c>
      <c r="BM236" s="69" t="s">
        <v>61</v>
      </c>
      <c r="BN236" s="69" t="s">
        <v>61</v>
      </c>
      <c r="BO236" s="69" t="s">
        <v>119</v>
      </c>
      <c r="BP236" s="69">
        <v>7.9</v>
      </c>
      <c r="BQ236" s="69" t="s">
        <v>61</v>
      </c>
      <c r="BR236" s="69">
        <v>0.09</v>
      </c>
      <c r="BS236" s="69">
        <v>1</v>
      </c>
      <c r="BT236" s="26">
        <v>1</v>
      </c>
      <c r="BU236" s="69" t="s">
        <v>61</v>
      </c>
      <c r="BV236" s="69" t="s">
        <v>61</v>
      </c>
      <c r="BW236" s="69">
        <v>-0.57999999999999996</v>
      </c>
      <c r="BX236" s="69" t="s">
        <v>61</v>
      </c>
      <c r="BY236" s="69" t="s">
        <v>61</v>
      </c>
      <c r="BZ236" s="69" t="s">
        <v>61</v>
      </c>
      <c r="CA236" s="69" t="s">
        <v>61</v>
      </c>
      <c r="CB236" s="69" t="s">
        <v>119</v>
      </c>
      <c r="CC236" s="69" t="s">
        <v>59</v>
      </c>
      <c r="CD236" s="69" t="s">
        <v>59</v>
      </c>
      <c r="CE236" s="69" t="s">
        <v>59</v>
      </c>
      <c r="CF236" s="69"/>
      <c r="CG236" s="69"/>
      <c r="CH236" s="69" t="s">
        <v>59</v>
      </c>
      <c r="CI236" s="69" t="s">
        <v>59</v>
      </c>
      <c r="CJ236" s="69" t="s">
        <v>59</v>
      </c>
      <c r="CK236" s="69" t="s">
        <v>59</v>
      </c>
      <c r="CL236" s="69" t="s">
        <v>59</v>
      </c>
      <c r="CM236" s="69" t="s">
        <v>59</v>
      </c>
      <c r="CN236" s="69" t="s">
        <v>59</v>
      </c>
      <c r="CO236" s="69" t="s">
        <v>59</v>
      </c>
      <c r="CP236" s="69" t="s">
        <v>59</v>
      </c>
      <c r="CQ236" s="69" t="s">
        <v>59</v>
      </c>
      <c r="CR236" s="69" t="s">
        <v>59</v>
      </c>
      <c r="CS236" s="69"/>
      <c r="CT236" s="69"/>
      <c r="CU236" s="69" t="s">
        <v>59</v>
      </c>
      <c r="CV236" s="69" t="s">
        <v>59</v>
      </c>
      <c r="CW236" s="69" t="s">
        <v>59</v>
      </c>
      <c r="CX236" s="69" t="s">
        <v>59</v>
      </c>
      <c r="CY236" s="69" t="s">
        <v>59</v>
      </c>
      <c r="CZ236" s="69" t="s">
        <v>59</v>
      </c>
      <c r="DA236" s="69" t="s">
        <v>59</v>
      </c>
      <c r="DB236" s="69" t="s">
        <v>59</v>
      </c>
      <c r="DC236" s="69">
        <v>6</v>
      </c>
      <c r="DD236" s="55"/>
      <c r="DG236" s="43">
        <v>0.26</v>
      </c>
      <c r="DH236" s="43">
        <v>0.08</v>
      </c>
      <c r="DI236" s="43" t="s">
        <v>293</v>
      </c>
      <c r="DJ236" s="43">
        <v>0.01</v>
      </c>
    </row>
    <row r="237" spans="1:114" s="43" customFormat="1">
      <c r="A237" s="49" t="s">
        <v>271</v>
      </c>
      <c r="B237" s="43">
        <v>9010</v>
      </c>
      <c r="C237" s="34">
        <v>2</v>
      </c>
      <c r="D237" s="43">
        <v>1</v>
      </c>
      <c r="E237" s="48" t="s">
        <v>58</v>
      </c>
      <c r="F237" s="48">
        <v>10</v>
      </c>
      <c r="G237" s="48">
        <f t="shared" si="4"/>
        <v>307</v>
      </c>
      <c r="H237" s="48">
        <f t="shared" si="5"/>
        <v>30.7</v>
      </c>
      <c r="I237" s="48" t="s">
        <v>58</v>
      </c>
      <c r="J237" s="48" t="s">
        <v>58</v>
      </c>
      <c r="K237" s="26" t="s">
        <v>139</v>
      </c>
      <c r="L237" s="26" t="s">
        <v>1379</v>
      </c>
      <c r="M237" s="26" t="s">
        <v>1379</v>
      </c>
      <c r="N237" s="26" t="s">
        <v>1379</v>
      </c>
      <c r="O237" s="26" t="s">
        <v>1379</v>
      </c>
      <c r="P237" s="26" t="s">
        <v>1379</v>
      </c>
      <c r="Q237" s="48" t="s">
        <v>61</v>
      </c>
      <c r="R237" s="48" t="s">
        <v>61</v>
      </c>
      <c r="S237" s="48" t="s">
        <v>59</v>
      </c>
      <c r="T237" s="48" t="s">
        <v>59</v>
      </c>
      <c r="U237" s="48">
        <v>111</v>
      </c>
      <c r="V237" s="48">
        <v>196</v>
      </c>
      <c r="W237" s="48" t="s">
        <v>59</v>
      </c>
      <c r="X237" s="48" t="s">
        <v>59</v>
      </c>
      <c r="Y237" s="48">
        <v>8.6999999999999993</v>
      </c>
      <c r="Z237" s="48" t="s">
        <v>61</v>
      </c>
      <c r="AA237" s="48" t="s">
        <v>61</v>
      </c>
      <c r="AB237" s="48" t="s">
        <v>61</v>
      </c>
      <c r="AC237" s="48" t="s">
        <v>61</v>
      </c>
      <c r="AD237" s="48">
        <v>8.4</v>
      </c>
      <c r="AE237" s="48" t="s">
        <v>61</v>
      </c>
      <c r="AF237" s="48" t="s">
        <v>61</v>
      </c>
      <c r="AG237" s="48" t="s">
        <v>61</v>
      </c>
      <c r="AH237" s="48" t="s">
        <v>61</v>
      </c>
      <c r="AI237" s="48" t="s">
        <v>59</v>
      </c>
      <c r="AJ237" s="48" t="s">
        <v>59</v>
      </c>
      <c r="AK237" s="48" t="s">
        <v>59</v>
      </c>
      <c r="AL237" s="48" t="s">
        <v>59</v>
      </c>
      <c r="AM237" s="48" t="s">
        <v>59</v>
      </c>
      <c r="AN237" s="48" t="s">
        <v>59</v>
      </c>
      <c r="AO237" s="48" t="s">
        <v>59</v>
      </c>
      <c r="AP237" s="48" t="s">
        <v>59</v>
      </c>
      <c r="AQ237" s="48" t="s">
        <v>59</v>
      </c>
      <c r="AR237" s="48" t="s">
        <v>59</v>
      </c>
      <c r="AS237" s="48" t="s">
        <v>61</v>
      </c>
      <c r="AT237" s="48" t="s">
        <v>64</v>
      </c>
      <c r="AU237" s="48" t="s">
        <v>59</v>
      </c>
      <c r="AV237" s="48" t="s">
        <v>59</v>
      </c>
      <c r="AW237" s="48" t="s">
        <v>59</v>
      </c>
      <c r="AX237" s="48" t="s">
        <v>59</v>
      </c>
      <c r="AY237" s="48">
        <v>111</v>
      </c>
      <c r="AZ237" s="48">
        <v>196</v>
      </c>
      <c r="BA237" s="48" t="s">
        <v>59</v>
      </c>
      <c r="BB237" s="48" t="s">
        <v>59</v>
      </c>
      <c r="BC237" s="48">
        <v>8.6</v>
      </c>
      <c r="BD237" s="48" t="s">
        <v>61</v>
      </c>
      <c r="BE237" s="48" t="s">
        <v>61</v>
      </c>
      <c r="BF237" s="26">
        <v>9</v>
      </c>
      <c r="BG237" s="48">
        <v>1</v>
      </c>
      <c r="BH237" s="48" t="s">
        <v>61</v>
      </c>
      <c r="BI237" s="48" t="s">
        <v>61</v>
      </c>
      <c r="BJ237" s="48">
        <v>-0.1</v>
      </c>
      <c r="BK237" s="48" t="s">
        <v>61</v>
      </c>
      <c r="BL237" s="48" t="s">
        <v>61</v>
      </c>
      <c r="BM237" s="48" t="s">
        <v>61</v>
      </c>
      <c r="BN237" s="48" t="s">
        <v>61</v>
      </c>
      <c r="BO237" s="48">
        <v>0.8</v>
      </c>
      <c r="BP237" s="48">
        <v>7.9</v>
      </c>
      <c r="BQ237" s="48" t="s">
        <v>61</v>
      </c>
      <c r="BR237" s="48" t="s">
        <v>61</v>
      </c>
      <c r="BS237" s="26">
        <v>9</v>
      </c>
      <c r="BT237" s="26">
        <v>1</v>
      </c>
      <c r="BU237" s="48" t="s">
        <v>61</v>
      </c>
      <c r="BV237" s="48" t="s">
        <v>61</v>
      </c>
      <c r="BW237" s="48">
        <v>-0.5</v>
      </c>
      <c r="BX237" s="48" t="s">
        <v>61</v>
      </c>
      <c r="BY237" s="48" t="s">
        <v>61</v>
      </c>
      <c r="BZ237" s="48" t="s">
        <v>61</v>
      </c>
      <c r="CA237" s="48" t="s">
        <v>61</v>
      </c>
      <c r="CB237" s="48" t="s">
        <v>180</v>
      </c>
      <c r="CC237" s="48" t="s">
        <v>59</v>
      </c>
      <c r="CD237" s="48" t="s">
        <v>59</v>
      </c>
      <c r="CE237" s="48" t="s">
        <v>59</v>
      </c>
      <c r="CF237" s="48"/>
      <c r="CG237" s="48"/>
      <c r="CH237" s="48" t="s">
        <v>59</v>
      </c>
      <c r="CI237" s="48" t="s">
        <v>59</v>
      </c>
      <c r="CJ237" s="48" t="s">
        <v>59</v>
      </c>
      <c r="CK237" s="48" t="s">
        <v>59</v>
      </c>
      <c r="CL237" s="48" t="s">
        <v>59</v>
      </c>
      <c r="CM237" s="48" t="s">
        <v>59</v>
      </c>
      <c r="CN237" s="48" t="s">
        <v>59</v>
      </c>
      <c r="CO237" s="48" t="s">
        <v>59</v>
      </c>
      <c r="CP237" s="48" t="s">
        <v>59</v>
      </c>
      <c r="CQ237" s="48" t="s">
        <v>59</v>
      </c>
      <c r="CR237" s="48" t="s">
        <v>59</v>
      </c>
      <c r="CS237" s="48"/>
      <c r="CT237" s="48"/>
      <c r="CU237" s="48" t="s">
        <v>59</v>
      </c>
      <c r="CV237" s="48" t="s">
        <v>59</v>
      </c>
      <c r="CW237" s="48" t="s">
        <v>59</v>
      </c>
      <c r="CX237" s="48" t="s">
        <v>59</v>
      </c>
      <c r="CY237" s="48" t="s">
        <v>59</v>
      </c>
      <c r="CZ237" s="48" t="s">
        <v>59</v>
      </c>
      <c r="DA237" s="48" t="s">
        <v>59</v>
      </c>
      <c r="DB237" s="48" t="s">
        <v>59</v>
      </c>
      <c r="DC237" s="48">
        <v>18</v>
      </c>
      <c r="DD237" s="55"/>
      <c r="DG237" s="43" t="s">
        <v>61</v>
      </c>
      <c r="DH237" s="55" t="s">
        <v>61</v>
      </c>
      <c r="DI237" s="43" t="s">
        <v>61</v>
      </c>
      <c r="DJ237" s="43" t="s">
        <v>61</v>
      </c>
    </row>
    <row r="238" spans="1:114" s="43" customFormat="1">
      <c r="A238" s="51" t="s">
        <v>290</v>
      </c>
      <c r="B238" s="43">
        <v>10385</v>
      </c>
      <c r="C238" s="34">
        <v>2</v>
      </c>
      <c r="D238" s="43">
        <v>1</v>
      </c>
      <c r="E238" s="48" t="s">
        <v>58</v>
      </c>
      <c r="F238" s="48">
        <v>34</v>
      </c>
      <c r="G238" s="48">
        <f t="shared" si="4"/>
        <v>483</v>
      </c>
      <c r="H238" s="48">
        <f t="shared" si="5"/>
        <v>14.205882352941176</v>
      </c>
      <c r="I238" s="48" t="s">
        <v>139</v>
      </c>
      <c r="J238" s="48" t="s">
        <v>139</v>
      </c>
      <c r="K238" s="26" t="s">
        <v>58</v>
      </c>
      <c r="L238" s="26" t="s">
        <v>139</v>
      </c>
      <c r="M238" s="26" t="s">
        <v>58</v>
      </c>
      <c r="N238" s="26" t="s">
        <v>3516</v>
      </c>
      <c r="O238" s="26" t="s">
        <v>58</v>
      </c>
      <c r="P238" s="26" t="s">
        <v>139</v>
      </c>
      <c r="Q238" s="48" t="s">
        <v>61</v>
      </c>
      <c r="R238" s="48" t="s">
        <v>61</v>
      </c>
      <c r="S238" s="48" t="s">
        <v>59</v>
      </c>
      <c r="T238" s="48" t="s">
        <v>59</v>
      </c>
      <c r="U238" s="48">
        <v>227</v>
      </c>
      <c r="V238" s="48">
        <v>256</v>
      </c>
      <c r="W238" s="48" t="s">
        <v>59</v>
      </c>
      <c r="X238" s="48" t="s">
        <v>59</v>
      </c>
      <c r="Y238" s="48">
        <v>8.9</v>
      </c>
      <c r="Z238" s="48" t="s">
        <v>61</v>
      </c>
      <c r="AA238" s="48">
        <v>0.08</v>
      </c>
      <c r="AB238" s="48" t="s">
        <v>61</v>
      </c>
      <c r="AC238" s="48" t="s">
        <v>61</v>
      </c>
      <c r="AD238" s="48">
        <v>8.9</v>
      </c>
      <c r="AE238" s="48" t="s">
        <v>61</v>
      </c>
      <c r="AF238" s="48">
        <v>7.0000000000000007E-2</v>
      </c>
      <c r="AG238" s="48" t="s">
        <v>61</v>
      </c>
      <c r="AH238" s="48" t="s">
        <v>61</v>
      </c>
      <c r="AI238" s="48" t="s">
        <v>59</v>
      </c>
      <c r="AJ238" s="48" t="s">
        <v>59</v>
      </c>
      <c r="AK238" s="48" t="s">
        <v>59</v>
      </c>
      <c r="AL238" s="48" t="s">
        <v>59</v>
      </c>
      <c r="AM238" s="48" t="s">
        <v>59</v>
      </c>
      <c r="AN238" s="48" t="s">
        <v>59</v>
      </c>
      <c r="AO238" s="48" t="s">
        <v>59</v>
      </c>
      <c r="AP238" s="48" t="s">
        <v>59</v>
      </c>
      <c r="AQ238" s="48" t="s">
        <v>59</v>
      </c>
      <c r="AR238" s="48" t="s">
        <v>59</v>
      </c>
      <c r="AS238" s="48">
        <v>0.87509999999999999</v>
      </c>
      <c r="AT238" s="48" t="s">
        <v>64</v>
      </c>
      <c r="AU238" s="48" t="s">
        <v>59</v>
      </c>
      <c r="AV238" s="48" t="s">
        <v>59</v>
      </c>
      <c r="AW238" s="48" t="s">
        <v>59</v>
      </c>
      <c r="AX238" s="48" t="s">
        <v>59</v>
      </c>
      <c r="AY238" s="48">
        <v>227</v>
      </c>
      <c r="AZ238" s="48">
        <v>256</v>
      </c>
      <c r="BA238" s="48" t="s">
        <v>59</v>
      </c>
      <c r="BB238" s="48" t="s">
        <v>59</v>
      </c>
      <c r="BC238" s="48">
        <v>8</v>
      </c>
      <c r="BD238" s="48" t="s">
        <v>61</v>
      </c>
      <c r="BE238" s="48">
        <v>0.1</v>
      </c>
      <c r="BF238" s="48">
        <v>1</v>
      </c>
      <c r="BG238" s="48">
        <v>1</v>
      </c>
      <c r="BH238" s="48" t="s">
        <v>61</v>
      </c>
      <c r="BI238" s="48" t="s">
        <v>61</v>
      </c>
      <c r="BJ238" s="48">
        <v>-0.9</v>
      </c>
      <c r="BK238" s="48" t="s">
        <v>61</v>
      </c>
      <c r="BL238" s="48">
        <v>0.1</v>
      </c>
      <c r="BM238" s="48" t="s">
        <v>61</v>
      </c>
      <c r="BN238" s="48" t="s">
        <v>61</v>
      </c>
      <c r="BO238" s="48" t="s">
        <v>61</v>
      </c>
      <c r="BP238" s="48">
        <v>7.7</v>
      </c>
      <c r="BQ238" s="48" t="s">
        <v>61</v>
      </c>
      <c r="BR238" s="48">
        <v>0.09</v>
      </c>
      <c r="BS238" s="48">
        <v>1</v>
      </c>
      <c r="BT238" s="26">
        <v>1</v>
      </c>
      <c r="BU238" s="48" t="s">
        <v>61</v>
      </c>
      <c r="BV238" s="48" t="s">
        <v>61</v>
      </c>
      <c r="BW238" s="48">
        <v>-1.2</v>
      </c>
      <c r="BX238" s="48" t="s">
        <v>61</v>
      </c>
      <c r="BY238" s="48">
        <v>0.09</v>
      </c>
      <c r="BZ238" s="48" t="s">
        <v>61</v>
      </c>
      <c r="CA238" s="48" t="s">
        <v>61</v>
      </c>
      <c r="CB238" s="48" t="s">
        <v>61</v>
      </c>
      <c r="CC238" s="48" t="s">
        <v>59</v>
      </c>
      <c r="CD238" s="48" t="s">
        <v>59</v>
      </c>
      <c r="CE238" s="48" t="s">
        <v>59</v>
      </c>
      <c r="CF238" s="48"/>
      <c r="CG238" s="48"/>
      <c r="CH238" s="48" t="s">
        <v>59</v>
      </c>
      <c r="CI238" s="48" t="s">
        <v>59</v>
      </c>
      <c r="CJ238" s="48" t="s">
        <v>59</v>
      </c>
      <c r="CK238" s="48" t="s">
        <v>59</v>
      </c>
      <c r="CL238" s="48" t="s">
        <v>59</v>
      </c>
      <c r="CM238" s="48" t="s">
        <v>59</v>
      </c>
      <c r="CN238" s="48" t="s">
        <v>59</v>
      </c>
      <c r="CO238" s="48" t="s">
        <v>59</v>
      </c>
      <c r="CP238" s="48" t="s">
        <v>59</v>
      </c>
      <c r="CQ238" s="48" t="s">
        <v>59</v>
      </c>
      <c r="CR238" s="48" t="s">
        <v>59</v>
      </c>
      <c r="CS238" s="48"/>
      <c r="CT238" s="48"/>
      <c r="CU238" s="48" t="s">
        <v>59</v>
      </c>
      <c r="CV238" s="48" t="s">
        <v>59</v>
      </c>
      <c r="CW238" s="48" t="s">
        <v>59</v>
      </c>
      <c r="CX238" s="48" t="s">
        <v>59</v>
      </c>
      <c r="CY238" s="48" t="s">
        <v>59</v>
      </c>
      <c r="CZ238" s="48" t="s">
        <v>59</v>
      </c>
      <c r="DA238" s="48" t="s">
        <v>59</v>
      </c>
      <c r="DB238" s="48" t="s">
        <v>59</v>
      </c>
      <c r="DC238" s="48">
        <v>12</v>
      </c>
      <c r="DD238" s="55" t="s">
        <v>109</v>
      </c>
      <c r="DG238" s="43">
        <v>0.3</v>
      </c>
      <c r="DH238" s="43">
        <v>0.14000000000000001</v>
      </c>
      <c r="DI238" s="43" t="s">
        <v>291</v>
      </c>
      <c r="DJ238" s="43">
        <v>0.04</v>
      </c>
    </row>
    <row r="239" spans="1:114" s="43" customFormat="1" ht="14">
      <c r="A239" s="49" t="s">
        <v>305</v>
      </c>
      <c r="B239" s="43">
        <v>12290</v>
      </c>
      <c r="C239" s="34">
        <v>2</v>
      </c>
      <c r="D239" s="43">
        <v>1</v>
      </c>
      <c r="E239" s="48" t="s">
        <v>58</v>
      </c>
      <c r="F239" s="48">
        <v>18</v>
      </c>
      <c r="G239" s="48">
        <f t="shared" si="4"/>
        <v>421</v>
      </c>
      <c r="H239" s="48">
        <f t="shared" si="5"/>
        <v>23.388888888888889</v>
      </c>
      <c r="I239" s="26" t="s">
        <v>58</v>
      </c>
      <c r="J239" s="26" t="s">
        <v>58</v>
      </c>
      <c r="K239" s="26" t="s">
        <v>58</v>
      </c>
      <c r="L239" s="26" t="s">
        <v>139</v>
      </c>
      <c r="M239" s="26" t="s">
        <v>139</v>
      </c>
      <c r="N239" s="26" t="s">
        <v>3531</v>
      </c>
      <c r="O239" s="26" t="s">
        <v>139</v>
      </c>
      <c r="P239" s="26" t="s">
        <v>58</v>
      </c>
      <c r="Q239" s="48">
        <v>0.1</v>
      </c>
      <c r="R239" s="48">
        <v>0.1</v>
      </c>
      <c r="S239" s="48" t="s">
        <v>59</v>
      </c>
      <c r="T239" s="48" t="s">
        <v>59</v>
      </c>
      <c r="U239" s="48">
        <v>227</v>
      </c>
      <c r="V239" s="48">
        <v>229</v>
      </c>
      <c r="W239" s="48" t="s">
        <v>59</v>
      </c>
      <c r="X239" s="48" t="s">
        <v>59</v>
      </c>
      <c r="Y239" s="69">
        <v>8.9</v>
      </c>
      <c r="Z239" s="69" t="s">
        <v>61</v>
      </c>
      <c r="AA239" s="69" t="s">
        <v>61</v>
      </c>
      <c r="AB239" s="69" t="s">
        <v>61</v>
      </c>
      <c r="AC239" s="69" t="s">
        <v>61</v>
      </c>
      <c r="AD239" s="69">
        <v>8.8000000000000007</v>
      </c>
      <c r="AE239" s="69" t="s">
        <v>61</v>
      </c>
      <c r="AF239" s="69" t="s">
        <v>61</v>
      </c>
      <c r="AG239" s="69" t="s">
        <v>61</v>
      </c>
      <c r="AH239" s="69" t="s">
        <v>61</v>
      </c>
      <c r="AI239" s="69" t="s">
        <v>59</v>
      </c>
      <c r="AJ239" s="69" t="s">
        <v>59</v>
      </c>
      <c r="AK239" s="69" t="s">
        <v>59</v>
      </c>
      <c r="AL239" s="69" t="s">
        <v>59</v>
      </c>
      <c r="AM239" s="69" t="s">
        <v>59</v>
      </c>
      <c r="AN239" s="69" t="s">
        <v>59</v>
      </c>
      <c r="AO239" s="69" t="s">
        <v>59</v>
      </c>
      <c r="AP239" s="69" t="s">
        <v>59</v>
      </c>
      <c r="AQ239" s="69" t="s">
        <v>59</v>
      </c>
      <c r="AR239" s="69" t="s">
        <v>59</v>
      </c>
      <c r="AS239" s="69" t="s">
        <v>61</v>
      </c>
      <c r="AT239" s="69" t="s">
        <v>64</v>
      </c>
      <c r="AU239" s="69" t="s">
        <v>59</v>
      </c>
      <c r="AV239" s="69" t="s">
        <v>59</v>
      </c>
      <c r="AW239" s="69" t="s">
        <v>59</v>
      </c>
      <c r="AX239" s="69" t="s">
        <v>59</v>
      </c>
      <c r="AY239" s="69">
        <v>207</v>
      </c>
      <c r="AZ239" s="69">
        <v>214</v>
      </c>
      <c r="BA239" s="69" t="s">
        <v>59</v>
      </c>
      <c r="BB239" s="69" t="s">
        <v>59</v>
      </c>
      <c r="BC239" s="69">
        <v>8.8000000000000007</v>
      </c>
      <c r="BD239" s="69" t="s">
        <v>61</v>
      </c>
      <c r="BE239" s="69" t="s">
        <v>61</v>
      </c>
      <c r="BF239" s="26">
        <v>9</v>
      </c>
      <c r="BG239" s="48">
        <v>1</v>
      </c>
      <c r="BH239" s="69" t="s">
        <v>61</v>
      </c>
      <c r="BI239" s="69" t="s">
        <v>61</v>
      </c>
      <c r="BJ239" s="69" t="s">
        <v>61</v>
      </c>
      <c r="BK239" s="69" t="s">
        <v>61</v>
      </c>
      <c r="BL239" s="69" t="s">
        <v>61</v>
      </c>
      <c r="BM239" s="69" t="s">
        <v>61</v>
      </c>
      <c r="BN239" s="69" t="s">
        <v>61</v>
      </c>
      <c r="BO239" s="69" t="s">
        <v>61</v>
      </c>
      <c r="BP239" s="69">
        <v>8.8000000000000007</v>
      </c>
      <c r="BQ239" s="69" t="s">
        <v>61</v>
      </c>
      <c r="BR239" s="69" t="s">
        <v>61</v>
      </c>
      <c r="BS239" s="26">
        <v>9</v>
      </c>
      <c r="BT239" s="26">
        <v>1</v>
      </c>
      <c r="BU239" s="69" t="s">
        <v>61</v>
      </c>
      <c r="BV239" s="69" t="s">
        <v>61</v>
      </c>
      <c r="BW239" s="69" t="s">
        <v>61</v>
      </c>
      <c r="BX239" s="69" t="s">
        <v>61</v>
      </c>
      <c r="BY239" s="69" t="s">
        <v>61</v>
      </c>
      <c r="BZ239" s="69" t="s">
        <v>61</v>
      </c>
      <c r="CA239" s="69" t="s">
        <v>61</v>
      </c>
      <c r="CB239" s="69" t="s">
        <v>61</v>
      </c>
      <c r="CC239" s="69" t="s">
        <v>59</v>
      </c>
      <c r="CD239" s="69" t="s">
        <v>59</v>
      </c>
      <c r="CE239" s="69" t="s">
        <v>59</v>
      </c>
      <c r="CF239" s="69"/>
      <c r="CG239" s="69"/>
      <c r="CH239" s="69" t="s">
        <v>59</v>
      </c>
      <c r="CI239" s="69" t="s">
        <v>59</v>
      </c>
      <c r="CJ239" s="69" t="s">
        <v>59</v>
      </c>
      <c r="CK239" s="69" t="s">
        <v>59</v>
      </c>
      <c r="CL239" s="69" t="s">
        <v>59</v>
      </c>
      <c r="CM239" s="69" t="s">
        <v>59</v>
      </c>
      <c r="CN239" s="69" t="s">
        <v>59</v>
      </c>
      <c r="CO239" s="69" t="s">
        <v>59</v>
      </c>
      <c r="CP239" s="69" t="s">
        <v>59</v>
      </c>
      <c r="CQ239" s="69" t="s">
        <v>59</v>
      </c>
      <c r="CR239" s="69" t="s">
        <v>59</v>
      </c>
      <c r="CS239" s="69"/>
      <c r="CT239" s="69"/>
      <c r="CU239" s="69" t="s">
        <v>59</v>
      </c>
      <c r="CV239" s="69" t="s">
        <v>59</v>
      </c>
      <c r="CW239" s="69" t="s">
        <v>59</v>
      </c>
      <c r="CX239" s="69" t="s">
        <v>59</v>
      </c>
      <c r="CY239" s="69" t="s">
        <v>59</v>
      </c>
      <c r="CZ239" s="69" t="s">
        <v>59</v>
      </c>
      <c r="DA239" s="69" t="s">
        <v>59</v>
      </c>
      <c r="DB239" s="69" t="s">
        <v>59</v>
      </c>
      <c r="DC239" s="69">
        <v>12</v>
      </c>
      <c r="DD239" s="55"/>
      <c r="DG239" s="43">
        <v>-1</v>
      </c>
      <c r="DH239" s="43" t="s">
        <v>306</v>
      </c>
      <c r="DI239" s="43" t="s">
        <v>307</v>
      </c>
      <c r="DJ239" s="43" t="s">
        <v>61</v>
      </c>
    </row>
    <row r="240" spans="1:114" s="43" customFormat="1">
      <c r="A240" s="34" t="s">
        <v>137</v>
      </c>
      <c r="B240" s="34">
        <v>8502</v>
      </c>
      <c r="C240" s="34">
        <v>2</v>
      </c>
      <c r="D240" s="43">
        <v>1</v>
      </c>
      <c r="E240" s="26" t="s">
        <v>58</v>
      </c>
      <c r="F240" s="26">
        <v>20</v>
      </c>
      <c r="G240" s="48">
        <f t="shared" si="4"/>
        <v>343</v>
      </c>
      <c r="H240" s="48">
        <f t="shared" si="5"/>
        <v>17.149999999999999</v>
      </c>
      <c r="I240" s="48" t="s">
        <v>58</v>
      </c>
      <c r="J240" s="48" t="s">
        <v>58</v>
      </c>
      <c r="K240" s="26" t="s">
        <v>58</v>
      </c>
      <c r="L240" s="26" t="s">
        <v>139</v>
      </c>
      <c r="M240" s="26" t="s">
        <v>58</v>
      </c>
      <c r="N240" s="26" t="s">
        <v>3524</v>
      </c>
      <c r="O240" s="26" t="s">
        <v>139</v>
      </c>
      <c r="P240" s="26" t="s">
        <v>139</v>
      </c>
      <c r="Q240" s="19" t="s">
        <v>61</v>
      </c>
      <c r="R240" s="19" t="s">
        <v>61</v>
      </c>
      <c r="S240" s="26" t="s">
        <v>60</v>
      </c>
      <c r="T240" s="26" t="s">
        <v>60</v>
      </c>
      <c r="U240" s="26">
        <v>176</v>
      </c>
      <c r="V240" s="26">
        <v>222</v>
      </c>
      <c r="W240" s="26" t="s">
        <v>60</v>
      </c>
      <c r="X240" s="26" t="s">
        <v>60</v>
      </c>
      <c r="Y240" s="26">
        <v>9.1999999999999993</v>
      </c>
      <c r="Z240" s="26">
        <v>1.6</v>
      </c>
      <c r="AA240" s="26" t="s">
        <v>61</v>
      </c>
      <c r="AB240" s="26" t="s">
        <v>61</v>
      </c>
      <c r="AC240" s="27" t="s">
        <v>61</v>
      </c>
      <c r="AD240" s="26">
        <v>9.4</v>
      </c>
      <c r="AE240" s="26">
        <v>1.5</v>
      </c>
      <c r="AF240" s="26" t="s">
        <v>61</v>
      </c>
      <c r="AG240" s="26" t="s">
        <v>61</v>
      </c>
      <c r="AH240" s="27" t="s">
        <v>61</v>
      </c>
      <c r="AI240" s="26" t="s">
        <v>60</v>
      </c>
      <c r="AJ240" s="26" t="s">
        <v>60</v>
      </c>
      <c r="AK240" s="26" t="s">
        <v>59</v>
      </c>
      <c r="AL240" s="26" t="s">
        <v>59</v>
      </c>
      <c r="AM240" s="26" t="s">
        <v>59</v>
      </c>
      <c r="AN240" s="26" t="s">
        <v>60</v>
      </c>
      <c r="AO240" s="26" t="s">
        <v>60</v>
      </c>
      <c r="AP240" s="26" t="s">
        <v>59</v>
      </c>
      <c r="AQ240" s="26" t="s">
        <v>59</v>
      </c>
      <c r="AR240" s="26" t="s">
        <v>59</v>
      </c>
      <c r="AS240" s="26" t="s">
        <v>61</v>
      </c>
      <c r="AT240" s="26" t="s">
        <v>64</v>
      </c>
      <c r="AU240" s="26" t="s">
        <v>59</v>
      </c>
      <c r="AV240" s="26" t="s">
        <v>59</v>
      </c>
      <c r="AW240" s="26" t="s">
        <v>59</v>
      </c>
      <c r="AX240" s="26" t="s">
        <v>59</v>
      </c>
      <c r="AY240" s="26">
        <v>150</v>
      </c>
      <c r="AZ240" s="26">
        <v>193</v>
      </c>
      <c r="BA240" s="26" t="s">
        <v>60</v>
      </c>
      <c r="BB240" s="26" t="s">
        <v>60</v>
      </c>
      <c r="BC240" s="26">
        <v>9.3000000000000007</v>
      </c>
      <c r="BD240" s="27" t="s">
        <v>61</v>
      </c>
      <c r="BE240" s="26" t="s">
        <v>61</v>
      </c>
      <c r="BF240" s="26">
        <v>9</v>
      </c>
      <c r="BG240" s="48">
        <v>1</v>
      </c>
      <c r="BH240" s="27" t="s">
        <v>61</v>
      </c>
      <c r="BI240" s="27" t="s">
        <v>61</v>
      </c>
      <c r="BJ240" s="26">
        <v>0.1</v>
      </c>
      <c r="BK240" s="26" t="s">
        <v>61</v>
      </c>
      <c r="BL240" s="26" t="s">
        <v>61</v>
      </c>
      <c r="BM240" s="26" t="s">
        <v>61</v>
      </c>
      <c r="BN240" s="26" t="s">
        <v>61</v>
      </c>
      <c r="BO240" s="26" t="s">
        <v>61</v>
      </c>
      <c r="BP240" s="26">
        <v>9.1</v>
      </c>
      <c r="BQ240" s="27" t="s">
        <v>61</v>
      </c>
      <c r="BR240" s="26" t="s">
        <v>61</v>
      </c>
      <c r="BS240" s="26">
        <v>9</v>
      </c>
      <c r="BT240" s="26">
        <v>1</v>
      </c>
      <c r="BU240" s="27" t="s">
        <v>61</v>
      </c>
      <c r="BV240" s="27" t="s">
        <v>61</v>
      </c>
      <c r="BW240" s="26">
        <v>-0.3</v>
      </c>
      <c r="BX240" s="26" t="s">
        <v>61</v>
      </c>
      <c r="BY240" s="27" t="s">
        <v>61</v>
      </c>
      <c r="BZ240" s="26" t="s">
        <v>61</v>
      </c>
      <c r="CA240" s="27" t="s">
        <v>61</v>
      </c>
      <c r="CB240" s="26" t="s">
        <v>61</v>
      </c>
      <c r="CC240" s="26" t="s">
        <v>60</v>
      </c>
      <c r="CD240" s="26" t="s">
        <v>60</v>
      </c>
      <c r="CE240" s="26" t="s">
        <v>59</v>
      </c>
      <c r="CF240" s="26"/>
      <c r="CG240" s="26"/>
      <c r="CH240" s="26" t="s">
        <v>59</v>
      </c>
      <c r="CI240" s="26" t="s">
        <v>59</v>
      </c>
      <c r="CJ240" s="26" t="s">
        <v>59</v>
      </c>
      <c r="CK240" s="26" t="s">
        <v>59</v>
      </c>
      <c r="CL240" s="26" t="s">
        <v>59</v>
      </c>
      <c r="CM240" s="26" t="s">
        <v>59</v>
      </c>
      <c r="CN240" s="26" t="s">
        <v>59</v>
      </c>
      <c r="CO240" s="26" t="s">
        <v>59</v>
      </c>
      <c r="CP240" s="26" t="s">
        <v>60</v>
      </c>
      <c r="CQ240" s="26" t="s">
        <v>60</v>
      </c>
      <c r="CR240" s="26" t="s">
        <v>59</v>
      </c>
      <c r="CS240" s="26"/>
      <c r="CT240" s="26"/>
      <c r="CU240" s="26" t="s">
        <v>59</v>
      </c>
      <c r="CV240" s="26" t="s">
        <v>59</v>
      </c>
      <c r="CW240" s="26" t="s">
        <v>59</v>
      </c>
      <c r="CX240" s="26" t="s">
        <v>59</v>
      </c>
      <c r="CY240" s="26" t="s">
        <v>59</v>
      </c>
      <c r="CZ240" s="26" t="s">
        <v>59</v>
      </c>
      <c r="DA240" s="26" t="s">
        <v>59</v>
      </c>
      <c r="DB240" s="26" t="s">
        <v>59</v>
      </c>
      <c r="DC240" s="26">
        <v>12</v>
      </c>
      <c r="DD240" s="29"/>
      <c r="DE240" s="22"/>
      <c r="DF240" s="22"/>
      <c r="DG240" s="26" t="s">
        <v>61</v>
      </c>
      <c r="DH240" s="40" t="s">
        <v>77</v>
      </c>
      <c r="DI240" s="29" t="s">
        <v>61</v>
      </c>
      <c r="DJ240" s="26" t="s">
        <v>61</v>
      </c>
    </row>
    <row r="241" spans="1:114" s="43" customFormat="1">
      <c r="A241" s="34" t="s">
        <v>110</v>
      </c>
      <c r="B241" s="34">
        <v>5895</v>
      </c>
      <c r="C241" s="34">
        <v>2</v>
      </c>
      <c r="D241" s="43">
        <v>1</v>
      </c>
      <c r="E241" s="26" t="s">
        <v>58</v>
      </c>
      <c r="F241" s="26">
        <v>61</v>
      </c>
      <c r="G241" s="48">
        <f t="shared" si="4"/>
        <v>660</v>
      </c>
      <c r="H241" s="48">
        <f t="shared" si="5"/>
        <v>10.819672131147541</v>
      </c>
      <c r="I241" s="26" t="s">
        <v>139</v>
      </c>
      <c r="J241" s="48" t="s">
        <v>58</v>
      </c>
      <c r="K241" s="26" t="s">
        <v>58</v>
      </c>
      <c r="L241" s="26" t="s">
        <v>139</v>
      </c>
      <c r="M241" s="26" t="s">
        <v>58</v>
      </c>
      <c r="N241" s="26" t="s">
        <v>3515</v>
      </c>
      <c r="O241" s="26" t="s">
        <v>139</v>
      </c>
      <c r="P241" s="26" t="s">
        <v>139</v>
      </c>
      <c r="Q241" s="26" t="s">
        <v>61</v>
      </c>
      <c r="R241" s="26" t="s">
        <v>61</v>
      </c>
      <c r="S241" s="26" t="s">
        <v>60</v>
      </c>
      <c r="T241" s="26" t="s">
        <v>60</v>
      </c>
      <c r="U241" s="26">
        <v>313</v>
      </c>
      <c r="V241" s="26">
        <v>347</v>
      </c>
      <c r="W241" s="26" t="s">
        <v>60</v>
      </c>
      <c r="X241" s="26" t="s">
        <v>60</v>
      </c>
      <c r="Y241" s="26" t="s">
        <v>61</v>
      </c>
      <c r="Z241" s="26" t="s">
        <v>61</v>
      </c>
      <c r="AA241" s="26" t="s">
        <v>61</v>
      </c>
      <c r="AB241" s="26" t="s">
        <v>61</v>
      </c>
      <c r="AC241" s="27" t="s">
        <v>61</v>
      </c>
      <c r="AD241" s="26" t="s">
        <v>61</v>
      </c>
      <c r="AE241" s="26" t="s">
        <v>61</v>
      </c>
      <c r="AF241" s="26" t="s">
        <v>61</v>
      </c>
      <c r="AG241" s="26" t="s">
        <v>61</v>
      </c>
      <c r="AH241" s="27" t="s">
        <v>61</v>
      </c>
      <c r="AI241" s="26" t="s">
        <v>60</v>
      </c>
      <c r="AJ241" s="26" t="s">
        <v>60</v>
      </c>
      <c r="AK241" s="26" t="s">
        <v>59</v>
      </c>
      <c r="AL241" s="26" t="s">
        <v>59</v>
      </c>
      <c r="AM241" s="26" t="s">
        <v>59</v>
      </c>
      <c r="AN241" s="26" t="s">
        <v>60</v>
      </c>
      <c r="AO241" s="26" t="s">
        <v>60</v>
      </c>
      <c r="AP241" s="26" t="s">
        <v>59</v>
      </c>
      <c r="AQ241" s="26" t="s">
        <v>59</v>
      </c>
      <c r="AR241" s="26" t="s">
        <v>59</v>
      </c>
      <c r="AS241" s="26" t="s">
        <v>61</v>
      </c>
      <c r="AT241" s="26" t="s">
        <v>64</v>
      </c>
      <c r="AU241" s="26" t="s">
        <v>59</v>
      </c>
      <c r="AV241" s="26" t="s">
        <v>59</v>
      </c>
      <c r="AW241" s="26" t="s">
        <v>59</v>
      </c>
      <c r="AX241" s="26" t="s">
        <v>59</v>
      </c>
      <c r="AY241" s="26">
        <v>313</v>
      </c>
      <c r="AZ241" s="26">
        <v>347</v>
      </c>
      <c r="BA241" s="26" t="s">
        <v>60</v>
      </c>
      <c r="BB241" s="26" t="s">
        <v>60</v>
      </c>
      <c r="BC241" s="26">
        <v>7.6</v>
      </c>
      <c r="BD241" s="27" t="s">
        <v>61</v>
      </c>
      <c r="BE241" s="26" t="s">
        <v>61</v>
      </c>
      <c r="BF241" s="26">
        <v>9</v>
      </c>
      <c r="BG241" s="48">
        <v>1</v>
      </c>
      <c r="BH241" s="27" t="s">
        <v>61</v>
      </c>
      <c r="BI241" s="27" t="s">
        <v>61</v>
      </c>
      <c r="BJ241" s="26" t="s">
        <v>61</v>
      </c>
      <c r="BK241" s="26" t="s">
        <v>61</v>
      </c>
      <c r="BL241" s="26" t="s">
        <v>61</v>
      </c>
      <c r="BM241" s="26" t="s">
        <v>61</v>
      </c>
      <c r="BN241" s="26" t="s">
        <v>61</v>
      </c>
      <c r="BO241" s="26" t="s">
        <v>61</v>
      </c>
      <c r="BP241" s="26">
        <v>7.3</v>
      </c>
      <c r="BQ241" s="27" t="s">
        <v>61</v>
      </c>
      <c r="BR241" s="26" t="s">
        <v>61</v>
      </c>
      <c r="BS241" s="26">
        <v>9</v>
      </c>
      <c r="BT241" s="26">
        <v>1</v>
      </c>
      <c r="BU241" s="27" t="s">
        <v>61</v>
      </c>
      <c r="BV241" s="27" t="s">
        <v>61</v>
      </c>
      <c r="BW241" s="26" t="s">
        <v>61</v>
      </c>
      <c r="BX241" s="26" t="s">
        <v>61</v>
      </c>
      <c r="BY241" s="27" t="s">
        <v>61</v>
      </c>
      <c r="BZ241" s="26" t="s">
        <v>61</v>
      </c>
      <c r="CA241" s="27" t="s">
        <v>61</v>
      </c>
      <c r="CB241" s="26" t="s">
        <v>61</v>
      </c>
      <c r="CC241" s="26" t="s">
        <v>60</v>
      </c>
      <c r="CD241" s="26" t="s">
        <v>60</v>
      </c>
      <c r="CE241" s="26" t="s">
        <v>59</v>
      </c>
      <c r="CF241" s="26"/>
      <c r="CG241" s="26"/>
      <c r="CH241" s="26" t="s">
        <v>59</v>
      </c>
      <c r="CI241" s="26" t="s">
        <v>59</v>
      </c>
      <c r="CJ241" s="26" t="s">
        <v>59</v>
      </c>
      <c r="CK241" s="26" t="s">
        <v>59</v>
      </c>
      <c r="CL241" s="26" t="s">
        <v>59</v>
      </c>
      <c r="CM241" s="26" t="s">
        <v>59</v>
      </c>
      <c r="CN241" s="26" t="s">
        <v>59</v>
      </c>
      <c r="CO241" s="26" t="s">
        <v>59</v>
      </c>
      <c r="CP241" s="26" t="s">
        <v>59</v>
      </c>
      <c r="CQ241" s="26" t="s">
        <v>60</v>
      </c>
      <c r="CR241" s="26" t="s">
        <v>59</v>
      </c>
      <c r="CS241" s="26"/>
      <c r="CT241" s="26"/>
      <c r="CU241" s="26" t="s">
        <v>59</v>
      </c>
      <c r="CV241" s="26" t="s">
        <v>59</v>
      </c>
      <c r="CW241" s="26" t="s">
        <v>59</v>
      </c>
      <c r="CX241" s="26" t="s">
        <v>59</v>
      </c>
      <c r="CY241" s="26" t="s">
        <v>59</v>
      </c>
      <c r="CZ241" s="26" t="s">
        <v>59</v>
      </c>
      <c r="DA241" s="26" t="s">
        <v>59</v>
      </c>
      <c r="DB241" s="26" t="s">
        <v>59</v>
      </c>
      <c r="DC241" s="26">
        <v>15</v>
      </c>
      <c r="DD241" s="29"/>
      <c r="DE241" s="29" t="s">
        <v>61</v>
      </c>
      <c r="DF241" s="29" t="s">
        <v>61</v>
      </c>
      <c r="DG241" s="26" t="s">
        <v>111</v>
      </c>
      <c r="DH241" s="30">
        <v>0.28097</v>
      </c>
      <c r="DI241" s="29" t="s">
        <v>112</v>
      </c>
      <c r="DJ241" s="26">
        <v>0.28999999999999998</v>
      </c>
    </row>
    <row r="242" spans="1:114" s="43" customFormat="1" ht="14">
      <c r="A242" s="49" t="s">
        <v>294</v>
      </c>
      <c r="B242" s="43">
        <v>10808</v>
      </c>
      <c r="C242" s="34">
        <v>2</v>
      </c>
      <c r="D242" s="43">
        <v>1</v>
      </c>
      <c r="E242" s="48" t="s">
        <v>58</v>
      </c>
      <c r="F242" s="48">
        <v>9</v>
      </c>
      <c r="G242" s="48">
        <f t="shared" si="4"/>
        <v>6963</v>
      </c>
      <c r="H242" s="48">
        <f t="shared" si="5"/>
        <v>773.66666666666663</v>
      </c>
      <c r="I242" s="48" t="s">
        <v>139</v>
      </c>
      <c r="J242" s="48" t="s">
        <v>58</v>
      </c>
      <c r="K242" s="26" t="s">
        <v>58</v>
      </c>
      <c r="L242" s="26" t="s">
        <v>139</v>
      </c>
      <c r="M242" s="26" t="s">
        <v>139</v>
      </c>
      <c r="N242" s="26" t="s">
        <v>3515</v>
      </c>
      <c r="O242" s="26" t="s">
        <v>139</v>
      </c>
      <c r="P242" s="26" t="s">
        <v>139</v>
      </c>
      <c r="Q242" s="48" t="s">
        <v>61</v>
      </c>
      <c r="R242" s="48" t="s">
        <v>61</v>
      </c>
      <c r="S242" s="48" t="s">
        <v>59</v>
      </c>
      <c r="T242" s="48" t="s">
        <v>59</v>
      </c>
      <c r="U242" s="48" t="s">
        <v>61</v>
      </c>
      <c r="V242" s="48" t="s">
        <v>61</v>
      </c>
      <c r="W242" s="48" t="s">
        <v>59</v>
      </c>
      <c r="X242" s="48" t="s">
        <v>59</v>
      </c>
      <c r="Y242" s="69" t="s">
        <v>61</v>
      </c>
      <c r="Z242" s="69" t="s">
        <v>61</v>
      </c>
      <c r="AA242" s="69" t="s">
        <v>61</v>
      </c>
      <c r="AB242" s="69" t="s">
        <v>61</v>
      </c>
      <c r="AC242" s="69" t="s">
        <v>61</v>
      </c>
      <c r="AD242" s="69" t="s">
        <v>61</v>
      </c>
      <c r="AE242" s="69" t="s">
        <v>61</v>
      </c>
      <c r="AF242" s="69" t="s">
        <v>61</v>
      </c>
      <c r="AG242" s="69" t="s">
        <v>61</v>
      </c>
      <c r="AH242" s="69" t="s">
        <v>61</v>
      </c>
      <c r="AI242" s="69" t="s">
        <v>59</v>
      </c>
      <c r="AJ242" s="69" t="s">
        <v>59</v>
      </c>
      <c r="AK242" s="69" t="s">
        <v>59</v>
      </c>
      <c r="AL242" s="69" t="s">
        <v>59</v>
      </c>
      <c r="AM242" s="69" t="s">
        <v>59</v>
      </c>
      <c r="AN242" s="69" t="s">
        <v>59</v>
      </c>
      <c r="AO242" s="69" t="s">
        <v>59</v>
      </c>
      <c r="AP242" s="69" t="s">
        <v>59</v>
      </c>
      <c r="AQ242" s="69" t="s">
        <v>59</v>
      </c>
      <c r="AR242" s="69" t="s">
        <v>59</v>
      </c>
      <c r="AS242" s="69" t="s">
        <v>61</v>
      </c>
      <c r="AT242" s="69" t="s">
        <v>64</v>
      </c>
      <c r="AU242" s="69" t="s">
        <v>59</v>
      </c>
      <c r="AV242" s="69" t="s">
        <v>59</v>
      </c>
      <c r="AW242" s="69" t="s">
        <v>59</v>
      </c>
      <c r="AX242" s="69" t="s">
        <v>59</v>
      </c>
      <c r="AY242" s="69">
        <v>4916</v>
      </c>
      <c r="AZ242" s="69">
        <v>2047</v>
      </c>
      <c r="BA242" s="69" t="s">
        <v>59</v>
      </c>
      <c r="BB242" s="69" t="s">
        <v>59</v>
      </c>
      <c r="BC242" s="69">
        <v>7.1</v>
      </c>
      <c r="BD242" s="69" t="s">
        <v>61</v>
      </c>
      <c r="BE242" s="69" t="s">
        <v>61</v>
      </c>
      <c r="BF242" s="69">
        <v>2</v>
      </c>
      <c r="BG242" s="48">
        <v>1</v>
      </c>
      <c r="BH242" s="69" t="s">
        <v>61</v>
      </c>
      <c r="BI242" s="69" t="s">
        <v>61</v>
      </c>
      <c r="BJ242" s="69" t="s">
        <v>61</v>
      </c>
      <c r="BK242" s="69" t="s">
        <v>61</v>
      </c>
      <c r="BL242" s="69" t="s">
        <v>61</v>
      </c>
      <c r="BM242" s="69" t="s">
        <v>61</v>
      </c>
      <c r="BN242" s="69" t="s">
        <v>61</v>
      </c>
      <c r="BO242" s="69" t="s">
        <v>61</v>
      </c>
      <c r="BP242" s="69">
        <v>7.2</v>
      </c>
      <c r="BQ242" s="69" t="s">
        <v>61</v>
      </c>
      <c r="BR242" s="69" t="s">
        <v>61</v>
      </c>
      <c r="BS242" s="69">
        <v>2</v>
      </c>
      <c r="BT242" s="26">
        <v>1</v>
      </c>
      <c r="BU242" s="69" t="s">
        <v>61</v>
      </c>
      <c r="BV242" s="69" t="s">
        <v>61</v>
      </c>
      <c r="BW242" s="69" t="s">
        <v>61</v>
      </c>
      <c r="BX242" s="69" t="s">
        <v>61</v>
      </c>
      <c r="BY242" s="69" t="s">
        <v>61</v>
      </c>
      <c r="BZ242" s="69" t="s">
        <v>61</v>
      </c>
      <c r="CA242" s="69" t="s">
        <v>61</v>
      </c>
      <c r="CB242" s="69" t="s">
        <v>61</v>
      </c>
      <c r="CC242" s="69" t="s">
        <v>59</v>
      </c>
      <c r="CD242" s="69" t="s">
        <v>59</v>
      </c>
      <c r="CE242" s="69" t="s">
        <v>59</v>
      </c>
      <c r="CF242" s="69"/>
      <c r="CG242" s="69"/>
      <c r="CH242" s="69" t="s">
        <v>59</v>
      </c>
      <c r="CI242" s="69" t="s">
        <v>59</v>
      </c>
      <c r="CJ242" s="69" t="s">
        <v>59</v>
      </c>
      <c r="CK242" s="69" t="s">
        <v>59</v>
      </c>
      <c r="CL242" s="69" t="s">
        <v>59</v>
      </c>
      <c r="CM242" s="69" t="s">
        <v>59</v>
      </c>
      <c r="CN242" s="69" t="s">
        <v>59</v>
      </c>
      <c r="CO242" s="69" t="s">
        <v>59</v>
      </c>
      <c r="CP242" s="69" t="s">
        <v>59</v>
      </c>
      <c r="CQ242" s="69" t="s">
        <v>59</v>
      </c>
      <c r="CR242" s="69" t="s">
        <v>59</v>
      </c>
      <c r="CS242" s="69"/>
      <c r="CT242" s="69"/>
      <c r="CU242" s="69" t="s">
        <v>59</v>
      </c>
      <c r="CV242" s="69" t="s">
        <v>59</v>
      </c>
      <c r="CW242" s="69" t="s">
        <v>59</v>
      </c>
      <c r="CX242" s="69" t="s">
        <v>59</v>
      </c>
      <c r="CY242" s="69" t="s">
        <v>59</v>
      </c>
      <c r="CZ242" s="69" t="s">
        <v>59</v>
      </c>
      <c r="DA242" s="69" t="s">
        <v>59</v>
      </c>
      <c r="DB242" s="69" t="s">
        <v>59</v>
      </c>
      <c r="DC242" s="69">
        <v>24</v>
      </c>
      <c r="DD242" s="55"/>
      <c r="DG242" s="43">
        <v>0.1</v>
      </c>
      <c r="DH242" s="43">
        <v>0.1678</v>
      </c>
      <c r="DI242" s="43" t="s">
        <v>295</v>
      </c>
      <c r="DJ242" s="43">
        <v>0.56999999999999995</v>
      </c>
    </row>
  </sheetData>
  <sortState xmlns:xlrd2="http://schemas.microsoft.com/office/spreadsheetml/2017/richdata2" ref="A2:DJ242">
    <sortCondition ref="E2:E242"/>
    <sortCondition ref="BQ2:BQ242"/>
  </sortState>
  <hyperlinks>
    <hyperlink ref="Q130" r:id="rId1" display="nicolucci@negrisud.it" xr:uid="{00000000-0004-0000-0000-000000000000}"/>
  </hyperlinks>
  <pageMargins left="0.75" right="0.75" top="1" bottom="1" header="0.5" footer="0.5"/>
  <pageSetup orientation="portrait" horizontalDpi="4294967292" verticalDpi="4294967292"/>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98"/>
  <sheetViews>
    <sheetView topLeftCell="A74" workbookViewId="0">
      <selection activeCell="F5" sqref="F5"/>
    </sheetView>
  </sheetViews>
  <sheetFormatPr baseColWidth="10" defaultRowHeight="12"/>
  <cols>
    <col min="1" max="16384" width="10.83203125" style="185"/>
  </cols>
  <sheetData>
    <row r="1" spans="1:14" ht="26">
      <c r="A1" s="174" t="s">
        <v>2415</v>
      </c>
      <c r="B1" s="175" t="s">
        <v>2416</v>
      </c>
      <c r="C1" s="175" t="s">
        <v>2417</v>
      </c>
      <c r="D1" s="175" t="s">
        <v>2418</v>
      </c>
      <c r="E1" s="176" t="s">
        <v>2419</v>
      </c>
      <c r="F1" s="176" t="s">
        <v>2420</v>
      </c>
      <c r="G1" s="176" t="s">
        <v>2421</v>
      </c>
      <c r="H1" s="177" t="s">
        <v>2422</v>
      </c>
      <c r="I1" s="178" t="s">
        <v>2423</v>
      </c>
      <c r="J1" s="178" t="s">
        <v>2424</v>
      </c>
      <c r="K1" s="178" t="s">
        <v>2425</v>
      </c>
      <c r="L1" s="179" t="s">
        <v>2426</v>
      </c>
      <c r="M1" s="179" t="s">
        <v>2427</v>
      </c>
      <c r="N1" s="179" t="s">
        <v>2428</v>
      </c>
    </row>
    <row r="2" spans="1:14" ht="26">
      <c r="A2" s="180" t="s">
        <v>2429</v>
      </c>
      <c r="B2" s="181" t="s">
        <v>2430</v>
      </c>
      <c r="C2" s="180" t="s">
        <v>2430</v>
      </c>
      <c r="D2" s="180" t="s">
        <v>2431</v>
      </c>
      <c r="E2" s="180" t="s">
        <v>2432</v>
      </c>
      <c r="F2" s="180" t="s">
        <v>2433</v>
      </c>
      <c r="G2" s="180" t="s">
        <v>2434</v>
      </c>
      <c r="H2" s="181" t="s">
        <v>2430</v>
      </c>
      <c r="I2" s="180" t="s">
        <v>2430</v>
      </c>
      <c r="J2" s="180" t="s">
        <v>2430</v>
      </c>
      <c r="K2" s="180" t="s">
        <v>2430</v>
      </c>
      <c r="L2" s="180" t="s">
        <v>2435</v>
      </c>
      <c r="M2" s="180" t="s">
        <v>2436</v>
      </c>
      <c r="N2" s="180" t="s">
        <v>2394</v>
      </c>
    </row>
    <row r="3" spans="1:14" ht="39">
      <c r="A3" s="182" t="s">
        <v>2437</v>
      </c>
      <c r="B3" s="180" t="s">
        <v>2438</v>
      </c>
      <c r="C3" s="180" t="s">
        <v>2438</v>
      </c>
      <c r="D3" s="180" t="s">
        <v>2438</v>
      </c>
      <c r="E3" s="180" t="s">
        <v>2439</v>
      </c>
      <c r="F3" s="180" t="s">
        <v>2314</v>
      </c>
      <c r="G3" s="180" t="s">
        <v>2439</v>
      </c>
      <c r="H3" s="181" t="s">
        <v>2430</v>
      </c>
      <c r="I3" s="180" t="s">
        <v>2430</v>
      </c>
      <c r="J3" s="180" t="s">
        <v>2430</v>
      </c>
      <c r="K3" s="180" t="s">
        <v>2430</v>
      </c>
      <c r="L3" s="180" t="s">
        <v>2430</v>
      </c>
      <c r="M3" s="180" t="s">
        <v>2440</v>
      </c>
      <c r="N3" s="180" t="s">
        <v>2430</v>
      </c>
    </row>
    <row r="4" spans="1:14" ht="39">
      <c r="A4" s="182" t="s">
        <v>440</v>
      </c>
      <c r="B4" s="180" t="s">
        <v>2267</v>
      </c>
      <c r="C4" s="180" t="s">
        <v>2267</v>
      </c>
      <c r="D4" s="180" t="s">
        <v>2267</v>
      </c>
      <c r="E4" s="180" t="s">
        <v>2441</v>
      </c>
      <c r="F4" s="180" t="s">
        <v>2442</v>
      </c>
      <c r="G4" s="180" t="s">
        <v>2441</v>
      </c>
      <c r="H4" s="181" t="s">
        <v>2430</v>
      </c>
      <c r="I4" s="180" t="s">
        <v>2430</v>
      </c>
      <c r="J4" s="180" t="s">
        <v>2430</v>
      </c>
      <c r="K4" s="180" t="s">
        <v>2430</v>
      </c>
      <c r="L4" s="180" t="s">
        <v>2430</v>
      </c>
      <c r="M4" s="180" t="s">
        <v>2430</v>
      </c>
      <c r="N4" s="180" t="s">
        <v>2430</v>
      </c>
    </row>
    <row r="5" spans="1:14" ht="26">
      <c r="A5" s="182" t="s">
        <v>441</v>
      </c>
      <c r="B5" s="180" t="s">
        <v>2443</v>
      </c>
      <c r="C5" s="180" t="s">
        <v>2443</v>
      </c>
      <c r="D5" s="180" t="s">
        <v>2443</v>
      </c>
      <c r="E5" s="180" t="s">
        <v>2443</v>
      </c>
      <c r="F5" s="180" t="s">
        <v>2444</v>
      </c>
      <c r="G5" s="180" t="s">
        <v>2443</v>
      </c>
      <c r="H5" s="181" t="s">
        <v>2443</v>
      </c>
      <c r="I5" s="180" t="s">
        <v>2443</v>
      </c>
      <c r="J5" s="180" t="s">
        <v>2443</v>
      </c>
      <c r="K5" s="180" t="s">
        <v>2443</v>
      </c>
      <c r="L5" s="180" t="s">
        <v>2443</v>
      </c>
      <c r="M5" s="180" t="s">
        <v>2443</v>
      </c>
      <c r="N5" s="180" t="s">
        <v>2443</v>
      </c>
    </row>
    <row r="6" spans="1:14" ht="26">
      <c r="A6" s="182" t="s">
        <v>442</v>
      </c>
      <c r="B6" s="180" t="s">
        <v>2278</v>
      </c>
      <c r="C6" s="180" t="s">
        <v>2278</v>
      </c>
      <c r="D6" s="180" t="s">
        <v>2278</v>
      </c>
      <c r="E6" s="180" t="s">
        <v>2278</v>
      </c>
      <c r="F6" s="180" t="s">
        <v>2278</v>
      </c>
      <c r="G6" s="180" t="s">
        <v>2278</v>
      </c>
      <c r="H6" s="181" t="s">
        <v>2445</v>
      </c>
      <c r="I6" s="180" t="s">
        <v>2278</v>
      </c>
      <c r="J6" s="180" t="s">
        <v>2278</v>
      </c>
      <c r="K6" s="180" t="s">
        <v>2278</v>
      </c>
      <c r="L6" s="180" t="s">
        <v>2278</v>
      </c>
      <c r="M6" s="180" t="s">
        <v>2278</v>
      </c>
      <c r="N6" s="180" t="s">
        <v>2278</v>
      </c>
    </row>
    <row r="7" spans="1:14" ht="26">
      <c r="A7" s="182" t="s">
        <v>443</v>
      </c>
      <c r="B7" s="180" t="s">
        <v>2279</v>
      </c>
      <c r="C7" s="180" t="s">
        <v>2279</v>
      </c>
      <c r="D7" s="180" t="s">
        <v>2279</v>
      </c>
      <c r="E7" s="180" t="s">
        <v>2279</v>
      </c>
      <c r="F7" s="180" t="s">
        <v>2279</v>
      </c>
      <c r="G7" s="180" t="s">
        <v>2279</v>
      </c>
      <c r="H7" s="181" t="s">
        <v>2446</v>
      </c>
      <c r="I7" s="180" t="s">
        <v>2279</v>
      </c>
      <c r="J7" s="180" t="s">
        <v>2279</v>
      </c>
      <c r="K7" s="180" t="s">
        <v>2279</v>
      </c>
      <c r="L7" s="180" t="s">
        <v>2279</v>
      </c>
      <c r="M7" s="180" t="s">
        <v>2279</v>
      </c>
      <c r="N7" s="180" t="s">
        <v>2279</v>
      </c>
    </row>
    <row r="8" spans="1:14" ht="26">
      <c r="A8" s="182" t="s">
        <v>2447</v>
      </c>
      <c r="B8" s="180" t="s">
        <v>2280</v>
      </c>
      <c r="C8" s="180" t="s">
        <v>2280</v>
      </c>
      <c r="D8" s="180" t="s">
        <v>2280</v>
      </c>
      <c r="E8" s="180" t="s">
        <v>2280</v>
      </c>
      <c r="F8" s="180" t="s">
        <v>2280</v>
      </c>
      <c r="G8" s="180" t="s">
        <v>2280</v>
      </c>
      <c r="H8" s="181" t="s">
        <v>2356</v>
      </c>
      <c r="I8" s="180" t="s">
        <v>2280</v>
      </c>
      <c r="J8" s="180" t="s">
        <v>2280</v>
      </c>
      <c r="K8" s="180" t="s">
        <v>2280</v>
      </c>
      <c r="L8" s="180" t="s">
        <v>2280</v>
      </c>
      <c r="M8" s="180" t="s">
        <v>2280</v>
      </c>
      <c r="N8" s="180" t="s">
        <v>2280</v>
      </c>
    </row>
    <row r="9" spans="1:14" ht="13">
      <c r="A9" s="180" t="s">
        <v>2448</v>
      </c>
      <c r="B9" s="180" t="s">
        <v>2281</v>
      </c>
      <c r="C9" s="180" t="s">
        <v>2281</v>
      </c>
      <c r="D9" s="180" t="s">
        <v>2281</v>
      </c>
      <c r="E9" s="180" t="s">
        <v>2281</v>
      </c>
      <c r="F9" s="180" t="s">
        <v>2281</v>
      </c>
      <c r="G9" s="180" t="s">
        <v>2281</v>
      </c>
      <c r="H9" s="181" t="s">
        <v>2357</v>
      </c>
      <c r="I9" s="180" t="s">
        <v>2281</v>
      </c>
      <c r="J9" s="180" t="s">
        <v>2281</v>
      </c>
      <c r="K9" s="180" t="s">
        <v>2281</v>
      </c>
      <c r="L9" s="180" t="s">
        <v>2281</v>
      </c>
      <c r="M9" s="180" t="s">
        <v>2281</v>
      </c>
      <c r="N9" s="180" t="s">
        <v>2281</v>
      </c>
    </row>
    <row r="10" spans="1:14" ht="39">
      <c r="A10" s="180" t="s">
        <v>2449</v>
      </c>
      <c r="B10" s="180" t="s">
        <v>2268</v>
      </c>
      <c r="C10" s="180" t="s">
        <v>2268</v>
      </c>
      <c r="D10" s="180" t="s">
        <v>2268</v>
      </c>
      <c r="E10" s="180" t="s">
        <v>2268</v>
      </c>
      <c r="F10" s="180" t="s">
        <v>2268</v>
      </c>
      <c r="G10" s="180" t="s">
        <v>2268</v>
      </c>
      <c r="H10" s="181" t="s">
        <v>2268</v>
      </c>
      <c r="I10" s="180" t="s">
        <v>2268</v>
      </c>
      <c r="J10" s="180" t="s">
        <v>2268</v>
      </c>
      <c r="K10" s="180" t="s">
        <v>2268</v>
      </c>
      <c r="L10" s="180" t="s">
        <v>2268</v>
      </c>
      <c r="M10" s="180" t="s">
        <v>2268</v>
      </c>
      <c r="N10" s="180" t="s">
        <v>2268</v>
      </c>
    </row>
    <row r="11" spans="1:14" ht="39">
      <c r="A11" s="180" t="s">
        <v>2450</v>
      </c>
      <c r="B11" s="180" t="s">
        <v>2269</v>
      </c>
      <c r="C11" s="180" t="s">
        <v>2269</v>
      </c>
      <c r="D11" s="180" t="s">
        <v>2269</v>
      </c>
      <c r="E11" s="180" t="s">
        <v>2269</v>
      </c>
      <c r="F11" s="180" t="s">
        <v>2269</v>
      </c>
      <c r="G11" s="180" t="s">
        <v>2269</v>
      </c>
      <c r="H11" s="181" t="s">
        <v>2269</v>
      </c>
      <c r="I11" s="180" t="s">
        <v>2269</v>
      </c>
      <c r="J11" s="180" t="s">
        <v>2269</v>
      </c>
      <c r="K11" s="180" t="s">
        <v>2269</v>
      </c>
      <c r="L11" s="180" t="s">
        <v>2269</v>
      </c>
      <c r="M11" s="180" t="s">
        <v>2269</v>
      </c>
      <c r="N11" s="180" t="s">
        <v>2269</v>
      </c>
    </row>
    <row r="12" spans="1:14" ht="39">
      <c r="A12" s="180" t="s">
        <v>2451</v>
      </c>
      <c r="B12" s="180" t="s">
        <v>2270</v>
      </c>
      <c r="C12" s="180" t="s">
        <v>2270</v>
      </c>
      <c r="D12" s="180" t="s">
        <v>2270</v>
      </c>
      <c r="E12" s="180" t="s">
        <v>2270</v>
      </c>
      <c r="F12" s="180" t="s">
        <v>2270</v>
      </c>
      <c r="G12" s="180" t="s">
        <v>2270</v>
      </c>
      <c r="H12" s="181" t="s">
        <v>2270</v>
      </c>
      <c r="I12" s="180" t="s">
        <v>2270</v>
      </c>
      <c r="J12" s="180" t="s">
        <v>2270</v>
      </c>
      <c r="K12" s="180" t="s">
        <v>2270</v>
      </c>
      <c r="L12" s="180" t="s">
        <v>2270</v>
      </c>
      <c r="M12" s="180" t="s">
        <v>2270</v>
      </c>
      <c r="N12" s="180" t="s">
        <v>2270</v>
      </c>
    </row>
    <row r="13" spans="1:14" ht="39">
      <c r="A13" s="180" t="s">
        <v>2452</v>
      </c>
      <c r="B13" s="180" t="s">
        <v>2271</v>
      </c>
      <c r="C13" s="180" t="s">
        <v>2271</v>
      </c>
      <c r="D13" s="180" t="s">
        <v>2271</v>
      </c>
      <c r="E13" s="180" t="s">
        <v>2271</v>
      </c>
      <c r="F13" s="180" t="s">
        <v>2271</v>
      </c>
      <c r="G13" s="180" t="s">
        <v>2271</v>
      </c>
      <c r="H13" s="181" t="s">
        <v>2271</v>
      </c>
      <c r="I13" s="180" t="s">
        <v>2271</v>
      </c>
      <c r="J13" s="180" t="s">
        <v>2271</v>
      </c>
      <c r="K13" s="180" t="s">
        <v>2271</v>
      </c>
      <c r="L13" s="180" t="s">
        <v>2271</v>
      </c>
      <c r="M13" s="180" t="s">
        <v>2271</v>
      </c>
      <c r="N13" s="180" t="s">
        <v>2271</v>
      </c>
    </row>
    <row r="14" spans="1:14" ht="39">
      <c r="A14" s="180" t="s">
        <v>2453</v>
      </c>
      <c r="B14" s="180" t="s">
        <v>2454</v>
      </c>
      <c r="C14" s="180" t="s">
        <v>2455</v>
      </c>
      <c r="D14" s="180" t="s">
        <v>2456</v>
      </c>
      <c r="E14" s="180" t="s">
        <v>2315</v>
      </c>
      <c r="F14" s="180" t="s">
        <v>2315</v>
      </c>
      <c r="G14" s="180" t="s">
        <v>2315</v>
      </c>
      <c r="H14" s="181" t="s">
        <v>10</v>
      </c>
      <c r="I14" s="180" t="s">
        <v>2341</v>
      </c>
      <c r="J14" s="180" t="s">
        <v>2358</v>
      </c>
      <c r="K14" s="180" t="s">
        <v>2369</v>
      </c>
      <c r="L14" s="180" t="s">
        <v>2375</v>
      </c>
      <c r="M14" s="180" t="s">
        <v>2457</v>
      </c>
      <c r="N14" s="180" t="s">
        <v>2458</v>
      </c>
    </row>
    <row r="15" spans="1:14" ht="39">
      <c r="A15" s="180" t="s">
        <v>453</v>
      </c>
      <c r="B15" s="180" t="s">
        <v>2459</v>
      </c>
      <c r="C15" s="180" t="s">
        <v>2460</v>
      </c>
      <c r="D15" s="180" t="s">
        <v>2461</v>
      </c>
      <c r="E15" s="180" t="s">
        <v>2462</v>
      </c>
      <c r="F15" s="180" t="s">
        <v>2462</v>
      </c>
      <c r="G15" s="180" t="s">
        <v>2462</v>
      </c>
      <c r="H15" s="181" t="s">
        <v>2463</v>
      </c>
      <c r="I15" s="180" t="s">
        <v>2464</v>
      </c>
      <c r="J15" s="180" t="s">
        <v>2465</v>
      </c>
      <c r="K15" s="180" t="s">
        <v>2466</v>
      </c>
      <c r="L15" s="180" t="s">
        <v>2467</v>
      </c>
      <c r="M15" s="180" t="s">
        <v>2468</v>
      </c>
      <c r="N15" s="180" t="s">
        <v>2469</v>
      </c>
    </row>
    <row r="16" spans="1:14" ht="26">
      <c r="A16" s="180" t="s">
        <v>2470</v>
      </c>
      <c r="B16" s="180" t="s">
        <v>2430</v>
      </c>
      <c r="C16" s="180" t="s">
        <v>2430</v>
      </c>
      <c r="D16" s="180" t="s">
        <v>2430</v>
      </c>
      <c r="E16" s="180" t="s">
        <v>2430</v>
      </c>
      <c r="F16" s="180" t="s">
        <v>2430</v>
      </c>
      <c r="G16" s="180" t="s">
        <v>2430</v>
      </c>
      <c r="H16" s="181" t="s">
        <v>2471</v>
      </c>
      <c r="I16" s="180" t="s">
        <v>2472</v>
      </c>
      <c r="J16" s="180" t="s">
        <v>2473</v>
      </c>
      <c r="K16" s="180" t="s">
        <v>2474</v>
      </c>
      <c r="L16" s="180" t="s">
        <v>2430</v>
      </c>
      <c r="M16" s="180" t="s">
        <v>2430</v>
      </c>
      <c r="N16" s="180" t="s">
        <v>2430</v>
      </c>
    </row>
    <row r="17" spans="1:14" ht="52">
      <c r="A17" s="180" t="s">
        <v>2475</v>
      </c>
      <c r="B17" s="180" t="s">
        <v>2476</v>
      </c>
      <c r="C17" s="180" t="s">
        <v>2284</v>
      </c>
      <c r="D17" s="180" t="s">
        <v>2477</v>
      </c>
      <c r="E17" s="180" t="s">
        <v>2316</v>
      </c>
      <c r="F17" s="180" t="s">
        <v>2316</v>
      </c>
      <c r="G17" s="180" t="s">
        <v>2316</v>
      </c>
      <c r="H17" s="181" t="s">
        <v>2478</v>
      </c>
      <c r="I17" s="180" t="s">
        <v>2479</v>
      </c>
      <c r="J17" s="180" t="s">
        <v>2480</v>
      </c>
      <c r="K17" s="180" t="s">
        <v>2481</v>
      </c>
      <c r="L17" s="180" t="s">
        <v>2376</v>
      </c>
      <c r="M17" s="180" t="s">
        <v>2482</v>
      </c>
      <c r="N17" s="180" t="s">
        <v>2395</v>
      </c>
    </row>
    <row r="18" spans="1:14" ht="39">
      <c r="A18" s="180" t="s">
        <v>2483</v>
      </c>
      <c r="B18" s="180" t="s">
        <v>2484</v>
      </c>
      <c r="C18" s="180" t="s">
        <v>2285</v>
      </c>
      <c r="D18" s="180" t="s">
        <v>2485</v>
      </c>
      <c r="E18" s="180" t="s">
        <v>2317</v>
      </c>
      <c r="F18" s="180" t="s">
        <v>2317</v>
      </c>
      <c r="G18" s="180" t="s">
        <v>2317</v>
      </c>
      <c r="H18" s="181" t="s">
        <v>2486</v>
      </c>
      <c r="I18" s="180" t="s">
        <v>2487</v>
      </c>
      <c r="J18" s="180" t="s">
        <v>2488</v>
      </c>
      <c r="K18" s="180" t="s">
        <v>2489</v>
      </c>
      <c r="L18" s="180" t="s">
        <v>2490</v>
      </c>
      <c r="M18" s="180" t="s">
        <v>2491</v>
      </c>
      <c r="N18" s="180" t="s">
        <v>2396</v>
      </c>
    </row>
    <row r="19" spans="1:14" ht="39">
      <c r="A19" s="180" t="s">
        <v>2492</v>
      </c>
      <c r="B19" s="180" t="s">
        <v>2493</v>
      </c>
      <c r="C19" s="180" t="s">
        <v>2494</v>
      </c>
      <c r="D19" s="180" t="s">
        <v>2495</v>
      </c>
      <c r="E19" s="180" t="s">
        <v>2318</v>
      </c>
      <c r="F19" s="180" t="s">
        <v>2318</v>
      </c>
      <c r="G19" s="180" t="s">
        <v>2318</v>
      </c>
      <c r="H19" s="181" t="s">
        <v>11</v>
      </c>
      <c r="I19" s="180" t="s">
        <v>2342</v>
      </c>
      <c r="J19" s="180" t="s">
        <v>2359</v>
      </c>
      <c r="K19" s="180" t="s">
        <v>2370</v>
      </c>
      <c r="L19" s="180" t="s">
        <v>2377</v>
      </c>
      <c r="M19" s="180" t="s">
        <v>2496</v>
      </c>
      <c r="N19" s="180" t="s">
        <v>2397</v>
      </c>
    </row>
    <row r="20" spans="1:14" ht="39">
      <c r="A20" s="180" t="s">
        <v>2497</v>
      </c>
      <c r="B20" s="180" t="s">
        <v>2498</v>
      </c>
      <c r="C20" s="180" t="s">
        <v>2499</v>
      </c>
      <c r="D20" s="180" t="s">
        <v>2500</v>
      </c>
      <c r="E20" s="180" t="s">
        <v>2501</v>
      </c>
      <c r="F20" s="180" t="s">
        <v>2501</v>
      </c>
      <c r="G20" s="180" t="s">
        <v>2501</v>
      </c>
      <c r="H20" s="181" t="s">
        <v>2502</v>
      </c>
      <c r="I20" s="180" t="s">
        <v>2503</v>
      </c>
      <c r="J20" s="180" t="s">
        <v>2504</v>
      </c>
      <c r="K20" s="180" t="s">
        <v>2505</v>
      </c>
      <c r="L20" s="180" t="s">
        <v>2506</v>
      </c>
      <c r="M20" s="180" t="s">
        <v>2507</v>
      </c>
      <c r="N20" s="180" t="s">
        <v>2508</v>
      </c>
    </row>
    <row r="21" spans="1:14" ht="26">
      <c r="A21" s="180" t="s">
        <v>6</v>
      </c>
      <c r="B21" s="180" t="s">
        <v>2430</v>
      </c>
      <c r="C21" s="180" t="s">
        <v>2430</v>
      </c>
      <c r="D21" s="180" t="s">
        <v>2430</v>
      </c>
      <c r="E21" s="180" t="s">
        <v>2430</v>
      </c>
      <c r="F21" s="180" t="s">
        <v>2430</v>
      </c>
      <c r="G21" s="180" t="s">
        <v>2430</v>
      </c>
      <c r="H21" s="181" t="s">
        <v>2509</v>
      </c>
      <c r="I21" s="180" t="s">
        <v>2510</v>
      </c>
      <c r="J21" s="180" t="s">
        <v>2511</v>
      </c>
      <c r="K21" s="180" t="s">
        <v>2512</v>
      </c>
      <c r="L21" s="180" t="s">
        <v>2430</v>
      </c>
      <c r="M21" s="180" t="s">
        <v>2430</v>
      </c>
      <c r="N21" s="180" t="s">
        <v>2430</v>
      </c>
    </row>
    <row r="22" spans="1:14" ht="52">
      <c r="A22" s="180" t="s">
        <v>7</v>
      </c>
      <c r="B22" s="180" t="s">
        <v>2513</v>
      </c>
      <c r="C22" s="180" t="s">
        <v>2286</v>
      </c>
      <c r="D22" s="180" t="s">
        <v>2514</v>
      </c>
      <c r="E22" s="180" t="s">
        <v>2319</v>
      </c>
      <c r="F22" s="180" t="s">
        <v>2319</v>
      </c>
      <c r="G22" s="180" t="s">
        <v>2319</v>
      </c>
      <c r="H22" s="181" t="s">
        <v>2515</v>
      </c>
      <c r="I22" s="180" t="s">
        <v>2516</v>
      </c>
      <c r="J22" s="180" t="s">
        <v>2517</v>
      </c>
      <c r="K22" s="180" t="s">
        <v>2518</v>
      </c>
      <c r="L22" s="180" t="s">
        <v>2378</v>
      </c>
      <c r="M22" s="180" t="s">
        <v>2519</v>
      </c>
      <c r="N22" s="180" t="s">
        <v>2398</v>
      </c>
    </row>
    <row r="23" spans="1:14" ht="39">
      <c r="A23" s="180" t="s">
        <v>8</v>
      </c>
      <c r="B23" s="180" t="s">
        <v>2520</v>
      </c>
      <c r="C23" s="180" t="s">
        <v>2287</v>
      </c>
      <c r="D23" s="180" t="s">
        <v>2521</v>
      </c>
      <c r="E23" s="180" t="s">
        <v>2320</v>
      </c>
      <c r="F23" s="180" t="s">
        <v>2522</v>
      </c>
      <c r="G23" s="180" t="s">
        <v>2320</v>
      </c>
      <c r="H23" s="181" t="s">
        <v>2523</v>
      </c>
      <c r="I23" s="180" t="s">
        <v>2524</v>
      </c>
      <c r="J23" s="180" t="s">
        <v>2525</v>
      </c>
      <c r="K23" s="180" t="s">
        <v>2526</v>
      </c>
      <c r="L23" s="180" t="s">
        <v>2379</v>
      </c>
      <c r="M23" s="180" t="s">
        <v>2527</v>
      </c>
      <c r="N23" s="180" t="s">
        <v>2399</v>
      </c>
    </row>
    <row r="24" spans="1:14" ht="39">
      <c r="A24" s="180" t="s">
        <v>9</v>
      </c>
      <c r="B24" s="180" t="s">
        <v>2528</v>
      </c>
      <c r="C24" s="180" t="s">
        <v>2529</v>
      </c>
      <c r="D24" s="180" t="s">
        <v>2530</v>
      </c>
      <c r="E24" s="180" t="s">
        <v>2531</v>
      </c>
      <c r="F24" s="180" t="s">
        <v>2321</v>
      </c>
      <c r="G24" s="180" t="s">
        <v>2321</v>
      </c>
      <c r="H24" s="181" t="s">
        <v>12</v>
      </c>
      <c r="I24" s="180" t="s">
        <v>2532</v>
      </c>
      <c r="J24" s="180" t="s">
        <v>2533</v>
      </c>
      <c r="K24" s="180" t="s">
        <v>2534</v>
      </c>
      <c r="L24" s="180" t="s">
        <v>2535</v>
      </c>
      <c r="M24" s="180" t="s">
        <v>2536</v>
      </c>
      <c r="N24" s="180" t="s">
        <v>2400</v>
      </c>
    </row>
    <row r="25" spans="1:14" ht="39">
      <c r="A25" s="180" t="s">
        <v>2537</v>
      </c>
      <c r="B25" s="180" t="s">
        <v>2538</v>
      </c>
      <c r="C25" s="180" t="s">
        <v>2539</v>
      </c>
      <c r="D25" s="180" t="s">
        <v>2540</v>
      </c>
      <c r="E25" s="180" t="s">
        <v>2541</v>
      </c>
      <c r="F25" s="180" t="s">
        <v>2541</v>
      </c>
      <c r="G25" s="180" t="s">
        <v>2541</v>
      </c>
      <c r="H25" s="181" t="s">
        <v>2542</v>
      </c>
      <c r="I25" s="180" t="s">
        <v>2543</v>
      </c>
      <c r="J25" s="180" t="s">
        <v>2544</v>
      </c>
      <c r="K25" s="180" t="s">
        <v>2545</v>
      </c>
      <c r="L25" s="180" t="s">
        <v>2546</v>
      </c>
      <c r="M25" s="180" t="s">
        <v>2547</v>
      </c>
      <c r="N25" s="180" t="s">
        <v>2548</v>
      </c>
    </row>
    <row r="26" spans="1:14" ht="26">
      <c r="A26" s="180" t="s">
        <v>2549</v>
      </c>
      <c r="B26" s="180" t="s">
        <v>2430</v>
      </c>
      <c r="C26" s="180" t="s">
        <v>2430</v>
      </c>
      <c r="D26" s="180" t="s">
        <v>2430</v>
      </c>
      <c r="E26" s="180" t="s">
        <v>2430</v>
      </c>
      <c r="F26" s="180" t="s">
        <v>2430</v>
      </c>
      <c r="G26" s="180" t="s">
        <v>2430</v>
      </c>
      <c r="H26" s="181" t="s">
        <v>2550</v>
      </c>
      <c r="I26" s="180" t="s">
        <v>2551</v>
      </c>
      <c r="J26" s="180" t="s">
        <v>2552</v>
      </c>
      <c r="K26" s="180" t="s">
        <v>2553</v>
      </c>
      <c r="L26" s="180" t="s">
        <v>2430</v>
      </c>
      <c r="M26" s="180" t="s">
        <v>2430</v>
      </c>
      <c r="N26" s="180" t="s">
        <v>2430</v>
      </c>
    </row>
    <row r="27" spans="1:14" ht="52">
      <c r="A27" s="180" t="s">
        <v>2554</v>
      </c>
      <c r="B27" s="180" t="s">
        <v>2555</v>
      </c>
      <c r="C27" s="180" t="s">
        <v>2288</v>
      </c>
      <c r="D27" s="180" t="s">
        <v>2556</v>
      </c>
      <c r="E27" s="180" t="s">
        <v>2557</v>
      </c>
      <c r="F27" s="180" t="s">
        <v>2322</v>
      </c>
      <c r="G27" s="180" t="s">
        <v>2322</v>
      </c>
      <c r="H27" s="181" t="s">
        <v>2558</v>
      </c>
      <c r="I27" s="180" t="s">
        <v>2559</v>
      </c>
      <c r="J27" s="180" t="s">
        <v>2560</v>
      </c>
      <c r="K27" s="180" t="s">
        <v>2561</v>
      </c>
      <c r="L27" s="180" t="s">
        <v>2380</v>
      </c>
      <c r="M27" s="180" t="s">
        <v>2562</v>
      </c>
      <c r="N27" s="180" t="s">
        <v>2401</v>
      </c>
    </row>
    <row r="28" spans="1:14" ht="39">
      <c r="A28" s="180" t="s">
        <v>2563</v>
      </c>
      <c r="B28" s="180" t="s">
        <v>2564</v>
      </c>
      <c r="C28" s="180" t="s">
        <v>2289</v>
      </c>
      <c r="D28" s="180" t="s">
        <v>2565</v>
      </c>
      <c r="E28" s="180" t="s">
        <v>2323</v>
      </c>
      <c r="F28" s="180" t="s">
        <v>2323</v>
      </c>
      <c r="G28" s="180" t="s">
        <v>2323</v>
      </c>
      <c r="H28" s="181" t="s">
        <v>2566</v>
      </c>
      <c r="I28" s="180" t="s">
        <v>2567</v>
      </c>
      <c r="J28" s="180" t="s">
        <v>2568</v>
      </c>
      <c r="K28" s="180" t="s">
        <v>2569</v>
      </c>
      <c r="L28" s="180" t="s">
        <v>2381</v>
      </c>
      <c r="M28" s="180" t="s">
        <v>2570</v>
      </c>
      <c r="N28" s="180" t="s">
        <v>2402</v>
      </c>
    </row>
    <row r="29" spans="1:14" ht="39">
      <c r="A29" s="180" t="s">
        <v>2277</v>
      </c>
      <c r="B29" s="180" t="s">
        <v>2571</v>
      </c>
      <c r="C29" s="180" t="s">
        <v>2572</v>
      </c>
      <c r="D29" s="180" t="s">
        <v>2573</v>
      </c>
      <c r="E29" s="180" t="s">
        <v>2574</v>
      </c>
      <c r="F29" s="180" t="s">
        <v>2574</v>
      </c>
      <c r="G29" s="180" t="s">
        <v>2574</v>
      </c>
      <c r="H29" s="181" t="s">
        <v>13</v>
      </c>
      <c r="I29" s="180" t="s">
        <v>2575</v>
      </c>
      <c r="J29" s="180" t="s">
        <v>2576</v>
      </c>
      <c r="K29" s="180" t="s">
        <v>2577</v>
      </c>
      <c r="L29" s="180" t="s">
        <v>2578</v>
      </c>
      <c r="M29" s="180" t="s">
        <v>2579</v>
      </c>
      <c r="N29" s="180" t="s">
        <v>2403</v>
      </c>
    </row>
    <row r="30" spans="1:14" ht="39">
      <c r="A30" s="180" t="s">
        <v>2580</v>
      </c>
      <c r="B30" s="180" t="s">
        <v>2581</v>
      </c>
      <c r="C30" s="180" t="s">
        <v>2582</v>
      </c>
      <c r="D30" s="180" t="s">
        <v>2583</v>
      </c>
      <c r="E30" s="180" t="s">
        <v>2584</v>
      </c>
      <c r="F30" s="180" t="s">
        <v>2584</v>
      </c>
      <c r="G30" s="180" t="s">
        <v>2584</v>
      </c>
      <c r="H30" s="181" t="s">
        <v>2585</v>
      </c>
      <c r="I30" s="180" t="s">
        <v>2586</v>
      </c>
      <c r="J30" s="180" t="s">
        <v>2587</v>
      </c>
      <c r="K30" s="180" t="s">
        <v>2588</v>
      </c>
      <c r="L30" s="180" t="s">
        <v>2589</v>
      </c>
      <c r="M30" s="180" t="s">
        <v>2590</v>
      </c>
      <c r="N30" s="180" t="s">
        <v>2591</v>
      </c>
    </row>
    <row r="31" spans="1:14" ht="26">
      <c r="A31" s="183" t="s">
        <v>2592</v>
      </c>
      <c r="B31" s="180" t="s">
        <v>2430</v>
      </c>
      <c r="C31" s="180" t="s">
        <v>2430</v>
      </c>
      <c r="D31" s="180" t="s">
        <v>2430</v>
      </c>
      <c r="E31" s="180" t="s">
        <v>2430</v>
      </c>
      <c r="F31" s="180" t="s">
        <v>2430</v>
      </c>
      <c r="G31" s="180" t="s">
        <v>2430</v>
      </c>
      <c r="H31" s="181" t="s">
        <v>2593</v>
      </c>
      <c r="I31" s="180" t="s">
        <v>2594</v>
      </c>
      <c r="J31" s="180" t="s">
        <v>2595</v>
      </c>
      <c r="K31" s="180" t="s">
        <v>2596</v>
      </c>
      <c r="L31" s="180" t="s">
        <v>2430</v>
      </c>
      <c r="M31" s="180" t="s">
        <v>2430</v>
      </c>
      <c r="N31" s="180" t="s">
        <v>2430</v>
      </c>
    </row>
    <row r="32" spans="1:14" ht="52">
      <c r="A32" s="183" t="s">
        <v>2597</v>
      </c>
      <c r="B32" s="180" t="s">
        <v>2598</v>
      </c>
      <c r="C32" s="180" t="s">
        <v>2290</v>
      </c>
      <c r="D32" s="180" t="s">
        <v>2599</v>
      </c>
      <c r="E32" s="180" t="s">
        <v>2324</v>
      </c>
      <c r="F32" s="180" t="s">
        <v>2324</v>
      </c>
      <c r="G32" s="180" t="s">
        <v>2324</v>
      </c>
      <c r="H32" s="181" t="s">
        <v>2600</v>
      </c>
      <c r="I32" s="180" t="s">
        <v>2601</v>
      </c>
      <c r="J32" s="180" t="s">
        <v>2602</v>
      </c>
      <c r="K32" s="180" t="s">
        <v>2603</v>
      </c>
      <c r="L32" s="180" t="s">
        <v>2382</v>
      </c>
      <c r="M32" s="180" t="s">
        <v>2604</v>
      </c>
      <c r="N32" s="180" t="s">
        <v>2404</v>
      </c>
    </row>
    <row r="33" spans="1:14" ht="39">
      <c r="A33" s="183" t="s">
        <v>2605</v>
      </c>
      <c r="B33" s="180" t="s">
        <v>2606</v>
      </c>
      <c r="C33" s="180" t="s">
        <v>2291</v>
      </c>
      <c r="D33" s="180" t="s">
        <v>2607</v>
      </c>
      <c r="E33" s="180" t="s">
        <v>2325</v>
      </c>
      <c r="F33" s="180" t="s">
        <v>2325</v>
      </c>
      <c r="G33" s="180" t="s">
        <v>2325</v>
      </c>
      <c r="H33" s="181" t="s">
        <v>2608</v>
      </c>
      <c r="I33" s="180" t="s">
        <v>2609</v>
      </c>
      <c r="J33" s="180" t="s">
        <v>2610</v>
      </c>
      <c r="K33" s="180" t="s">
        <v>2611</v>
      </c>
      <c r="L33" s="180" t="s">
        <v>2383</v>
      </c>
      <c r="M33" s="180" t="s">
        <v>2612</v>
      </c>
      <c r="N33" s="180" t="s">
        <v>2405</v>
      </c>
    </row>
    <row r="34" spans="1:14" ht="65">
      <c r="A34" s="183" t="s">
        <v>2613</v>
      </c>
      <c r="B34" s="180" t="s">
        <v>2430</v>
      </c>
      <c r="C34" s="180" t="s">
        <v>2430</v>
      </c>
      <c r="D34" s="180" t="s">
        <v>2430</v>
      </c>
      <c r="E34" s="180" t="s">
        <v>2430</v>
      </c>
      <c r="F34" s="180" t="s">
        <v>2430</v>
      </c>
      <c r="G34" s="180" t="s">
        <v>2430</v>
      </c>
      <c r="H34" s="181" t="s">
        <v>2614</v>
      </c>
      <c r="I34" s="181" t="s">
        <v>2614</v>
      </c>
      <c r="J34" s="181" t="s">
        <v>2614</v>
      </c>
      <c r="K34" s="181" t="s">
        <v>2614</v>
      </c>
      <c r="L34" s="180" t="s">
        <v>2430</v>
      </c>
      <c r="M34" s="180" t="s">
        <v>2430</v>
      </c>
      <c r="N34" s="180" t="s">
        <v>2430</v>
      </c>
    </row>
    <row r="35" spans="1:14" ht="52">
      <c r="A35" s="180" t="s">
        <v>2615</v>
      </c>
      <c r="B35" s="180" t="s">
        <v>2430</v>
      </c>
      <c r="C35" s="180" t="s">
        <v>2430</v>
      </c>
      <c r="D35" s="180" t="s">
        <v>2430</v>
      </c>
      <c r="E35" s="180" t="s">
        <v>2430</v>
      </c>
      <c r="F35" s="180" t="s">
        <v>2430</v>
      </c>
      <c r="G35" s="180" t="s">
        <v>2430</v>
      </c>
      <c r="H35" s="181" t="s">
        <v>15</v>
      </c>
      <c r="I35" s="181" t="s">
        <v>15</v>
      </c>
      <c r="J35" s="181" t="s">
        <v>15</v>
      </c>
      <c r="K35" s="181" t="s">
        <v>15</v>
      </c>
      <c r="L35" s="180" t="s">
        <v>2430</v>
      </c>
      <c r="M35" s="180" t="s">
        <v>2430</v>
      </c>
      <c r="N35" s="180" t="s">
        <v>2430</v>
      </c>
    </row>
    <row r="36" spans="1:14" ht="65">
      <c r="A36" s="184"/>
      <c r="B36" s="180" t="s">
        <v>2430</v>
      </c>
      <c r="C36" s="180" t="s">
        <v>2430</v>
      </c>
      <c r="D36" s="180" t="s">
        <v>2430</v>
      </c>
      <c r="E36" s="180" t="s">
        <v>2430</v>
      </c>
      <c r="F36" s="180" t="s">
        <v>2430</v>
      </c>
      <c r="G36" s="180" t="s">
        <v>2430</v>
      </c>
      <c r="H36" s="181" t="s">
        <v>2616</v>
      </c>
      <c r="I36" s="181" t="s">
        <v>2616</v>
      </c>
      <c r="J36" s="181" t="s">
        <v>2616</v>
      </c>
      <c r="K36" s="181" t="s">
        <v>2616</v>
      </c>
      <c r="L36" s="180" t="s">
        <v>2430</v>
      </c>
      <c r="M36" s="180" t="s">
        <v>2430</v>
      </c>
      <c r="N36" s="180" t="s">
        <v>2430</v>
      </c>
    </row>
    <row r="37" spans="1:14" ht="13">
      <c r="A37" s="184"/>
      <c r="B37" s="180" t="s">
        <v>2430</v>
      </c>
      <c r="C37" s="180" t="s">
        <v>2430</v>
      </c>
      <c r="D37" s="180" t="s">
        <v>2430</v>
      </c>
      <c r="E37" s="180" t="s">
        <v>2430</v>
      </c>
      <c r="F37" s="180" t="s">
        <v>2430</v>
      </c>
      <c r="G37" s="180" t="s">
        <v>2430</v>
      </c>
      <c r="H37" s="181" t="s">
        <v>15</v>
      </c>
      <c r="I37" s="181" t="s">
        <v>15</v>
      </c>
      <c r="J37" s="181" t="s">
        <v>15</v>
      </c>
      <c r="K37" s="181" t="s">
        <v>15</v>
      </c>
      <c r="L37" s="180" t="s">
        <v>2430</v>
      </c>
      <c r="M37" s="180" t="s">
        <v>2430</v>
      </c>
      <c r="N37" s="180" t="s">
        <v>2430</v>
      </c>
    </row>
    <row r="38" spans="1:14" ht="65">
      <c r="A38" s="184"/>
      <c r="B38" s="180" t="s">
        <v>2430</v>
      </c>
      <c r="C38" s="180" t="s">
        <v>2430</v>
      </c>
      <c r="D38" s="180" t="s">
        <v>2430</v>
      </c>
      <c r="E38" s="180" t="s">
        <v>2430</v>
      </c>
      <c r="F38" s="180" t="s">
        <v>2430</v>
      </c>
      <c r="G38" s="180" t="s">
        <v>2430</v>
      </c>
      <c r="H38" s="181" t="s">
        <v>2617</v>
      </c>
      <c r="I38" s="181" t="s">
        <v>2617</v>
      </c>
      <c r="J38" s="181" t="s">
        <v>2617</v>
      </c>
      <c r="K38" s="181" t="s">
        <v>2617</v>
      </c>
      <c r="L38" s="180" t="s">
        <v>2430</v>
      </c>
      <c r="M38" s="180" t="s">
        <v>2430</v>
      </c>
      <c r="N38" s="180" t="s">
        <v>2430</v>
      </c>
    </row>
    <row r="39" spans="1:14" ht="13">
      <c r="A39" s="184"/>
      <c r="B39" s="180" t="s">
        <v>2430</v>
      </c>
      <c r="C39" s="180" t="s">
        <v>2430</v>
      </c>
      <c r="D39" s="180" t="s">
        <v>2430</v>
      </c>
      <c r="E39" s="180" t="s">
        <v>2430</v>
      </c>
      <c r="F39" s="180" t="s">
        <v>2430</v>
      </c>
      <c r="G39" s="180" t="s">
        <v>2430</v>
      </c>
      <c r="H39" s="181" t="s">
        <v>15</v>
      </c>
      <c r="I39" s="181" t="s">
        <v>15</v>
      </c>
      <c r="J39" s="181" t="s">
        <v>15</v>
      </c>
      <c r="K39" s="181" t="s">
        <v>15</v>
      </c>
      <c r="L39" s="180" t="s">
        <v>2430</v>
      </c>
      <c r="M39" s="180" t="s">
        <v>2430</v>
      </c>
      <c r="N39" s="180" t="s">
        <v>2430</v>
      </c>
    </row>
    <row r="40" spans="1:14" ht="13">
      <c r="A40" s="184"/>
      <c r="B40" s="180" t="s">
        <v>18</v>
      </c>
      <c r="C40" s="180" t="s">
        <v>18</v>
      </c>
      <c r="D40" s="180" t="s">
        <v>18</v>
      </c>
      <c r="E40" s="180" t="s">
        <v>18</v>
      </c>
      <c r="F40" s="180" t="s">
        <v>18</v>
      </c>
      <c r="G40" s="180" t="s">
        <v>18</v>
      </c>
      <c r="H40" s="181" t="s">
        <v>2618</v>
      </c>
      <c r="I40" s="180" t="s">
        <v>18</v>
      </c>
      <c r="J40" s="180" t="s">
        <v>18</v>
      </c>
      <c r="K40" s="180" t="s">
        <v>18</v>
      </c>
      <c r="L40" s="180" t="s">
        <v>18</v>
      </c>
      <c r="M40" s="180" t="s">
        <v>18</v>
      </c>
      <c r="N40" s="180" t="s">
        <v>18</v>
      </c>
    </row>
    <row r="41" spans="1:14" ht="13">
      <c r="A41" s="184"/>
      <c r="B41" s="180" t="s">
        <v>19</v>
      </c>
      <c r="C41" s="180" t="s">
        <v>19</v>
      </c>
      <c r="D41" s="180" t="s">
        <v>19</v>
      </c>
      <c r="E41" s="180" t="s">
        <v>19</v>
      </c>
      <c r="F41" s="180" t="s">
        <v>19</v>
      </c>
      <c r="G41" s="180" t="s">
        <v>19</v>
      </c>
      <c r="H41" s="181" t="s">
        <v>2619</v>
      </c>
      <c r="I41" s="180" t="s">
        <v>19</v>
      </c>
      <c r="J41" s="180" t="s">
        <v>19</v>
      </c>
      <c r="K41" s="180" t="s">
        <v>19</v>
      </c>
      <c r="L41" s="180" t="s">
        <v>19</v>
      </c>
      <c r="M41" s="180" t="s">
        <v>19</v>
      </c>
      <c r="N41" s="180" t="s">
        <v>19</v>
      </c>
    </row>
    <row r="42" spans="1:14" ht="13">
      <c r="A42" s="184"/>
      <c r="B42" s="180" t="s">
        <v>20</v>
      </c>
      <c r="C42" s="180" t="s">
        <v>20</v>
      </c>
      <c r="D42" s="180" t="s">
        <v>20</v>
      </c>
      <c r="E42" s="180" t="s">
        <v>20</v>
      </c>
      <c r="F42" s="180" t="s">
        <v>20</v>
      </c>
      <c r="G42" s="180" t="s">
        <v>20</v>
      </c>
      <c r="H42" s="181" t="s">
        <v>2620</v>
      </c>
      <c r="I42" s="180" t="s">
        <v>20</v>
      </c>
      <c r="J42" s="180" t="s">
        <v>20</v>
      </c>
      <c r="K42" s="180" t="s">
        <v>20</v>
      </c>
      <c r="L42" s="180" t="s">
        <v>20</v>
      </c>
      <c r="M42" s="180" t="s">
        <v>20</v>
      </c>
      <c r="N42" s="180" t="s">
        <v>20</v>
      </c>
    </row>
    <row r="43" spans="1:14" ht="13">
      <c r="A43" s="184"/>
      <c r="B43" s="180" t="s">
        <v>21</v>
      </c>
      <c r="C43" s="180" t="s">
        <v>21</v>
      </c>
      <c r="D43" s="180" t="s">
        <v>21</v>
      </c>
      <c r="E43" s="180" t="s">
        <v>21</v>
      </c>
      <c r="F43" s="180" t="s">
        <v>21</v>
      </c>
      <c r="G43" s="180" t="s">
        <v>21</v>
      </c>
      <c r="H43" s="181" t="s">
        <v>2621</v>
      </c>
      <c r="I43" s="180" t="s">
        <v>21</v>
      </c>
      <c r="J43" s="180" t="s">
        <v>21</v>
      </c>
      <c r="K43" s="180" t="s">
        <v>21</v>
      </c>
      <c r="L43" s="180" t="s">
        <v>21</v>
      </c>
      <c r="M43" s="180" t="s">
        <v>21</v>
      </c>
      <c r="N43" s="180" t="s">
        <v>21</v>
      </c>
    </row>
    <row r="44" spans="1:14" ht="39">
      <c r="A44" s="184"/>
      <c r="B44" s="180" t="s">
        <v>2272</v>
      </c>
      <c r="C44" s="180" t="s">
        <v>2292</v>
      </c>
      <c r="D44" s="180" t="s">
        <v>2302</v>
      </c>
      <c r="E44" s="180" t="s">
        <v>2326</v>
      </c>
      <c r="F44" s="180" t="s">
        <v>2326</v>
      </c>
      <c r="G44" s="180" t="s">
        <v>2326</v>
      </c>
      <c r="H44" s="181" t="s">
        <v>22</v>
      </c>
      <c r="I44" s="180" t="s">
        <v>2343</v>
      </c>
      <c r="J44" s="180" t="s">
        <v>2360</v>
      </c>
      <c r="K44" s="180" t="s">
        <v>2371</v>
      </c>
      <c r="L44" s="180" t="s">
        <v>2384</v>
      </c>
      <c r="M44" s="180" t="s">
        <v>2622</v>
      </c>
      <c r="N44" s="180" t="s">
        <v>2406</v>
      </c>
    </row>
    <row r="45" spans="1:14" ht="39">
      <c r="A45" s="184"/>
      <c r="B45" s="180" t="s">
        <v>2623</v>
      </c>
      <c r="C45" s="180" t="s">
        <v>2624</v>
      </c>
      <c r="D45" s="180" t="s">
        <v>2625</v>
      </c>
      <c r="E45" s="180" t="s">
        <v>2626</v>
      </c>
      <c r="F45" s="180" t="s">
        <v>2626</v>
      </c>
      <c r="G45" s="180" t="s">
        <v>2626</v>
      </c>
      <c r="H45" s="181" t="s">
        <v>2627</v>
      </c>
      <c r="I45" s="180" t="s">
        <v>2628</v>
      </c>
      <c r="J45" s="180" t="s">
        <v>2629</v>
      </c>
      <c r="K45" s="180" t="s">
        <v>2630</v>
      </c>
      <c r="L45" s="180" t="s">
        <v>2631</v>
      </c>
      <c r="M45" s="180" t="s">
        <v>2632</v>
      </c>
      <c r="N45" s="180" t="s">
        <v>2633</v>
      </c>
    </row>
    <row r="46" spans="1:14" ht="39">
      <c r="A46" s="184"/>
      <c r="B46" s="180" t="s">
        <v>2430</v>
      </c>
      <c r="C46" s="180" t="s">
        <v>2430</v>
      </c>
      <c r="D46" s="180" t="s">
        <v>2430</v>
      </c>
      <c r="E46" s="180" t="s">
        <v>2430</v>
      </c>
      <c r="F46" s="180" t="s">
        <v>2430</v>
      </c>
      <c r="G46" s="180" t="s">
        <v>2430</v>
      </c>
      <c r="H46" s="181" t="s">
        <v>2634</v>
      </c>
      <c r="I46" s="180" t="s">
        <v>2635</v>
      </c>
      <c r="J46" s="180" t="s">
        <v>2636</v>
      </c>
      <c r="K46" s="180" t="s">
        <v>2637</v>
      </c>
      <c r="L46" s="180" t="s">
        <v>2430</v>
      </c>
      <c r="M46" s="180" t="s">
        <v>2430</v>
      </c>
      <c r="N46" s="180" t="s">
        <v>2430</v>
      </c>
    </row>
    <row r="47" spans="1:14" ht="52">
      <c r="A47" s="184"/>
      <c r="B47" s="180" t="s">
        <v>2638</v>
      </c>
      <c r="C47" s="180" t="s">
        <v>2293</v>
      </c>
      <c r="D47" s="180" t="s">
        <v>2303</v>
      </c>
      <c r="E47" s="180" t="s">
        <v>2327</v>
      </c>
      <c r="F47" s="180" t="s">
        <v>2327</v>
      </c>
      <c r="G47" s="180" t="s">
        <v>2327</v>
      </c>
      <c r="H47" s="181" t="s">
        <v>2639</v>
      </c>
      <c r="I47" s="180" t="s">
        <v>2640</v>
      </c>
      <c r="J47" s="180" t="s">
        <v>2641</v>
      </c>
      <c r="K47" s="180" t="s">
        <v>2642</v>
      </c>
      <c r="L47" s="180" t="s">
        <v>2385</v>
      </c>
      <c r="M47" s="180" t="s">
        <v>2643</v>
      </c>
      <c r="N47" s="180" t="s">
        <v>2407</v>
      </c>
    </row>
    <row r="48" spans="1:14" ht="39">
      <c r="A48" s="184"/>
      <c r="B48" s="180" t="s">
        <v>2644</v>
      </c>
      <c r="C48" s="180" t="s">
        <v>2294</v>
      </c>
      <c r="D48" s="180" t="s">
        <v>2304</v>
      </c>
      <c r="E48" s="180" t="s">
        <v>2328</v>
      </c>
      <c r="F48" s="180" t="s">
        <v>2328</v>
      </c>
      <c r="G48" s="180" t="s">
        <v>2328</v>
      </c>
      <c r="H48" s="181" t="s">
        <v>2645</v>
      </c>
      <c r="I48" s="180" t="s">
        <v>2646</v>
      </c>
      <c r="J48" s="180" t="s">
        <v>2647</v>
      </c>
      <c r="K48" s="180" t="s">
        <v>2648</v>
      </c>
      <c r="L48" s="180" t="s">
        <v>2386</v>
      </c>
      <c r="M48" s="180" t="s">
        <v>2649</v>
      </c>
      <c r="N48" s="180" t="s">
        <v>2408</v>
      </c>
    </row>
    <row r="49" spans="1:14" ht="39">
      <c r="A49" s="184"/>
      <c r="B49" s="180" t="s">
        <v>2430</v>
      </c>
      <c r="C49" s="180" t="s">
        <v>2430</v>
      </c>
      <c r="D49" s="180" t="s">
        <v>2430</v>
      </c>
      <c r="E49" s="180" t="s">
        <v>2430</v>
      </c>
      <c r="F49" s="180" t="s">
        <v>2430</v>
      </c>
      <c r="G49" s="180" t="s">
        <v>2430</v>
      </c>
      <c r="H49" s="181" t="s">
        <v>2650</v>
      </c>
      <c r="I49" s="180" t="s">
        <v>2344</v>
      </c>
      <c r="J49" s="180" t="s">
        <v>2651</v>
      </c>
      <c r="K49" s="180" t="s">
        <v>2652</v>
      </c>
      <c r="L49" s="180" t="s">
        <v>2430</v>
      </c>
      <c r="M49" s="180" t="s">
        <v>2430</v>
      </c>
      <c r="N49" s="180" t="s">
        <v>2430</v>
      </c>
    </row>
    <row r="50" spans="1:14" ht="52">
      <c r="A50" s="184"/>
      <c r="B50" s="180" t="s">
        <v>2430</v>
      </c>
      <c r="C50" s="180" t="s">
        <v>2430</v>
      </c>
      <c r="D50" s="180" t="s">
        <v>2430</v>
      </c>
      <c r="E50" s="180" t="s">
        <v>2430</v>
      </c>
      <c r="F50" s="180" t="s">
        <v>2430</v>
      </c>
      <c r="G50" s="180" t="s">
        <v>2430</v>
      </c>
      <c r="H50" s="181" t="s">
        <v>2653</v>
      </c>
      <c r="I50" s="180" t="s">
        <v>2345</v>
      </c>
      <c r="J50" s="180" t="s">
        <v>2654</v>
      </c>
      <c r="K50" s="180" t="s">
        <v>2655</v>
      </c>
      <c r="L50" s="180" t="s">
        <v>2430</v>
      </c>
      <c r="M50" s="180" t="s">
        <v>2430</v>
      </c>
      <c r="N50" s="180" t="s">
        <v>2430</v>
      </c>
    </row>
    <row r="51" spans="1:14" ht="52">
      <c r="A51" s="184"/>
      <c r="B51" s="180" t="s">
        <v>2430</v>
      </c>
      <c r="C51" s="180" t="s">
        <v>2430</v>
      </c>
      <c r="D51" s="180" t="s">
        <v>2430</v>
      </c>
      <c r="E51" s="180" t="s">
        <v>2430</v>
      </c>
      <c r="F51" s="180" t="s">
        <v>2430</v>
      </c>
      <c r="G51" s="180" t="s">
        <v>2430</v>
      </c>
      <c r="H51" s="181" t="s">
        <v>25</v>
      </c>
      <c r="I51" s="180" t="s">
        <v>2346</v>
      </c>
      <c r="J51" s="180" t="s">
        <v>2656</v>
      </c>
      <c r="K51" s="180" t="s">
        <v>2657</v>
      </c>
      <c r="L51" s="180" t="s">
        <v>2430</v>
      </c>
      <c r="M51" s="180" t="s">
        <v>2430</v>
      </c>
      <c r="N51" s="180" t="s">
        <v>2430</v>
      </c>
    </row>
    <row r="52" spans="1:14" ht="78">
      <c r="A52" s="184"/>
      <c r="B52" s="180" t="s">
        <v>2430</v>
      </c>
      <c r="C52" s="180" t="s">
        <v>2430</v>
      </c>
      <c r="D52" s="180" t="s">
        <v>2430</v>
      </c>
      <c r="E52" s="180" t="s">
        <v>2430</v>
      </c>
      <c r="F52" s="180" t="s">
        <v>2430</v>
      </c>
      <c r="G52" s="180" t="s">
        <v>2430</v>
      </c>
      <c r="H52" s="181" t="s">
        <v>26</v>
      </c>
      <c r="I52" s="180" t="s">
        <v>2658</v>
      </c>
      <c r="J52" s="180" t="s">
        <v>2659</v>
      </c>
      <c r="K52" s="180" t="s">
        <v>2660</v>
      </c>
      <c r="L52" s="180" t="s">
        <v>2430</v>
      </c>
      <c r="M52" s="180" t="s">
        <v>2430</v>
      </c>
      <c r="N52" s="180" t="s">
        <v>2430</v>
      </c>
    </row>
    <row r="53" spans="1:14" ht="78">
      <c r="A53" s="184"/>
      <c r="B53" s="180" t="s">
        <v>2430</v>
      </c>
      <c r="C53" s="180" t="s">
        <v>2430</v>
      </c>
      <c r="D53" s="180" t="s">
        <v>2430</v>
      </c>
      <c r="E53" s="180" t="s">
        <v>2430</v>
      </c>
      <c r="F53" s="180" t="s">
        <v>2430</v>
      </c>
      <c r="G53" s="180" t="s">
        <v>2430</v>
      </c>
      <c r="H53" s="181" t="s">
        <v>27</v>
      </c>
      <c r="I53" s="180" t="s">
        <v>2661</v>
      </c>
      <c r="J53" s="180" t="s">
        <v>2662</v>
      </c>
      <c r="K53" s="180" t="s">
        <v>2663</v>
      </c>
      <c r="L53" s="180" t="s">
        <v>2430</v>
      </c>
      <c r="M53" s="180" t="s">
        <v>2430</v>
      </c>
      <c r="N53" s="180" t="s">
        <v>2430</v>
      </c>
    </row>
    <row r="54" spans="1:14" ht="26">
      <c r="A54" s="184"/>
      <c r="B54" s="180" t="s">
        <v>2430</v>
      </c>
      <c r="C54" s="180" t="s">
        <v>2430</v>
      </c>
      <c r="D54" s="180" t="s">
        <v>2430</v>
      </c>
      <c r="E54" s="180" t="s">
        <v>2430</v>
      </c>
      <c r="F54" s="180" t="s">
        <v>2430</v>
      </c>
      <c r="G54" s="180" t="s">
        <v>2430</v>
      </c>
      <c r="H54" s="181" t="s">
        <v>2664</v>
      </c>
      <c r="I54" s="181" t="s">
        <v>2664</v>
      </c>
      <c r="J54" s="181" t="s">
        <v>2664</v>
      </c>
      <c r="K54" s="181" t="s">
        <v>2664</v>
      </c>
      <c r="L54" s="180" t="s">
        <v>2430</v>
      </c>
      <c r="M54" s="180" t="s">
        <v>2430</v>
      </c>
      <c r="N54" s="180" t="s">
        <v>2430</v>
      </c>
    </row>
    <row r="55" spans="1:14" ht="39">
      <c r="A55" s="184"/>
      <c r="B55" s="180" t="s">
        <v>2273</v>
      </c>
      <c r="C55" s="180" t="s">
        <v>2295</v>
      </c>
      <c r="D55" s="180" t="s">
        <v>2305</v>
      </c>
      <c r="E55" s="180" t="s">
        <v>2329</v>
      </c>
      <c r="F55" s="180" t="s">
        <v>2329</v>
      </c>
      <c r="G55" s="180" t="s">
        <v>2329</v>
      </c>
      <c r="H55" s="181" t="s">
        <v>29</v>
      </c>
      <c r="I55" s="180" t="s">
        <v>2347</v>
      </c>
      <c r="J55" s="180" t="s">
        <v>2361</v>
      </c>
      <c r="K55" s="180" t="s">
        <v>2372</v>
      </c>
      <c r="L55" s="180" t="s">
        <v>2387</v>
      </c>
      <c r="M55" s="180" t="s">
        <v>2665</v>
      </c>
      <c r="N55" s="180" t="s">
        <v>2409</v>
      </c>
    </row>
    <row r="56" spans="1:14" ht="39">
      <c r="A56" s="184"/>
      <c r="B56" s="180" t="s">
        <v>2666</v>
      </c>
      <c r="C56" s="180" t="s">
        <v>2667</v>
      </c>
      <c r="D56" s="180" t="s">
        <v>2668</v>
      </c>
      <c r="E56" s="180" t="s">
        <v>2669</v>
      </c>
      <c r="F56" s="180" t="s">
        <v>2669</v>
      </c>
      <c r="G56" s="180" t="s">
        <v>2669</v>
      </c>
      <c r="H56" s="181" t="s">
        <v>2670</v>
      </c>
      <c r="I56" s="180" t="s">
        <v>2671</v>
      </c>
      <c r="J56" s="180" t="s">
        <v>2672</v>
      </c>
      <c r="K56" s="180" t="s">
        <v>2673</v>
      </c>
      <c r="L56" s="180" t="s">
        <v>2674</v>
      </c>
      <c r="M56" s="180" t="s">
        <v>2675</v>
      </c>
      <c r="N56" s="180" t="s">
        <v>2676</v>
      </c>
    </row>
    <row r="57" spans="1:14" ht="39">
      <c r="A57" s="184"/>
      <c r="B57" s="180" t="s">
        <v>2430</v>
      </c>
      <c r="C57" s="180" t="s">
        <v>2430</v>
      </c>
      <c r="D57" s="180" t="s">
        <v>2430</v>
      </c>
      <c r="E57" s="180" t="s">
        <v>2430</v>
      </c>
      <c r="F57" s="180" t="s">
        <v>2430</v>
      </c>
      <c r="G57" s="180" t="s">
        <v>2430</v>
      </c>
      <c r="H57" s="181" t="s">
        <v>2677</v>
      </c>
      <c r="I57" s="180" t="s">
        <v>2678</v>
      </c>
      <c r="J57" s="180" t="s">
        <v>2679</v>
      </c>
      <c r="K57" s="180" t="s">
        <v>2680</v>
      </c>
      <c r="L57" s="180" t="s">
        <v>2430</v>
      </c>
      <c r="M57" s="180" t="s">
        <v>2430</v>
      </c>
      <c r="N57" s="180" t="s">
        <v>2430</v>
      </c>
    </row>
    <row r="58" spans="1:14" ht="52">
      <c r="A58" s="184"/>
      <c r="B58" s="180" t="s">
        <v>2274</v>
      </c>
      <c r="C58" s="180" t="s">
        <v>2296</v>
      </c>
      <c r="D58" s="180" t="s">
        <v>2306</v>
      </c>
      <c r="E58" s="180" t="s">
        <v>2330</v>
      </c>
      <c r="F58" s="180" t="s">
        <v>2330</v>
      </c>
      <c r="G58" s="180" t="s">
        <v>2330</v>
      </c>
      <c r="H58" s="181" t="s">
        <v>2681</v>
      </c>
      <c r="I58" s="180" t="s">
        <v>2682</v>
      </c>
      <c r="J58" s="180" t="s">
        <v>2683</v>
      </c>
      <c r="K58" s="180" t="s">
        <v>2684</v>
      </c>
      <c r="L58" s="180" t="s">
        <v>2388</v>
      </c>
      <c r="M58" s="180" t="s">
        <v>2685</v>
      </c>
      <c r="N58" s="180" t="s">
        <v>2410</v>
      </c>
    </row>
    <row r="59" spans="1:14" ht="39">
      <c r="A59" s="184"/>
      <c r="B59" s="180" t="s">
        <v>2275</v>
      </c>
      <c r="C59" s="180" t="s">
        <v>2297</v>
      </c>
      <c r="D59" s="180" t="s">
        <v>2307</v>
      </c>
      <c r="E59" s="180" t="s">
        <v>2331</v>
      </c>
      <c r="F59" s="180" t="s">
        <v>2331</v>
      </c>
      <c r="G59" s="180" t="s">
        <v>2331</v>
      </c>
      <c r="H59" s="181" t="s">
        <v>2686</v>
      </c>
      <c r="I59" s="180" t="s">
        <v>2687</v>
      </c>
      <c r="J59" s="180" t="s">
        <v>2688</v>
      </c>
      <c r="K59" s="180" t="s">
        <v>2689</v>
      </c>
      <c r="L59" s="180" t="s">
        <v>2690</v>
      </c>
      <c r="M59" s="180" t="s">
        <v>2691</v>
      </c>
      <c r="N59" s="180" t="s">
        <v>2411</v>
      </c>
    </row>
    <row r="60" spans="1:14" ht="39">
      <c r="A60" s="184"/>
      <c r="B60" s="180" t="s">
        <v>2430</v>
      </c>
      <c r="C60" s="180" t="s">
        <v>2430</v>
      </c>
      <c r="D60" s="180" t="s">
        <v>2430</v>
      </c>
      <c r="E60" s="180" t="s">
        <v>2430</v>
      </c>
      <c r="F60" s="180" t="s">
        <v>2430</v>
      </c>
      <c r="G60" s="180" t="s">
        <v>2430</v>
      </c>
      <c r="H60" s="181" t="s">
        <v>2692</v>
      </c>
      <c r="I60" s="180" t="s">
        <v>2348</v>
      </c>
      <c r="J60" s="180" t="s">
        <v>2362</v>
      </c>
      <c r="K60" s="180" t="s">
        <v>2693</v>
      </c>
      <c r="L60" s="180" t="s">
        <v>2430</v>
      </c>
      <c r="M60" s="180" t="s">
        <v>2430</v>
      </c>
      <c r="N60" s="180" t="s">
        <v>2430</v>
      </c>
    </row>
    <row r="61" spans="1:14" ht="52">
      <c r="A61" s="184"/>
      <c r="B61" s="180" t="s">
        <v>2430</v>
      </c>
      <c r="C61" s="180" t="s">
        <v>2430</v>
      </c>
      <c r="D61" s="180" t="s">
        <v>2430</v>
      </c>
      <c r="E61" s="180" t="s">
        <v>2430</v>
      </c>
      <c r="F61" s="180" t="s">
        <v>2430</v>
      </c>
      <c r="G61" s="180" t="s">
        <v>2430</v>
      </c>
      <c r="H61" s="181" t="s">
        <v>2694</v>
      </c>
      <c r="I61" s="180" t="s">
        <v>2349</v>
      </c>
      <c r="J61" s="180" t="s">
        <v>2363</v>
      </c>
      <c r="K61" s="180" t="s">
        <v>2695</v>
      </c>
      <c r="L61" s="180" t="s">
        <v>2430</v>
      </c>
      <c r="M61" s="180" t="s">
        <v>2430</v>
      </c>
      <c r="N61" s="180" t="s">
        <v>2430</v>
      </c>
    </row>
    <row r="62" spans="1:14" ht="52">
      <c r="A62" s="184"/>
      <c r="B62" s="180" t="s">
        <v>2430</v>
      </c>
      <c r="C62" s="180" t="s">
        <v>2430</v>
      </c>
      <c r="D62" s="180" t="s">
        <v>2430</v>
      </c>
      <c r="E62" s="180" t="s">
        <v>2430</v>
      </c>
      <c r="F62" s="180" t="s">
        <v>2430</v>
      </c>
      <c r="G62" s="180" t="s">
        <v>2430</v>
      </c>
      <c r="H62" s="181" t="s">
        <v>32</v>
      </c>
      <c r="I62" s="180" t="s">
        <v>2350</v>
      </c>
      <c r="J62" s="180" t="s">
        <v>2696</v>
      </c>
      <c r="K62" s="180" t="s">
        <v>2697</v>
      </c>
      <c r="L62" s="180" t="s">
        <v>2430</v>
      </c>
      <c r="M62" s="180" t="s">
        <v>2430</v>
      </c>
      <c r="N62" s="180" t="s">
        <v>2430</v>
      </c>
    </row>
    <row r="63" spans="1:14" ht="78">
      <c r="A63" s="184"/>
      <c r="B63" s="180" t="s">
        <v>2430</v>
      </c>
      <c r="C63" s="180" t="s">
        <v>2430</v>
      </c>
      <c r="D63" s="180" t="s">
        <v>2430</v>
      </c>
      <c r="E63" s="180" t="s">
        <v>2430</v>
      </c>
      <c r="F63" s="180" t="s">
        <v>2430</v>
      </c>
      <c r="G63" s="180" t="s">
        <v>2430</v>
      </c>
      <c r="H63" s="181" t="s">
        <v>33</v>
      </c>
      <c r="I63" s="180" t="s">
        <v>2698</v>
      </c>
      <c r="J63" s="180" t="s">
        <v>2699</v>
      </c>
      <c r="K63" s="180" t="s">
        <v>2700</v>
      </c>
      <c r="L63" s="180" t="s">
        <v>2430</v>
      </c>
      <c r="M63" s="180" t="s">
        <v>2430</v>
      </c>
      <c r="N63" s="180" t="s">
        <v>2430</v>
      </c>
    </row>
    <row r="64" spans="1:14" ht="78">
      <c r="A64" s="184"/>
      <c r="B64" s="180" t="s">
        <v>2430</v>
      </c>
      <c r="C64" s="180" t="s">
        <v>2430</v>
      </c>
      <c r="D64" s="180" t="s">
        <v>2430</v>
      </c>
      <c r="E64" s="180" t="s">
        <v>2430</v>
      </c>
      <c r="F64" s="180" t="s">
        <v>2430</v>
      </c>
      <c r="G64" s="180" t="s">
        <v>2430</v>
      </c>
      <c r="H64" s="181" t="s">
        <v>34</v>
      </c>
      <c r="I64" s="180" t="s">
        <v>2701</v>
      </c>
      <c r="J64" s="180" t="s">
        <v>2702</v>
      </c>
      <c r="K64" s="180" t="s">
        <v>2703</v>
      </c>
      <c r="L64" s="180" t="s">
        <v>2430</v>
      </c>
      <c r="M64" s="180" t="s">
        <v>2430</v>
      </c>
      <c r="N64" s="180" t="s">
        <v>2430</v>
      </c>
    </row>
    <row r="65" spans="1:14" ht="26">
      <c r="A65" s="184"/>
      <c r="B65" s="180" t="s">
        <v>2430</v>
      </c>
      <c r="C65" s="180" t="s">
        <v>2430</v>
      </c>
      <c r="D65" s="180" t="s">
        <v>2430</v>
      </c>
      <c r="E65" s="180" t="s">
        <v>2430</v>
      </c>
      <c r="F65" s="180" t="s">
        <v>2430</v>
      </c>
      <c r="G65" s="180" t="s">
        <v>2430</v>
      </c>
      <c r="H65" s="181" t="s">
        <v>2704</v>
      </c>
      <c r="I65" s="181" t="s">
        <v>2704</v>
      </c>
      <c r="J65" s="181" t="s">
        <v>2704</v>
      </c>
      <c r="K65" s="181" t="s">
        <v>2704</v>
      </c>
      <c r="L65" s="180" t="s">
        <v>2430</v>
      </c>
      <c r="M65" s="180" t="s">
        <v>2430</v>
      </c>
      <c r="N65" s="180" t="s">
        <v>2430</v>
      </c>
    </row>
    <row r="66" spans="1:14" ht="39">
      <c r="A66" s="184"/>
      <c r="B66" s="180" t="s">
        <v>2705</v>
      </c>
      <c r="C66" s="180" t="s">
        <v>2706</v>
      </c>
      <c r="D66" s="180" t="s">
        <v>2707</v>
      </c>
      <c r="E66" s="180" t="s">
        <v>2332</v>
      </c>
      <c r="F66" s="180" t="s">
        <v>2332</v>
      </c>
      <c r="G66" s="180" t="s">
        <v>2332</v>
      </c>
      <c r="H66" s="181" t="s">
        <v>36</v>
      </c>
      <c r="I66" s="180" t="s">
        <v>2708</v>
      </c>
      <c r="J66" s="180" t="s">
        <v>2709</v>
      </c>
      <c r="K66" s="180" t="s">
        <v>2710</v>
      </c>
      <c r="L66" s="180" t="s">
        <v>2711</v>
      </c>
      <c r="M66" s="180" t="s">
        <v>2712</v>
      </c>
      <c r="N66" s="180" t="s">
        <v>2412</v>
      </c>
    </row>
    <row r="67" spans="1:14" ht="39">
      <c r="A67" s="184"/>
      <c r="B67" s="180" t="s">
        <v>2713</v>
      </c>
      <c r="C67" s="180" t="s">
        <v>2714</v>
      </c>
      <c r="D67" s="180" t="s">
        <v>2715</v>
      </c>
      <c r="E67" s="180" t="s">
        <v>2716</v>
      </c>
      <c r="F67" s="180" t="s">
        <v>2716</v>
      </c>
      <c r="G67" s="180" t="s">
        <v>2716</v>
      </c>
      <c r="H67" s="181" t="s">
        <v>2717</v>
      </c>
      <c r="I67" s="180" t="s">
        <v>2718</v>
      </c>
      <c r="J67" s="180" t="s">
        <v>2719</v>
      </c>
      <c r="K67" s="180" t="s">
        <v>2720</v>
      </c>
      <c r="L67" s="180" t="s">
        <v>2721</v>
      </c>
      <c r="M67" s="180" t="s">
        <v>2722</v>
      </c>
      <c r="N67" s="180" t="s">
        <v>2723</v>
      </c>
    </row>
    <row r="68" spans="1:14" ht="39">
      <c r="A68" s="184"/>
      <c r="B68" s="180" t="s">
        <v>2430</v>
      </c>
      <c r="C68" s="180" t="s">
        <v>2430</v>
      </c>
      <c r="D68" s="180" t="s">
        <v>2430</v>
      </c>
      <c r="E68" s="180" t="s">
        <v>2430</v>
      </c>
      <c r="F68" s="180" t="s">
        <v>2430</v>
      </c>
      <c r="G68" s="180" t="s">
        <v>2430</v>
      </c>
      <c r="H68" s="181" t="s">
        <v>2724</v>
      </c>
      <c r="I68" s="180" t="s">
        <v>2725</v>
      </c>
      <c r="J68" s="180" t="s">
        <v>2726</v>
      </c>
      <c r="K68" s="180" t="s">
        <v>2727</v>
      </c>
      <c r="L68" s="180" t="s">
        <v>2430</v>
      </c>
      <c r="M68" s="180" t="s">
        <v>2430</v>
      </c>
      <c r="N68" s="180" t="s">
        <v>2430</v>
      </c>
    </row>
    <row r="69" spans="1:14" ht="52">
      <c r="A69" s="184"/>
      <c r="B69" s="180" t="s">
        <v>2728</v>
      </c>
      <c r="C69" s="180" t="s">
        <v>2298</v>
      </c>
      <c r="D69" s="180" t="s">
        <v>2308</v>
      </c>
      <c r="E69" s="180" t="s">
        <v>2333</v>
      </c>
      <c r="F69" s="180" t="s">
        <v>2333</v>
      </c>
      <c r="G69" s="180" t="s">
        <v>2333</v>
      </c>
      <c r="H69" s="181" t="s">
        <v>2729</v>
      </c>
      <c r="I69" s="180" t="s">
        <v>2730</v>
      </c>
      <c r="J69" s="180" t="s">
        <v>2731</v>
      </c>
      <c r="K69" s="180" t="s">
        <v>2732</v>
      </c>
      <c r="L69" s="180" t="s">
        <v>2389</v>
      </c>
      <c r="M69" s="180" t="s">
        <v>2733</v>
      </c>
      <c r="N69" s="180" t="s">
        <v>2413</v>
      </c>
    </row>
    <row r="70" spans="1:14" ht="39">
      <c r="A70" s="184"/>
      <c r="B70" s="180" t="s">
        <v>2734</v>
      </c>
      <c r="C70" s="180" t="s">
        <v>2299</v>
      </c>
      <c r="D70" s="180" t="s">
        <v>2309</v>
      </c>
      <c r="E70" s="180" t="s">
        <v>2334</v>
      </c>
      <c r="F70" s="180" t="s">
        <v>2334</v>
      </c>
      <c r="G70" s="180" t="s">
        <v>2334</v>
      </c>
      <c r="H70" s="181" t="s">
        <v>2735</v>
      </c>
      <c r="I70" s="180" t="s">
        <v>2736</v>
      </c>
      <c r="J70" s="180" t="s">
        <v>2737</v>
      </c>
      <c r="K70" s="180" t="s">
        <v>2738</v>
      </c>
      <c r="L70" s="180" t="s">
        <v>2390</v>
      </c>
      <c r="M70" s="180" t="s">
        <v>2739</v>
      </c>
      <c r="N70" s="180" t="s">
        <v>2414</v>
      </c>
    </row>
    <row r="71" spans="1:14" ht="39">
      <c r="A71" s="184"/>
      <c r="B71" s="180" t="s">
        <v>2430</v>
      </c>
      <c r="C71" s="180" t="s">
        <v>2430</v>
      </c>
      <c r="D71" s="180" t="s">
        <v>2430</v>
      </c>
      <c r="E71" s="180" t="s">
        <v>2430</v>
      </c>
      <c r="F71" s="180" t="s">
        <v>2430</v>
      </c>
      <c r="G71" s="180" t="s">
        <v>2430</v>
      </c>
      <c r="H71" s="181" t="s">
        <v>2740</v>
      </c>
      <c r="I71" s="180" t="s">
        <v>2351</v>
      </c>
      <c r="J71" s="180" t="s">
        <v>2364</v>
      </c>
      <c r="K71" s="180" t="s">
        <v>2741</v>
      </c>
      <c r="L71" s="180" t="s">
        <v>2430</v>
      </c>
      <c r="M71" s="180" t="s">
        <v>2430</v>
      </c>
      <c r="N71" s="180" t="s">
        <v>2430</v>
      </c>
    </row>
    <row r="72" spans="1:14" ht="52">
      <c r="A72" s="184"/>
      <c r="B72" s="180" t="s">
        <v>2430</v>
      </c>
      <c r="C72" s="180" t="s">
        <v>2430</v>
      </c>
      <c r="D72" s="180" t="s">
        <v>2430</v>
      </c>
      <c r="E72" s="180" t="s">
        <v>2430</v>
      </c>
      <c r="F72" s="180" t="s">
        <v>2430</v>
      </c>
      <c r="G72" s="180" t="s">
        <v>2430</v>
      </c>
      <c r="H72" s="181" t="s">
        <v>2742</v>
      </c>
      <c r="I72" s="180" t="s">
        <v>2349</v>
      </c>
      <c r="J72" s="180" t="s">
        <v>2365</v>
      </c>
      <c r="K72" s="180" t="s">
        <v>2695</v>
      </c>
      <c r="L72" s="180" t="s">
        <v>2430</v>
      </c>
      <c r="M72" s="180" t="s">
        <v>2430</v>
      </c>
      <c r="N72" s="180" t="s">
        <v>2430</v>
      </c>
    </row>
    <row r="73" spans="1:14" ht="52">
      <c r="A73" s="184"/>
      <c r="B73" s="180" t="s">
        <v>2430</v>
      </c>
      <c r="C73" s="180" t="s">
        <v>2430</v>
      </c>
      <c r="D73" s="180" t="s">
        <v>2430</v>
      </c>
      <c r="E73" s="180" t="s">
        <v>2430</v>
      </c>
      <c r="F73" s="180" t="s">
        <v>2430</v>
      </c>
      <c r="G73" s="180" t="s">
        <v>2430</v>
      </c>
      <c r="H73" s="181" t="s">
        <v>39</v>
      </c>
      <c r="I73" s="180" t="s">
        <v>2350</v>
      </c>
      <c r="J73" s="180" t="s">
        <v>2743</v>
      </c>
      <c r="K73" s="180" t="s">
        <v>2697</v>
      </c>
      <c r="L73" s="180" t="s">
        <v>2430</v>
      </c>
      <c r="M73" s="180" t="s">
        <v>2430</v>
      </c>
      <c r="N73" s="180" t="s">
        <v>2430</v>
      </c>
    </row>
    <row r="74" spans="1:14" ht="78">
      <c r="A74" s="184"/>
      <c r="B74" s="180" t="s">
        <v>2430</v>
      </c>
      <c r="C74" s="180" t="s">
        <v>2430</v>
      </c>
      <c r="D74" s="180" t="s">
        <v>2430</v>
      </c>
      <c r="E74" s="180" t="s">
        <v>2430</v>
      </c>
      <c r="F74" s="180" t="s">
        <v>2430</v>
      </c>
      <c r="G74" s="180" t="s">
        <v>2430</v>
      </c>
      <c r="H74" s="181" t="s">
        <v>40</v>
      </c>
      <c r="I74" s="180" t="s">
        <v>2698</v>
      </c>
      <c r="J74" s="180" t="s">
        <v>2744</v>
      </c>
      <c r="K74" s="180" t="s">
        <v>2700</v>
      </c>
      <c r="L74" s="180" t="s">
        <v>2430</v>
      </c>
      <c r="M74" s="180" t="s">
        <v>2430</v>
      </c>
      <c r="N74" s="180" t="s">
        <v>2430</v>
      </c>
    </row>
    <row r="75" spans="1:14" ht="78">
      <c r="A75" s="184"/>
      <c r="B75" s="180" t="s">
        <v>2430</v>
      </c>
      <c r="C75" s="180" t="s">
        <v>2430</v>
      </c>
      <c r="D75" s="180" t="s">
        <v>2430</v>
      </c>
      <c r="E75" s="180" t="s">
        <v>2430</v>
      </c>
      <c r="F75" s="180" t="s">
        <v>2430</v>
      </c>
      <c r="G75" s="180" t="s">
        <v>2430</v>
      </c>
      <c r="H75" s="181" t="s">
        <v>41</v>
      </c>
      <c r="I75" s="180" t="s">
        <v>2701</v>
      </c>
      <c r="J75" s="180" t="s">
        <v>2745</v>
      </c>
      <c r="K75" s="180" t="s">
        <v>2703</v>
      </c>
      <c r="L75" s="180" t="s">
        <v>2430</v>
      </c>
      <c r="M75" s="180" t="s">
        <v>2430</v>
      </c>
      <c r="N75" s="180" t="s">
        <v>2430</v>
      </c>
    </row>
    <row r="76" spans="1:14" ht="26">
      <c r="A76" s="184"/>
      <c r="B76" s="180" t="s">
        <v>2430</v>
      </c>
      <c r="C76" s="180" t="s">
        <v>2430</v>
      </c>
      <c r="D76" s="180" t="s">
        <v>2430</v>
      </c>
      <c r="E76" s="180" t="s">
        <v>2430</v>
      </c>
      <c r="F76" s="180" t="s">
        <v>2430</v>
      </c>
      <c r="G76" s="180" t="s">
        <v>2430</v>
      </c>
      <c r="H76" s="181" t="s">
        <v>2746</v>
      </c>
      <c r="I76" s="181" t="s">
        <v>2746</v>
      </c>
      <c r="J76" s="181" t="s">
        <v>2746</v>
      </c>
      <c r="K76" s="181" t="s">
        <v>2746</v>
      </c>
      <c r="L76" s="180" t="s">
        <v>2430</v>
      </c>
      <c r="M76" s="180" t="s">
        <v>2430</v>
      </c>
      <c r="N76" s="180" t="s">
        <v>2430</v>
      </c>
    </row>
    <row r="77" spans="1:14" ht="39">
      <c r="A77" s="184"/>
      <c r="B77" s="180" t="s">
        <v>2747</v>
      </c>
      <c r="C77" s="180" t="s">
        <v>2748</v>
      </c>
      <c r="D77" s="180" t="s">
        <v>2749</v>
      </c>
      <c r="E77" s="180" t="s">
        <v>2750</v>
      </c>
      <c r="F77" s="180" t="s">
        <v>2750</v>
      </c>
      <c r="G77" s="180" t="s">
        <v>2750</v>
      </c>
      <c r="H77" s="181" t="s">
        <v>43</v>
      </c>
      <c r="I77" s="180" t="s">
        <v>2751</v>
      </c>
      <c r="J77" s="180" t="s">
        <v>2752</v>
      </c>
      <c r="K77" s="180" t="s">
        <v>2753</v>
      </c>
      <c r="L77" s="180" t="s">
        <v>2754</v>
      </c>
      <c r="M77" s="180" t="s">
        <v>2755</v>
      </c>
      <c r="N77" s="180" t="s">
        <v>2756</v>
      </c>
    </row>
    <row r="78" spans="1:14" ht="39">
      <c r="A78" s="184"/>
      <c r="B78" s="180" t="s">
        <v>2757</v>
      </c>
      <c r="C78" s="180" t="s">
        <v>2758</v>
      </c>
      <c r="D78" s="180" t="s">
        <v>2759</v>
      </c>
      <c r="E78" s="180" t="s">
        <v>2760</v>
      </c>
      <c r="F78" s="180" t="s">
        <v>2760</v>
      </c>
      <c r="G78" s="180" t="s">
        <v>2760</v>
      </c>
      <c r="H78" s="181" t="s">
        <v>2761</v>
      </c>
      <c r="I78" s="180" t="s">
        <v>2762</v>
      </c>
      <c r="J78" s="180" t="s">
        <v>2763</v>
      </c>
      <c r="K78" s="180" t="s">
        <v>2764</v>
      </c>
      <c r="L78" s="180" t="s">
        <v>2765</v>
      </c>
      <c r="M78" s="180" t="s">
        <v>2766</v>
      </c>
      <c r="N78" s="180" t="s">
        <v>2767</v>
      </c>
    </row>
    <row r="79" spans="1:14" ht="39">
      <c r="A79" s="184"/>
      <c r="B79" s="180" t="s">
        <v>2430</v>
      </c>
      <c r="C79" s="180" t="s">
        <v>2430</v>
      </c>
      <c r="D79" s="180" t="s">
        <v>2430</v>
      </c>
      <c r="E79" s="180" t="s">
        <v>2430</v>
      </c>
      <c r="F79" s="180" t="s">
        <v>2430</v>
      </c>
      <c r="G79" s="180" t="s">
        <v>2430</v>
      </c>
      <c r="H79" s="181" t="s">
        <v>2768</v>
      </c>
      <c r="I79" s="180" t="s">
        <v>2769</v>
      </c>
      <c r="J79" s="180" t="s">
        <v>2770</v>
      </c>
      <c r="K79" s="180" t="s">
        <v>2771</v>
      </c>
      <c r="L79" s="180" t="s">
        <v>2430</v>
      </c>
      <c r="M79" s="180" t="s">
        <v>2430</v>
      </c>
      <c r="N79" s="180" t="s">
        <v>2430</v>
      </c>
    </row>
    <row r="80" spans="1:14" ht="52">
      <c r="A80" s="184"/>
      <c r="B80" s="180" t="s">
        <v>2772</v>
      </c>
      <c r="C80" s="180" t="s">
        <v>2300</v>
      </c>
      <c r="D80" s="180" t="s">
        <v>2310</v>
      </c>
      <c r="E80" s="180" t="s">
        <v>2335</v>
      </c>
      <c r="F80" s="180" t="s">
        <v>2335</v>
      </c>
      <c r="G80" s="180" t="s">
        <v>2335</v>
      </c>
      <c r="H80" s="181" t="s">
        <v>2773</v>
      </c>
      <c r="I80" s="180" t="s">
        <v>2774</v>
      </c>
      <c r="J80" s="180" t="s">
        <v>2775</v>
      </c>
      <c r="K80" s="180" t="s">
        <v>2776</v>
      </c>
      <c r="L80" s="180" t="s">
        <v>2391</v>
      </c>
      <c r="M80" s="180" t="s">
        <v>2777</v>
      </c>
      <c r="N80" s="180" t="s">
        <v>2778</v>
      </c>
    </row>
    <row r="81" spans="1:14" ht="39">
      <c r="A81" s="184"/>
      <c r="B81" s="180" t="s">
        <v>2779</v>
      </c>
      <c r="C81" s="180" t="s">
        <v>2301</v>
      </c>
      <c r="D81" s="180" t="s">
        <v>2311</v>
      </c>
      <c r="E81" s="180" t="s">
        <v>2336</v>
      </c>
      <c r="F81" s="180" t="s">
        <v>2336</v>
      </c>
      <c r="G81" s="180" t="s">
        <v>2336</v>
      </c>
      <c r="H81" s="181" t="s">
        <v>2780</v>
      </c>
      <c r="I81" s="180" t="s">
        <v>2781</v>
      </c>
      <c r="J81" s="180" t="s">
        <v>2782</v>
      </c>
      <c r="K81" s="180" t="s">
        <v>2783</v>
      </c>
      <c r="L81" s="180" t="s">
        <v>2392</v>
      </c>
      <c r="M81" s="180" t="s">
        <v>2784</v>
      </c>
      <c r="N81" s="180" t="s">
        <v>2785</v>
      </c>
    </row>
    <row r="82" spans="1:14" ht="39">
      <c r="A82" s="184"/>
      <c r="B82" s="180" t="s">
        <v>2430</v>
      </c>
      <c r="C82" s="180" t="s">
        <v>2430</v>
      </c>
      <c r="D82" s="180" t="s">
        <v>2430</v>
      </c>
      <c r="E82" s="180" t="s">
        <v>2430</v>
      </c>
      <c r="F82" s="180" t="s">
        <v>2430</v>
      </c>
      <c r="G82" s="180" t="s">
        <v>2430</v>
      </c>
      <c r="H82" s="181" t="s">
        <v>2786</v>
      </c>
      <c r="I82" s="180" t="s">
        <v>2352</v>
      </c>
      <c r="J82" s="180" t="s">
        <v>2366</v>
      </c>
      <c r="K82" s="180" t="s">
        <v>2373</v>
      </c>
      <c r="L82" s="180" t="s">
        <v>2430</v>
      </c>
      <c r="M82" s="180" t="s">
        <v>2430</v>
      </c>
      <c r="N82" s="180" t="s">
        <v>2430</v>
      </c>
    </row>
    <row r="83" spans="1:14" ht="52">
      <c r="A83" s="184"/>
      <c r="B83" s="180" t="s">
        <v>2430</v>
      </c>
      <c r="C83" s="180" t="s">
        <v>2430</v>
      </c>
      <c r="D83" s="180" t="s">
        <v>2430</v>
      </c>
      <c r="E83" s="180" t="s">
        <v>2430</v>
      </c>
      <c r="F83" s="180" t="s">
        <v>2430</v>
      </c>
      <c r="G83" s="180" t="s">
        <v>2430</v>
      </c>
      <c r="H83" s="181" t="s">
        <v>2787</v>
      </c>
      <c r="I83" s="180" t="s">
        <v>2353</v>
      </c>
      <c r="J83" s="180" t="s">
        <v>2367</v>
      </c>
      <c r="K83" s="180" t="s">
        <v>2374</v>
      </c>
      <c r="L83" s="180" t="s">
        <v>2430</v>
      </c>
      <c r="M83" s="180" t="s">
        <v>2430</v>
      </c>
      <c r="N83" s="180" t="s">
        <v>2430</v>
      </c>
    </row>
    <row r="84" spans="1:14" ht="52">
      <c r="A84" s="184"/>
      <c r="B84" s="180" t="s">
        <v>2430</v>
      </c>
      <c r="C84" s="180" t="s">
        <v>2430</v>
      </c>
      <c r="D84" s="180" t="s">
        <v>2430</v>
      </c>
      <c r="E84" s="180" t="s">
        <v>2430</v>
      </c>
      <c r="F84" s="180" t="s">
        <v>2430</v>
      </c>
      <c r="G84" s="180" t="s">
        <v>2430</v>
      </c>
      <c r="H84" s="181" t="s">
        <v>46</v>
      </c>
      <c r="I84" s="180" t="s">
        <v>2354</v>
      </c>
      <c r="J84" s="180" t="s">
        <v>2788</v>
      </c>
      <c r="K84" s="180" t="s">
        <v>2789</v>
      </c>
      <c r="L84" s="180" t="s">
        <v>2430</v>
      </c>
      <c r="M84" s="180" t="s">
        <v>2430</v>
      </c>
      <c r="N84" s="180" t="s">
        <v>2430</v>
      </c>
    </row>
    <row r="85" spans="1:14" ht="78">
      <c r="A85" s="184"/>
      <c r="B85" s="180" t="s">
        <v>2430</v>
      </c>
      <c r="C85" s="180" t="s">
        <v>2430</v>
      </c>
      <c r="D85" s="180" t="s">
        <v>2430</v>
      </c>
      <c r="E85" s="180" t="s">
        <v>2430</v>
      </c>
      <c r="F85" s="180" t="s">
        <v>2430</v>
      </c>
      <c r="G85" s="180" t="s">
        <v>2430</v>
      </c>
      <c r="H85" s="181" t="s">
        <v>47</v>
      </c>
      <c r="I85" s="180" t="s">
        <v>2790</v>
      </c>
      <c r="J85" s="180" t="s">
        <v>2791</v>
      </c>
      <c r="K85" s="180" t="s">
        <v>2792</v>
      </c>
      <c r="L85" s="180" t="s">
        <v>2430</v>
      </c>
      <c r="M85" s="180" t="s">
        <v>2430</v>
      </c>
      <c r="N85" s="180" t="s">
        <v>2430</v>
      </c>
    </row>
    <row r="86" spans="1:14" ht="78">
      <c r="A86" s="184"/>
      <c r="B86" s="180" t="s">
        <v>2430</v>
      </c>
      <c r="C86" s="180" t="s">
        <v>2430</v>
      </c>
      <c r="D86" s="180" t="s">
        <v>2430</v>
      </c>
      <c r="E86" s="180" t="s">
        <v>2430</v>
      </c>
      <c r="F86" s="180" t="s">
        <v>2430</v>
      </c>
      <c r="G86" s="180" t="s">
        <v>2430</v>
      </c>
      <c r="H86" s="181" t="s">
        <v>48</v>
      </c>
      <c r="I86" s="180" t="s">
        <v>2793</v>
      </c>
      <c r="J86" s="180" t="s">
        <v>2794</v>
      </c>
      <c r="K86" s="180" t="s">
        <v>2795</v>
      </c>
      <c r="L86" s="180" t="s">
        <v>2430</v>
      </c>
      <c r="M86" s="180" t="s">
        <v>2430</v>
      </c>
      <c r="N86" s="180" t="s">
        <v>2430</v>
      </c>
    </row>
    <row r="87" spans="1:14" ht="26">
      <c r="A87" s="184"/>
      <c r="B87" s="180" t="s">
        <v>2430</v>
      </c>
      <c r="C87" s="180" t="s">
        <v>2430</v>
      </c>
      <c r="D87" s="180" t="s">
        <v>2430</v>
      </c>
      <c r="E87" s="180" t="s">
        <v>2430</v>
      </c>
      <c r="F87" s="180" t="s">
        <v>2430</v>
      </c>
      <c r="G87" s="180" t="s">
        <v>2430</v>
      </c>
      <c r="H87" s="181" t="s">
        <v>2796</v>
      </c>
      <c r="I87" s="181" t="s">
        <v>2796</v>
      </c>
      <c r="J87" s="181" t="s">
        <v>2796</v>
      </c>
      <c r="K87" s="181" t="s">
        <v>2796</v>
      </c>
      <c r="L87" s="180" t="s">
        <v>2430</v>
      </c>
      <c r="M87" s="180" t="s">
        <v>2430</v>
      </c>
      <c r="N87" s="180" t="s">
        <v>2430</v>
      </c>
    </row>
    <row r="88" spans="1:14" ht="65">
      <c r="A88" s="184"/>
      <c r="B88" s="180" t="s">
        <v>2430</v>
      </c>
      <c r="C88" s="180" t="s">
        <v>2430</v>
      </c>
      <c r="D88" s="180" t="s">
        <v>2430</v>
      </c>
      <c r="E88" s="180" t="s">
        <v>2430</v>
      </c>
      <c r="F88" s="180" t="s">
        <v>2430</v>
      </c>
      <c r="G88" s="180" t="s">
        <v>2430</v>
      </c>
      <c r="H88" s="181" t="s">
        <v>2797</v>
      </c>
      <c r="I88" s="180" t="s">
        <v>2798</v>
      </c>
      <c r="J88" s="180" t="s">
        <v>2799</v>
      </c>
      <c r="K88" s="181" t="s">
        <v>2800</v>
      </c>
      <c r="L88" s="180" t="s">
        <v>2430</v>
      </c>
      <c r="M88" s="180" t="s">
        <v>2430</v>
      </c>
      <c r="N88" s="180" t="s">
        <v>2430</v>
      </c>
    </row>
    <row r="89" spans="1:14" ht="65">
      <c r="A89" s="184"/>
      <c r="B89" s="180" t="s">
        <v>2430</v>
      </c>
      <c r="C89" s="180" t="s">
        <v>2430</v>
      </c>
      <c r="D89" s="180" t="s">
        <v>2430</v>
      </c>
      <c r="E89" s="180" t="s">
        <v>2430</v>
      </c>
      <c r="F89" s="180" t="s">
        <v>2430</v>
      </c>
      <c r="G89" s="180" t="s">
        <v>2430</v>
      </c>
      <c r="H89" s="181" t="s">
        <v>2801</v>
      </c>
      <c r="I89" s="180" t="s">
        <v>2802</v>
      </c>
      <c r="J89" s="180" t="s">
        <v>2802</v>
      </c>
      <c r="K89" s="180" t="s">
        <v>2802</v>
      </c>
      <c r="L89" s="180" t="s">
        <v>2430</v>
      </c>
      <c r="M89" s="180" t="s">
        <v>2430</v>
      </c>
      <c r="N89" s="180" t="s">
        <v>2430</v>
      </c>
    </row>
    <row r="90" spans="1:14" ht="26">
      <c r="A90" s="184"/>
      <c r="B90" s="180" t="s">
        <v>2430</v>
      </c>
      <c r="C90" s="180" t="s">
        <v>2430</v>
      </c>
      <c r="D90" s="180" t="s">
        <v>2430</v>
      </c>
      <c r="E90" s="180" t="s">
        <v>2430</v>
      </c>
      <c r="F90" s="180" t="s">
        <v>2430</v>
      </c>
      <c r="G90" s="180" t="s">
        <v>2430</v>
      </c>
      <c r="H90" s="181" t="s">
        <v>2803</v>
      </c>
      <c r="I90" s="181" t="s">
        <v>2803</v>
      </c>
      <c r="J90" s="180" t="s">
        <v>2803</v>
      </c>
      <c r="K90" s="180" t="s">
        <v>2803</v>
      </c>
      <c r="L90" s="180" t="s">
        <v>2430</v>
      </c>
      <c r="M90" s="180" t="s">
        <v>2430</v>
      </c>
      <c r="N90" s="180" t="s">
        <v>2430</v>
      </c>
    </row>
    <row r="91" spans="1:14" ht="65">
      <c r="A91" s="184"/>
      <c r="B91" s="180" t="s">
        <v>2430</v>
      </c>
      <c r="C91" s="180" t="s">
        <v>2430</v>
      </c>
      <c r="D91" s="180" t="s">
        <v>2430</v>
      </c>
      <c r="E91" s="180" t="s">
        <v>2430</v>
      </c>
      <c r="F91" s="180" t="s">
        <v>2430</v>
      </c>
      <c r="G91" s="180" t="s">
        <v>2430</v>
      </c>
      <c r="H91" s="181" t="s">
        <v>2804</v>
      </c>
      <c r="I91" s="180" t="s">
        <v>2805</v>
      </c>
      <c r="J91" s="180" t="s">
        <v>2806</v>
      </c>
      <c r="K91" s="181" t="s">
        <v>2807</v>
      </c>
      <c r="L91" s="180" t="s">
        <v>2430</v>
      </c>
      <c r="M91" s="180" t="s">
        <v>2430</v>
      </c>
      <c r="N91" s="180" t="s">
        <v>2430</v>
      </c>
    </row>
    <row r="92" spans="1:14" ht="65">
      <c r="A92" s="184"/>
      <c r="B92" s="180" t="s">
        <v>2430</v>
      </c>
      <c r="C92" s="180" t="s">
        <v>2430</v>
      </c>
      <c r="D92" s="180" t="s">
        <v>2430</v>
      </c>
      <c r="E92" s="180" t="s">
        <v>2430</v>
      </c>
      <c r="F92" s="180" t="s">
        <v>2430</v>
      </c>
      <c r="G92" s="180" t="s">
        <v>2430</v>
      </c>
      <c r="H92" s="181" t="s">
        <v>2808</v>
      </c>
      <c r="I92" s="181" t="s">
        <v>2808</v>
      </c>
      <c r="J92" s="180" t="s">
        <v>2808</v>
      </c>
      <c r="K92" s="180" t="s">
        <v>2808</v>
      </c>
      <c r="L92" s="180" t="s">
        <v>2430</v>
      </c>
      <c r="M92" s="180" t="s">
        <v>2430</v>
      </c>
      <c r="N92" s="180" t="s">
        <v>2430</v>
      </c>
    </row>
    <row r="93" spans="1:14" ht="26">
      <c r="A93" s="184"/>
      <c r="B93" s="180" t="s">
        <v>2430</v>
      </c>
      <c r="C93" s="180" t="s">
        <v>2430</v>
      </c>
      <c r="D93" s="180" t="s">
        <v>2430</v>
      </c>
      <c r="E93" s="180" t="s">
        <v>2430</v>
      </c>
      <c r="F93" s="180" t="s">
        <v>2430</v>
      </c>
      <c r="G93" s="180" t="s">
        <v>2430</v>
      </c>
      <c r="H93" s="181" t="s">
        <v>2803</v>
      </c>
      <c r="I93" s="181" t="s">
        <v>2803</v>
      </c>
      <c r="J93" s="180" t="s">
        <v>2803</v>
      </c>
      <c r="K93" s="180" t="s">
        <v>2803</v>
      </c>
      <c r="L93" s="180" t="s">
        <v>2430</v>
      </c>
      <c r="M93" s="180" t="s">
        <v>2430</v>
      </c>
      <c r="N93" s="180" t="s">
        <v>2430</v>
      </c>
    </row>
    <row r="94" spans="1:14" ht="65">
      <c r="A94" s="184"/>
      <c r="B94" s="180" t="s">
        <v>2430</v>
      </c>
      <c r="C94" s="180" t="s">
        <v>2430</v>
      </c>
      <c r="D94" s="180" t="s">
        <v>2430</v>
      </c>
      <c r="E94" s="180" t="s">
        <v>2430</v>
      </c>
      <c r="F94" s="180" t="s">
        <v>2430</v>
      </c>
      <c r="G94" s="180" t="s">
        <v>2430</v>
      </c>
      <c r="H94" s="181" t="s">
        <v>2809</v>
      </c>
      <c r="I94" s="180" t="s">
        <v>2810</v>
      </c>
      <c r="J94" s="180" t="s">
        <v>2811</v>
      </c>
      <c r="K94" s="181" t="s">
        <v>2812</v>
      </c>
      <c r="L94" s="180" t="s">
        <v>2430</v>
      </c>
      <c r="M94" s="180" t="s">
        <v>2430</v>
      </c>
      <c r="N94" s="180" t="s">
        <v>2430</v>
      </c>
    </row>
    <row r="95" spans="1:14" ht="65">
      <c r="A95" s="184"/>
      <c r="B95" s="180" t="s">
        <v>56</v>
      </c>
      <c r="C95" s="180" t="s">
        <v>56</v>
      </c>
      <c r="D95" s="180" t="s">
        <v>56</v>
      </c>
      <c r="E95" s="180" t="s">
        <v>56</v>
      </c>
      <c r="F95" s="180" t="s">
        <v>56</v>
      </c>
      <c r="G95" s="180" t="s">
        <v>56</v>
      </c>
      <c r="H95" s="181" t="s">
        <v>2813</v>
      </c>
      <c r="I95" s="181" t="s">
        <v>2813</v>
      </c>
      <c r="J95" s="180" t="s">
        <v>2813</v>
      </c>
      <c r="K95" s="180" t="s">
        <v>2813</v>
      </c>
      <c r="L95" s="180" t="s">
        <v>56</v>
      </c>
      <c r="M95" s="180" t="s">
        <v>56</v>
      </c>
      <c r="N95" s="180" t="s">
        <v>56</v>
      </c>
    </row>
    <row r="96" spans="1:14" ht="39">
      <c r="A96" s="184"/>
      <c r="B96" s="180" t="s">
        <v>2276</v>
      </c>
      <c r="C96" s="180" t="s">
        <v>2276</v>
      </c>
      <c r="D96" s="180" t="s">
        <v>2276</v>
      </c>
      <c r="E96" s="180" t="s">
        <v>2276</v>
      </c>
      <c r="F96" s="180" t="s">
        <v>2276</v>
      </c>
      <c r="G96" s="180" t="s">
        <v>2276</v>
      </c>
      <c r="H96" s="181" t="s">
        <v>2803</v>
      </c>
      <c r="I96" s="181" t="s">
        <v>2803</v>
      </c>
      <c r="J96" s="180" t="s">
        <v>2803</v>
      </c>
      <c r="K96" s="180" t="s">
        <v>2803</v>
      </c>
      <c r="L96" s="180" t="s">
        <v>2276</v>
      </c>
      <c r="M96" s="180" t="s">
        <v>2276</v>
      </c>
      <c r="N96" s="180" t="s">
        <v>2276</v>
      </c>
    </row>
    <row r="97" spans="1:14" ht="39">
      <c r="A97" s="184"/>
      <c r="B97" s="180" t="s">
        <v>2277</v>
      </c>
      <c r="C97" s="180" t="s">
        <v>2277</v>
      </c>
      <c r="D97" s="180" t="s">
        <v>2277</v>
      </c>
      <c r="E97" s="180" t="s">
        <v>2277</v>
      </c>
      <c r="F97" s="180" t="s">
        <v>2277</v>
      </c>
      <c r="G97" s="180" t="s">
        <v>2277</v>
      </c>
      <c r="H97" s="181" t="s">
        <v>2814</v>
      </c>
      <c r="I97" s="180" t="s">
        <v>2277</v>
      </c>
      <c r="J97" s="180" t="s">
        <v>2277</v>
      </c>
      <c r="K97" s="180" t="s">
        <v>2277</v>
      </c>
      <c r="L97" s="180" t="s">
        <v>2277</v>
      </c>
      <c r="M97" s="180" t="s">
        <v>2277</v>
      </c>
      <c r="N97" s="180" t="s">
        <v>2277</v>
      </c>
    </row>
    <row r="98" spans="1:14" ht="39">
      <c r="A98" s="184"/>
      <c r="B98" s="180" t="s">
        <v>2815</v>
      </c>
      <c r="C98" s="180" t="s">
        <v>2815</v>
      </c>
      <c r="D98" s="180" t="s">
        <v>2815</v>
      </c>
      <c r="E98" s="180" t="s">
        <v>2815</v>
      </c>
      <c r="F98" s="180" t="s">
        <v>2816</v>
      </c>
      <c r="G98" s="180" t="s">
        <v>2815</v>
      </c>
      <c r="H98" s="181" t="s">
        <v>2817</v>
      </c>
      <c r="I98" s="180" t="s">
        <v>2815</v>
      </c>
      <c r="J98" s="180" t="s">
        <v>2815</v>
      </c>
      <c r="K98" s="180" t="s">
        <v>2815</v>
      </c>
      <c r="L98" s="180" t="s">
        <v>2815</v>
      </c>
      <c r="M98" s="180" t="s">
        <v>2818</v>
      </c>
      <c r="N98" s="180" t="s">
        <v>2815</v>
      </c>
    </row>
  </sheetData>
  <phoneticPr fontId="36"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365"/>
  <sheetViews>
    <sheetView topLeftCell="A42" workbookViewId="0">
      <selection activeCell="B96" sqref="B96"/>
    </sheetView>
  </sheetViews>
  <sheetFormatPr baseColWidth="10" defaultColWidth="12.83203125" defaultRowHeight="13"/>
  <cols>
    <col min="1" max="1" width="38" style="43" customWidth="1"/>
    <col min="2" max="2" width="120.83203125" style="43" customWidth="1"/>
    <col min="3" max="3" width="12.83203125" style="43"/>
    <col min="4" max="4" width="14.83203125" style="43" customWidth="1"/>
    <col min="5" max="5" width="15.1640625" style="43" customWidth="1"/>
    <col min="6" max="16384" width="12.83203125" style="43"/>
  </cols>
  <sheetData>
    <row r="1" spans="1:2" ht="14">
      <c r="A1" s="17" t="s">
        <v>2819</v>
      </c>
      <c r="B1" s="17" t="s">
        <v>2820</v>
      </c>
    </row>
    <row r="2" spans="1:2" ht="14">
      <c r="A2" s="74" t="s">
        <v>2821</v>
      </c>
      <c r="B2" s="17"/>
    </row>
    <row r="3" spans="1:2" ht="14">
      <c r="A3" s="74" t="s">
        <v>2822</v>
      </c>
      <c r="B3" s="17" t="s">
        <v>2823</v>
      </c>
    </row>
    <row r="4" spans="1:2" ht="28">
      <c r="A4" s="74" t="s">
        <v>2824</v>
      </c>
      <c r="B4" s="74" t="s">
        <v>2825</v>
      </c>
    </row>
    <row r="5" spans="1:2" ht="14">
      <c r="A5" s="74" t="s">
        <v>2826</v>
      </c>
      <c r="B5" s="75" t="s">
        <v>2827</v>
      </c>
    </row>
    <row r="6" spans="1:2" ht="28">
      <c r="A6" s="74" t="s">
        <v>2828</v>
      </c>
      <c r="B6" s="75" t="s">
        <v>2829</v>
      </c>
    </row>
    <row r="7" spans="1:2" ht="42">
      <c r="A7" s="74" t="s">
        <v>2830</v>
      </c>
      <c r="B7" s="75" t="s">
        <v>2831</v>
      </c>
    </row>
    <row r="8" spans="1:2" ht="42">
      <c r="A8" s="74" t="s">
        <v>2832</v>
      </c>
      <c r="B8" s="75" t="s">
        <v>2833</v>
      </c>
    </row>
    <row r="9" spans="1:2" ht="14">
      <c r="A9" s="74" t="s">
        <v>2834</v>
      </c>
      <c r="B9" s="75" t="s">
        <v>2835</v>
      </c>
    </row>
    <row r="10" spans="1:2" ht="14">
      <c r="A10" s="74" t="s">
        <v>2836</v>
      </c>
    </row>
    <row r="11" spans="1:2" ht="14">
      <c r="A11" s="74" t="s">
        <v>2837</v>
      </c>
      <c r="B11" s="74"/>
    </row>
    <row r="12" spans="1:2" ht="14">
      <c r="A12" s="74" t="s">
        <v>2838</v>
      </c>
      <c r="B12" s="17" t="s">
        <v>2839</v>
      </c>
    </row>
    <row r="13" spans="1:2" ht="28">
      <c r="A13" s="74" t="s">
        <v>2840</v>
      </c>
      <c r="B13" s="76" t="s">
        <v>2841</v>
      </c>
    </row>
    <row r="14" spans="1:2" ht="16">
      <c r="A14" s="74" t="s">
        <v>2842</v>
      </c>
      <c r="B14" s="77" t="s">
        <v>2843</v>
      </c>
    </row>
    <row r="15" spans="1:2">
      <c r="A15" s="74"/>
    </row>
    <row r="16" spans="1:2" ht="14">
      <c r="A16" s="17" t="s">
        <v>2844</v>
      </c>
    </row>
    <row r="17" spans="1:3" ht="14">
      <c r="A17" s="74" t="s">
        <v>2845</v>
      </c>
    </row>
    <row r="18" spans="1:3" ht="14">
      <c r="A18" s="74" t="s">
        <v>2846</v>
      </c>
    </row>
    <row r="19" spans="1:3" ht="14">
      <c r="A19" s="74" t="s">
        <v>2847</v>
      </c>
    </row>
    <row r="20" spans="1:3">
      <c r="A20" s="74"/>
    </row>
    <row r="21" spans="1:3" ht="14">
      <c r="A21" s="74" t="s">
        <v>2848</v>
      </c>
      <c r="B21" s="43" t="s">
        <v>2849</v>
      </c>
    </row>
    <row r="22" spans="1:3">
      <c r="A22" s="74"/>
    </row>
    <row r="24" spans="1:3" ht="15" thickBot="1">
      <c r="A24" s="78" t="s">
        <v>2850</v>
      </c>
      <c r="B24" s="79" t="s">
        <v>2851</v>
      </c>
      <c r="C24" s="80"/>
    </row>
    <row r="25" spans="1:3" ht="15" thickBot="1">
      <c r="A25" s="81" t="s">
        <v>2852</v>
      </c>
      <c r="B25" s="82"/>
      <c r="C25" s="80"/>
    </row>
    <row r="26" spans="1:3" ht="28">
      <c r="A26" s="83" t="s">
        <v>2429</v>
      </c>
      <c r="B26" s="84" t="s">
        <v>2853</v>
      </c>
    </row>
    <row r="27" spans="1:3" ht="14">
      <c r="A27" s="83" t="s">
        <v>2854</v>
      </c>
      <c r="B27" s="84" t="s">
        <v>2855</v>
      </c>
    </row>
    <row r="28" spans="1:3" ht="14">
      <c r="A28" s="83" t="s">
        <v>440</v>
      </c>
      <c r="B28" s="85" t="s">
        <v>2856</v>
      </c>
    </row>
    <row r="29" spans="1:3" ht="14">
      <c r="A29" s="83" t="s">
        <v>441</v>
      </c>
      <c r="B29" s="85" t="s">
        <v>2856</v>
      </c>
    </row>
    <row r="30" spans="1:3" ht="14">
      <c r="A30" s="83" t="s">
        <v>442</v>
      </c>
      <c r="B30" s="85" t="s">
        <v>2856</v>
      </c>
    </row>
    <row r="31" spans="1:3" ht="14">
      <c r="A31" s="83" t="s">
        <v>443</v>
      </c>
      <c r="B31" s="85" t="s">
        <v>2856</v>
      </c>
    </row>
    <row r="32" spans="1:3" ht="14">
      <c r="A32" s="83" t="s">
        <v>2447</v>
      </c>
      <c r="B32" s="85"/>
    </row>
    <row r="33" spans="1:2" ht="14">
      <c r="A33" s="86" t="s">
        <v>2448</v>
      </c>
      <c r="B33" s="84" t="s">
        <v>2857</v>
      </c>
    </row>
    <row r="34" spans="1:2" ht="17">
      <c r="A34" s="86" t="s">
        <v>2449</v>
      </c>
      <c r="B34" s="85" t="s">
        <v>2858</v>
      </c>
    </row>
    <row r="35" spans="1:2" ht="17">
      <c r="A35" s="86" t="s">
        <v>2450</v>
      </c>
      <c r="B35" s="85" t="s">
        <v>2859</v>
      </c>
    </row>
    <row r="36" spans="1:2" ht="14">
      <c r="A36" s="86" t="s">
        <v>2451</v>
      </c>
      <c r="B36" s="84" t="s">
        <v>2860</v>
      </c>
    </row>
    <row r="37" spans="1:2" ht="14">
      <c r="A37" s="86" t="s">
        <v>2452</v>
      </c>
      <c r="B37" s="84" t="s">
        <v>2861</v>
      </c>
    </row>
    <row r="38" spans="1:2" ht="14">
      <c r="A38" s="86" t="s">
        <v>2453</v>
      </c>
      <c r="B38" s="84" t="s">
        <v>2862</v>
      </c>
    </row>
    <row r="39" spans="1:2" ht="14">
      <c r="A39" s="86" t="s">
        <v>453</v>
      </c>
      <c r="B39" s="84" t="s">
        <v>2863</v>
      </c>
    </row>
    <row r="40" spans="1:2" ht="14">
      <c r="A40" s="86" t="s">
        <v>2470</v>
      </c>
      <c r="B40" s="84" t="s">
        <v>2864</v>
      </c>
    </row>
    <row r="41" spans="1:2" ht="14">
      <c r="A41" s="86" t="s">
        <v>2475</v>
      </c>
      <c r="B41" s="84" t="s">
        <v>2865</v>
      </c>
    </row>
    <row r="42" spans="1:2" ht="14">
      <c r="A42" s="86" t="s">
        <v>2483</v>
      </c>
      <c r="B42" s="84" t="s">
        <v>2866</v>
      </c>
    </row>
    <row r="43" spans="1:2" ht="17">
      <c r="A43" s="87" t="s">
        <v>2492</v>
      </c>
      <c r="B43" s="84" t="s">
        <v>2867</v>
      </c>
    </row>
    <row r="44" spans="1:2" ht="14">
      <c r="A44" s="86" t="s">
        <v>2868</v>
      </c>
      <c r="B44" s="84" t="s">
        <v>2869</v>
      </c>
    </row>
    <row r="45" spans="1:2" ht="14">
      <c r="A45" s="86" t="s">
        <v>6</v>
      </c>
      <c r="B45" s="232" t="s">
        <v>2870</v>
      </c>
    </row>
    <row r="46" spans="1:2" ht="14">
      <c r="A46" s="86" t="s">
        <v>7</v>
      </c>
      <c r="B46" s="232"/>
    </row>
    <row r="47" spans="1:2" ht="14">
      <c r="A47" s="86" t="s">
        <v>8</v>
      </c>
      <c r="B47" s="232"/>
    </row>
    <row r="48" spans="1:2" ht="14">
      <c r="A48" s="86" t="s">
        <v>9</v>
      </c>
      <c r="B48" s="232"/>
    </row>
    <row r="49" spans="1:3" ht="14">
      <c r="A49" s="86" t="s">
        <v>2537</v>
      </c>
      <c r="B49" s="84" t="s">
        <v>2871</v>
      </c>
    </row>
    <row r="50" spans="1:3" ht="14">
      <c r="A50" s="86" t="s">
        <v>2549</v>
      </c>
      <c r="B50" s="84" t="s">
        <v>2872</v>
      </c>
    </row>
    <row r="51" spans="1:3" ht="51">
      <c r="A51" s="86" t="s">
        <v>2554</v>
      </c>
      <c r="B51" s="85" t="s">
        <v>2873</v>
      </c>
      <c r="C51" s="43" t="s">
        <v>2874</v>
      </c>
    </row>
    <row r="52" spans="1:3" ht="17">
      <c r="A52" s="86" t="s">
        <v>2563</v>
      </c>
      <c r="B52" s="88" t="s">
        <v>2875</v>
      </c>
    </row>
    <row r="53" spans="1:3" ht="17">
      <c r="A53" s="86" t="s">
        <v>2592</v>
      </c>
      <c r="B53" s="88" t="s">
        <v>2876</v>
      </c>
      <c r="C53" s="89"/>
    </row>
    <row r="54" spans="1:3" ht="14">
      <c r="A54" s="86" t="s">
        <v>2877</v>
      </c>
      <c r="B54" s="84" t="s">
        <v>2878</v>
      </c>
      <c r="C54" s="89"/>
    </row>
    <row r="55" spans="1:3" ht="14">
      <c r="A55" s="86" t="s">
        <v>2879</v>
      </c>
      <c r="B55" s="84" t="s">
        <v>2880</v>
      </c>
      <c r="C55" s="89"/>
    </row>
    <row r="56" spans="1:3" ht="14">
      <c r="A56" s="86" t="s">
        <v>2881</v>
      </c>
      <c r="B56" s="84" t="s">
        <v>2882</v>
      </c>
      <c r="C56" s="89"/>
    </row>
    <row r="57" spans="1:3" ht="28">
      <c r="A57" s="90" t="s">
        <v>2615</v>
      </c>
      <c r="B57" s="91" t="s">
        <v>2883</v>
      </c>
      <c r="C57" s="89"/>
    </row>
    <row r="58" spans="1:3" ht="15" thickBot="1">
      <c r="A58" s="92" t="s">
        <v>2416</v>
      </c>
      <c r="B58" s="93"/>
    </row>
    <row r="59" spans="1:3" ht="14">
      <c r="A59" s="94" t="s">
        <v>2438</v>
      </c>
      <c r="B59" s="95"/>
    </row>
    <row r="60" spans="1:3" ht="14">
      <c r="A60" s="96" t="s">
        <v>2267</v>
      </c>
      <c r="B60" s="95"/>
    </row>
    <row r="61" spans="1:3" ht="17">
      <c r="A61" s="97" t="s">
        <v>2884</v>
      </c>
      <c r="B61" s="98" t="s">
        <v>2885</v>
      </c>
    </row>
    <row r="62" spans="1:3" ht="17">
      <c r="A62" s="97" t="s">
        <v>2886</v>
      </c>
      <c r="B62" s="99" t="s">
        <v>2887</v>
      </c>
    </row>
    <row r="63" spans="1:3" ht="17">
      <c r="A63" s="97" t="s">
        <v>2888</v>
      </c>
      <c r="B63" s="99" t="s">
        <v>2889</v>
      </c>
    </row>
    <row r="64" spans="1:3" ht="17">
      <c r="A64" s="97" t="s">
        <v>2890</v>
      </c>
      <c r="B64" s="99" t="s">
        <v>2889</v>
      </c>
    </row>
    <row r="65" spans="1:2" ht="17">
      <c r="A65" s="97" t="s">
        <v>2890</v>
      </c>
      <c r="B65" s="99" t="s">
        <v>2889</v>
      </c>
    </row>
    <row r="66" spans="1:2" ht="17">
      <c r="A66" s="97" t="s">
        <v>2268</v>
      </c>
      <c r="B66" s="98" t="s">
        <v>2891</v>
      </c>
    </row>
    <row r="67" spans="1:2" ht="17">
      <c r="A67" s="97" t="s">
        <v>2269</v>
      </c>
      <c r="B67" s="98" t="s">
        <v>2891</v>
      </c>
    </row>
    <row r="68" spans="1:2" ht="17">
      <c r="A68" s="97" t="s">
        <v>2270</v>
      </c>
      <c r="B68" s="98" t="s">
        <v>2891</v>
      </c>
    </row>
    <row r="69" spans="1:2" ht="17">
      <c r="A69" s="97" t="s">
        <v>2271</v>
      </c>
      <c r="B69" s="98" t="s">
        <v>2891</v>
      </c>
    </row>
    <row r="70" spans="1:2" ht="17">
      <c r="A70" s="97" t="s">
        <v>2454</v>
      </c>
      <c r="B70" s="98" t="s">
        <v>2892</v>
      </c>
    </row>
    <row r="71" spans="1:2" ht="17">
      <c r="A71" s="97" t="s">
        <v>2459</v>
      </c>
      <c r="B71" s="98" t="s">
        <v>2893</v>
      </c>
    </row>
    <row r="72" spans="1:2" ht="17">
      <c r="A72" s="97" t="s">
        <v>2476</v>
      </c>
      <c r="B72" s="98" t="s">
        <v>2894</v>
      </c>
    </row>
    <row r="73" spans="1:2" ht="17">
      <c r="A73" s="97" t="s">
        <v>2484</v>
      </c>
      <c r="B73" s="98" t="s">
        <v>2895</v>
      </c>
    </row>
    <row r="74" spans="1:2" ht="17">
      <c r="A74" s="97" t="s">
        <v>2493</v>
      </c>
      <c r="B74" s="98" t="s">
        <v>2896</v>
      </c>
    </row>
    <row r="75" spans="1:2" ht="17">
      <c r="A75" s="97" t="s">
        <v>2498</v>
      </c>
      <c r="B75" s="98" t="s">
        <v>2897</v>
      </c>
    </row>
    <row r="76" spans="1:2" ht="17">
      <c r="A76" s="97" t="s">
        <v>2513</v>
      </c>
      <c r="B76" s="98" t="s">
        <v>2898</v>
      </c>
    </row>
    <row r="77" spans="1:2" ht="17">
      <c r="A77" s="97" t="s">
        <v>2520</v>
      </c>
      <c r="B77" s="98" t="s">
        <v>2899</v>
      </c>
    </row>
    <row r="78" spans="1:2" ht="17">
      <c r="A78" s="97" t="s">
        <v>2528</v>
      </c>
      <c r="B78" s="98" t="s">
        <v>2900</v>
      </c>
    </row>
    <row r="79" spans="1:2" ht="17">
      <c r="A79" s="97" t="s">
        <v>2538</v>
      </c>
      <c r="B79" s="98" t="s">
        <v>2901</v>
      </c>
    </row>
    <row r="80" spans="1:2" ht="17">
      <c r="A80" s="97" t="s">
        <v>2555</v>
      </c>
      <c r="B80" s="98" t="s">
        <v>2902</v>
      </c>
    </row>
    <row r="81" spans="1:2" ht="17">
      <c r="A81" s="97" t="s">
        <v>2564</v>
      </c>
      <c r="B81" s="98" t="s">
        <v>2903</v>
      </c>
    </row>
    <row r="82" spans="1:2" ht="17">
      <c r="A82" s="97" t="s">
        <v>2571</v>
      </c>
      <c r="B82" s="98" t="s">
        <v>2904</v>
      </c>
    </row>
    <row r="83" spans="1:2" ht="17">
      <c r="A83" s="97" t="s">
        <v>2581</v>
      </c>
      <c r="B83" s="98" t="s">
        <v>2905</v>
      </c>
    </row>
    <row r="84" spans="1:2" ht="17">
      <c r="A84" s="97" t="s">
        <v>2598</v>
      </c>
      <c r="B84" s="98" t="s">
        <v>2906</v>
      </c>
    </row>
    <row r="85" spans="1:2" ht="17">
      <c r="A85" s="97" t="s">
        <v>2606</v>
      </c>
      <c r="B85" s="98" t="s">
        <v>2907</v>
      </c>
    </row>
    <row r="86" spans="1:2" ht="17">
      <c r="A86" s="97" t="s">
        <v>18</v>
      </c>
      <c r="B86" s="233" t="s">
        <v>2908</v>
      </c>
    </row>
    <row r="87" spans="1:2" ht="17">
      <c r="A87" s="97" t="s">
        <v>19</v>
      </c>
      <c r="B87" s="234"/>
    </row>
    <row r="88" spans="1:2" ht="17">
      <c r="A88" s="97" t="s">
        <v>20</v>
      </c>
      <c r="B88" s="234"/>
    </row>
    <row r="89" spans="1:2" ht="17">
      <c r="A89" s="97" t="s">
        <v>21</v>
      </c>
      <c r="B89" s="235"/>
    </row>
    <row r="90" spans="1:2" ht="17">
      <c r="A90" s="97" t="s">
        <v>2272</v>
      </c>
      <c r="B90" s="98" t="s">
        <v>2909</v>
      </c>
    </row>
    <row r="91" spans="1:2" ht="17">
      <c r="A91" s="97" t="s">
        <v>2623</v>
      </c>
      <c r="B91" s="98" t="s">
        <v>2910</v>
      </c>
    </row>
    <row r="92" spans="1:2" ht="17">
      <c r="A92" s="97" t="s">
        <v>2638</v>
      </c>
      <c r="B92" s="98" t="s">
        <v>2911</v>
      </c>
    </row>
    <row r="93" spans="1:2" ht="17">
      <c r="A93" s="97" t="s">
        <v>2644</v>
      </c>
      <c r="B93" s="98" t="s">
        <v>2912</v>
      </c>
    </row>
    <row r="94" spans="1:2" ht="17">
      <c r="A94" s="97" t="s">
        <v>2273</v>
      </c>
      <c r="B94" s="98" t="s">
        <v>2913</v>
      </c>
    </row>
    <row r="95" spans="1:2" ht="17">
      <c r="A95" s="97" t="s">
        <v>2666</v>
      </c>
      <c r="B95" s="98" t="s">
        <v>2914</v>
      </c>
    </row>
    <row r="96" spans="1:2" ht="17">
      <c r="A96" s="97" t="s">
        <v>2274</v>
      </c>
      <c r="B96" s="98" t="s">
        <v>2915</v>
      </c>
    </row>
    <row r="97" spans="1:2" ht="17">
      <c r="A97" s="97" t="s">
        <v>2275</v>
      </c>
      <c r="B97" s="98" t="s">
        <v>2916</v>
      </c>
    </row>
    <row r="98" spans="1:2" ht="17">
      <c r="A98" s="97" t="s">
        <v>2705</v>
      </c>
      <c r="B98" s="98" t="s">
        <v>2917</v>
      </c>
    </row>
    <row r="99" spans="1:2" ht="17">
      <c r="A99" s="97" t="s">
        <v>2713</v>
      </c>
      <c r="B99" s="98" t="s">
        <v>2918</v>
      </c>
    </row>
    <row r="100" spans="1:2" ht="17">
      <c r="A100" s="97" t="s">
        <v>2728</v>
      </c>
      <c r="B100" s="98" t="s">
        <v>2919</v>
      </c>
    </row>
    <row r="101" spans="1:2" ht="17">
      <c r="A101" s="97" t="s">
        <v>2734</v>
      </c>
      <c r="B101" s="98" t="s">
        <v>2920</v>
      </c>
    </row>
    <row r="102" spans="1:2" ht="17">
      <c r="A102" s="97" t="s">
        <v>2747</v>
      </c>
      <c r="B102" s="98" t="s">
        <v>2921</v>
      </c>
    </row>
    <row r="103" spans="1:2" ht="17">
      <c r="A103" s="97" t="s">
        <v>2757</v>
      </c>
      <c r="B103" s="98" t="s">
        <v>2922</v>
      </c>
    </row>
    <row r="104" spans="1:2" ht="17">
      <c r="A104" s="97" t="s">
        <v>2772</v>
      </c>
      <c r="B104" s="98" t="s">
        <v>2923</v>
      </c>
    </row>
    <row r="105" spans="1:2" ht="17">
      <c r="A105" s="97" t="s">
        <v>2779</v>
      </c>
      <c r="B105" s="98" t="s">
        <v>2924</v>
      </c>
    </row>
    <row r="106" spans="1:2" ht="17">
      <c r="A106" s="97" t="s">
        <v>56</v>
      </c>
      <c r="B106" s="98" t="s">
        <v>2925</v>
      </c>
    </row>
    <row r="107" spans="1:2" ht="17">
      <c r="A107" s="97" t="s">
        <v>2276</v>
      </c>
      <c r="B107" s="98" t="s">
        <v>2926</v>
      </c>
    </row>
    <row r="108" spans="1:2" ht="17">
      <c r="A108" s="96" t="s">
        <v>2277</v>
      </c>
      <c r="B108" s="98" t="s">
        <v>2927</v>
      </c>
    </row>
    <row r="109" spans="1:2" ht="14">
      <c r="A109" s="96" t="s">
        <v>2818</v>
      </c>
      <c r="B109" s="93" t="s">
        <v>2928</v>
      </c>
    </row>
    <row r="110" spans="1:2" ht="14">
      <c r="A110" s="100" t="s">
        <v>2417</v>
      </c>
      <c r="B110" s="101" t="s">
        <v>2929</v>
      </c>
    </row>
    <row r="111" spans="1:2" ht="14">
      <c r="A111" s="102" t="s">
        <v>2438</v>
      </c>
      <c r="B111" s="103"/>
    </row>
    <row r="112" spans="1:2" ht="14">
      <c r="A112" s="102" t="s">
        <v>2267</v>
      </c>
      <c r="B112" s="103"/>
    </row>
    <row r="113" spans="1:2" ht="17">
      <c r="A113" s="104" t="s">
        <v>2884</v>
      </c>
      <c r="B113" s="105" t="s">
        <v>2885</v>
      </c>
    </row>
    <row r="114" spans="1:2" ht="17">
      <c r="A114" s="104" t="s">
        <v>2930</v>
      </c>
      <c r="B114" s="106" t="s">
        <v>2887</v>
      </c>
    </row>
    <row r="115" spans="1:2" ht="17">
      <c r="A115" s="104" t="s">
        <v>2931</v>
      </c>
      <c r="B115" s="101" t="s">
        <v>2932</v>
      </c>
    </row>
    <row r="116" spans="1:2" ht="17">
      <c r="A116" s="104" t="s">
        <v>2933</v>
      </c>
      <c r="B116" s="105" t="s">
        <v>2934</v>
      </c>
    </row>
    <row r="117" spans="1:2" ht="17">
      <c r="A117" s="104" t="s">
        <v>2935</v>
      </c>
      <c r="B117" s="105" t="s">
        <v>2936</v>
      </c>
    </row>
    <row r="118" spans="1:2" ht="17">
      <c r="A118" s="104" t="s">
        <v>2937</v>
      </c>
      <c r="B118" s="105" t="s">
        <v>2938</v>
      </c>
    </row>
    <row r="119" spans="1:2" ht="42">
      <c r="A119" s="102" t="s">
        <v>2939</v>
      </c>
      <c r="B119" s="107" t="s">
        <v>2940</v>
      </c>
    </row>
    <row r="120" spans="1:2" ht="17">
      <c r="A120" s="104" t="s">
        <v>2941</v>
      </c>
      <c r="B120" s="101" t="s">
        <v>2942</v>
      </c>
    </row>
    <row r="121" spans="1:2" ht="17">
      <c r="A121" s="104" t="s">
        <v>2943</v>
      </c>
      <c r="B121" s="101" t="s">
        <v>2944</v>
      </c>
    </row>
    <row r="122" spans="1:2" ht="17">
      <c r="A122" s="104" t="s">
        <v>2945</v>
      </c>
      <c r="B122" s="105" t="s">
        <v>2946</v>
      </c>
    </row>
    <row r="123" spans="1:2" ht="17">
      <c r="A123" s="104" t="s">
        <v>2947</v>
      </c>
      <c r="B123" s="105" t="s">
        <v>2948</v>
      </c>
    </row>
    <row r="124" spans="1:2" ht="17">
      <c r="A124" s="104" t="s">
        <v>56</v>
      </c>
      <c r="B124" s="105" t="s">
        <v>2925</v>
      </c>
    </row>
    <row r="125" spans="1:2" ht="17">
      <c r="A125" s="104" t="s">
        <v>2276</v>
      </c>
      <c r="B125" s="105" t="s">
        <v>2926</v>
      </c>
    </row>
    <row r="126" spans="1:2" ht="14">
      <c r="A126" s="102" t="s">
        <v>2277</v>
      </c>
      <c r="B126" s="101" t="s">
        <v>2949</v>
      </c>
    </row>
    <row r="127" spans="1:2" ht="14">
      <c r="A127" s="102" t="s">
        <v>2815</v>
      </c>
      <c r="B127" s="101" t="s">
        <v>2928</v>
      </c>
    </row>
    <row r="128" spans="1:2" ht="14">
      <c r="A128" s="108" t="s">
        <v>2418</v>
      </c>
      <c r="B128" s="93" t="s">
        <v>2950</v>
      </c>
    </row>
    <row r="129" spans="1:2" ht="14">
      <c r="A129" s="94" t="s">
        <v>2431</v>
      </c>
      <c r="B129" s="95"/>
    </row>
    <row r="130" spans="1:2" ht="14">
      <c r="A130" s="96" t="s">
        <v>2438</v>
      </c>
      <c r="B130" s="95"/>
    </row>
    <row r="131" spans="1:2" ht="14">
      <c r="A131" s="96" t="s">
        <v>2267</v>
      </c>
      <c r="B131" s="95"/>
    </row>
    <row r="132" spans="1:2" ht="17">
      <c r="A132" s="97" t="s">
        <v>2884</v>
      </c>
      <c r="B132" s="98" t="s">
        <v>2885</v>
      </c>
    </row>
    <row r="133" spans="1:2" ht="17">
      <c r="A133" s="97" t="s">
        <v>2951</v>
      </c>
      <c r="B133" s="99" t="s">
        <v>2889</v>
      </c>
    </row>
    <row r="134" spans="1:2" ht="14">
      <c r="A134" s="96" t="s">
        <v>2952</v>
      </c>
      <c r="B134" s="93" t="s">
        <v>2953</v>
      </c>
    </row>
    <row r="135" spans="1:2" ht="17">
      <c r="A135" s="97" t="s">
        <v>2954</v>
      </c>
      <c r="B135" s="98" t="s">
        <v>2955</v>
      </c>
    </row>
    <row r="136" spans="1:2" ht="17">
      <c r="A136" s="97" t="s">
        <v>2956</v>
      </c>
      <c r="B136" s="98" t="s">
        <v>2957</v>
      </c>
    </row>
    <row r="137" spans="1:2" ht="17">
      <c r="A137" s="97" t="s">
        <v>2958</v>
      </c>
      <c r="B137" s="98" t="s">
        <v>2959</v>
      </c>
    </row>
    <row r="138" spans="1:2" ht="42">
      <c r="A138" s="96" t="s">
        <v>2939</v>
      </c>
      <c r="B138" s="93" t="s">
        <v>2940</v>
      </c>
    </row>
    <row r="139" spans="1:2" ht="17">
      <c r="A139" s="97" t="s">
        <v>2960</v>
      </c>
      <c r="B139" s="93" t="s">
        <v>2961</v>
      </c>
    </row>
    <row r="140" spans="1:2" ht="17">
      <c r="A140" s="97" t="s">
        <v>2962</v>
      </c>
      <c r="B140" s="98" t="s">
        <v>2963</v>
      </c>
    </row>
    <row r="141" spans="1:2" ht="17">
      <c r="A141" s="97" t="s">
        <v>2964</v>
      </c>
      <c r="B141" s="98" t="s">
        <v>2965</v>
      </c>
    </row>
    <row r="142" spans="1:2" ht="17">
      <c r="A142" s="97" t="s">
        <v>2966</v>
      </c>
      <c r="B142" s="98" t="s">
        <v>2967</v>
      </c>
    </row>
    <row r="143" spans="1:2" ht="17">
      <c r="A143" s="97" t="s">
        <v>56</v>
      </c>
      <c r="B143" s="98" t="s">
        <v>2925</v>
      </c>
    </row>
    <row r="144" spans="1:2" ht="17">
      <c r="A144" s="97" t="s">
        <v>2276</v>
      </c>
      <c r="B144" s="98" t="s">
        <v>2926</v>
      </c>
    </row>
    <row r="145" spans="1:2" ht="14">
      <c r="A145" s="96" t="s">
        <v>2277</v>
      </c>
      <c r="B145" s="93" t="s">
        <v>2949</v>
      </c>
    </row>
    <row r="146" spans="1:2" ht="14">
      <c r="A146" s="96" t="s">
        <v>2815</v>
      </c>
      <c r="B146" s="93" t="s">
        <v>2928</v>
      </c>
    </row>
    <row r="147" spans="1:2" ht="14">
      <c r="A147" s="109" t="s">
        <v>2419</v>
      </c>
      <c r="B147" s="110"/>
    </row>
    <row r="148" spans="1:2" ht="14">
      <c r="A148" s="111" t="s">
        <v>2968</v>
      </c>
      <c r="B148" s="110" t="s">
        <v>2969</v>
      </c>
    </row>
    <row r="149" spans="1:2" ht="14">
      <c r="A149" s="111" t="s">
        <v>2439</v>
      </c>
      <c r="B149" s="110" t="s">
        <v>2970</v>
      </c>
    </row>
    <row r="150" spans="1:2" ht="14">
      <c r="A150" s="112" t="s">
        <v>2441</v>
      </c>
      <c r="B150" s="110" t="s">
        <v>2971</v>
      </c>
    </row>
    <row r="151" spans="1:2" ht="17">
      <c r="A151" s="113" t="s">
        <v>2884</v>
      </c>
      <c r="B151" s="114" t="s">
        <v>2972</v>
      </c>
    </row>
    <row r="152" spans="1:2" ht="17">
      <c r="A152" s="113" t="s">
        <v>2951</v>
      </c>
      <c r="B152" s="115" t="s">
        <v>2889</v>
      </c>
    </row>
    <row r="153" spans="1:2" ht="14">
      <c r="A153" s="112" t="s">
        <v>2973</v>
      </c>
      <c r="B153" s="110" t="s">
        <v>2974</v>
      </c>
    </row>
    <row r="154" spans="1:2" ht="17">
      <c r="A154" s="113" t="s">
        <v>2975</v>
      </c>
      <c r="B154" s="110" t="s">
        <v>2976</v>
      </c>
    </row>
    <row r="155" spans="1:2" ht="17">
      <c r="A155" s="113" t="s">
        <v>2977</v>
      </c>
      <c r="B155" s="114" t="s">
        <v>2978</v>
      </c>
    </row>
    <row r="156" spans="1:2" ht="17">
      <c r="A156" s="113" t="s">
        <v>2979</v>
      </c>
      <c r="B156" s="114" t="s">
        <v>2980</v>
      </c>
    </row>
    <row r="157" spans="1:2" ht="42">
      <c r="A157" s="112" t="s">
        <v>2939</v>
      </c>
      <c r="B157" s="110" t="s">
        <v>2940</v>
      </c>
    </row>
    <row r="158" spans="1:2" ht="14">
      <c r="A158" s="112" t="s">
        <v>2981</v>
      </c>
      <c r="B158" s="110" t="s">
        <v>2982</v>
      </c>
    </row>
    <row r="159" spans="1:2" ht="17">
      <c r="A159" s="113" t="s">
        <v>2983</v>
      </c>
      <c r="B159" s="110" t="s">
        <v>2984</v>
      </c>
    </row>
    <row r="160" spans="1:2" ht="17">
      <c r="A160" s="113" t="s">
        <v>2985</v>
      </c>
      <c r="B160" s="114" t="s">
        <v>2986</v>
      </c>
    </row>
    <row r="161" spans="1:2" ht="17">
      <c r="A161" s="113" t="s">
        <v>2987</v>
      </c>
      <c r="B161" s="114" t="s">
        <v>2980</v>
      </c>
    </row>
    <row r="162" spans="1:2" ht="17">
      <c r="A162" s="113" t="s">
        <v>56</v>
      </c>
      <c r="B162" s="114" t="s">
        <v>2925</v>
      </c>
    </row>
    <row r="163" spans="1:2" ht="17">
      <c r="A163" s="113" t="s">
        <v>2276</v>
      </c>
      <c r="B163" s="114" t="s">
        <v>2926</v>
      </c>
    </row>
    <row r="164" spans="1:2" ht="14">
      <c r="A164" s="112" t="s">
        <v>2277</v>
      </c>
      <c r="B164" s="110" t="s">
        <v>2949</v>
      </c>
    </row>
    <row r="165" spans="1:2" ht="14">
      <c r="A165" s="112" t="s">
        <v>2815</v>
      </c>
      <c r="B165" s="110" t="s">
        <v>2988</v>
      </c>
    </row>
    <row r="166" spans="1:2" ht="14">
      <c r="A166" s="79" t="s">
        <v>2420</v>
      </c>
      <c r="B166" s="101"/>
    </row>
    <row r="167" spans="1:2" ht="14">
      <c r="A167" s="116" t="s">
        <v>2433</v>
      </c>
      <c r="B167" s="103"/>
    </row>
    <row r="168" spans="1:2" ht="14">
      <c r="A168" s="102" t="s">
        <v>2314</v>
      </c>
      <c r="B168" s="101" t="s">
        <v>2989</v>
      </c>
    </row>
    <row r="169" spans="1:2" ht="14">
      <c r="A169" s="102" t="s">
        <v>2442</v>
      </c>
      <c r="B169" s="101" t="s">
        <v>2990</v>
      </c>
    </row>
    <row r="170" spans="1:2" ht="17">
      <c r="A170" s="104" t="s">
        <v>2884</v>
      </c>
      <c r="B170" s="105" t="s">
        <v>2885</v>
      </c>
    </row>
    <row r="171" spans="1:2" ht="17">
      <c r="A171" s="104" t="s">
        <v>2951</v>
      </c>
      <c r="B171" s="105" t="s">
        <v>2887</v>
      </c>
    </row>
    <row r="172" spans="1:2" ht="17">
      <c r="A172" s="104" t="s">
        <v>2991</v>
      </c>
      <c r="B172" s="101" t="s">
        <v>2974</v>
      </c>
    </row>
    <row r="173" spans="1:2" ht="16">
      <c r="A173" s="104" t="s">
        <v>2992</v>
      </c>
      <c r="B173" s="117" t="s">
        <v>2993</v>
      </c>
    </row>
    <row r="174" spans="1:2" ht="16">
      <c r="A174" s="104" t="s">
        <v>2994</v>
      </c>
      <c r="B174" s="117" t="s">
        <v>2995</v>
      </c>
    </row>
    <row r="175" spans="1:2" ht="16">
      <c r="A175" s="104" t="s">
        <v>2996</v>
      </c>
      <c r="B175" s="117" t="s">
        <v>2997</v>
      </c>
    </row>
    <row r="176" spans="1:2" ht="42">
      <c r="A176" s="102" t="s">
        <v>2939</v>
      </c>
      <c r="B176" s="101" t="s">
        <v>2940</v>
      </c>
    </row>
    <row r="177" spans="1:2" ht="14">
      <c r="A177" s="102" t="s">
        <v>2981</v>
      </c>
      <c r="B177" s="101" t="s">
        <v>2982</v>
      </c>
    </row>
    <row r="178" spans="1:2" ht="17">
      <c r="A178" s="104" t="s">
        <v>2998</v>
      </c>
      <c r="B178" s="118" t="s">
        <v>2999</v>
      </c>
    </row>
    <row r="179" spans="1:2" ht="17">
      <c r="A179" s="104" t="s">
        <v>3000</v>
      </c>
      <c r="B179" s="118" t="s">
        <v>3001</v>
      </c>
    </row>
    <row r="180" spans="1:2" ht="17">
      <c r="A180" s="104" t="s">
        <v>3002</v>
      </c>
      <c r="B180" s="118" t="s">
        <v>3003</v>
      </c>
    </row>
    <row r="181" spans="1:2" ht="17">
      <c r="A181" s="102" t="s">
        <v>56</v>
      </c>
      <c r="B181" s="105" t="s">
        <v>2925</v>
      </c>
    </row>
    <row r="182" spans="1:2" ht="17">
      <c r="A182" s="102" t="s">
        <v>2276</v>
      </c>
      <c r="B182" s="105" t="s">
        <v>2926</v>
      </c>
    </row>
    <row r="183" spans="1:2" ht="14">
      <c r="A183" s="102" t="s">
        <v>2277</v>
      </c>
      <c r="B183" s="101" t="s">
        <v>2949</v>
      </c>
    </row>
    <row r="184" spans="1:2" ht="14">
      <c r="A184" s="102" t="s">
        <v>2816</v>
      </c>
      <c r="B184" s="101" t="s">
        <v>2988</v>
      </c>
    </row>
    <row r="185" spans="1:2" ht="14">
      <c r="A185" s="109" t="s">
        <v>2421</v>
      </c>
      <c r="B185" s="110"/>
    </row>
    <row r="186" spans="1:2" ht="14">
      <c r="A186" s="111" t="s">
        <v>2434</v>
      </c>
      <c r="B186" s="119"/>
    </row>
    <row r="187" spans="1:2" ht="14">
      <c r="A187" s="112" t="s">
        <v>2439</v>
      </c>
      <c r="B187" s="110" t="s">
        <v>2970</v>
      </c>
    </row>
    <row r="188" spans="1:2" ht="14">
      <c r="A188" s="112" t="s">
        <v>2441</v>
      </c>
      <c r="B188" s="110" t="s">
        <v>3004</v>
      </c>
    </row>
    <row r="189" spans="1:2" ht="17">
      <c r="A189" s="113" t="s">
        <v>2884</v>
      </c>
      <c r="B189" s="114" t="s">
        <v>2972</v>
      </c>
    </row>
    <row r="190" spans="1:2" ht="17">
      <c r="A190" s="113" t="s">
        <v>2930</v>
      </c>
      <c r="B190" s="114" t="s">
        <v>2889</v>
      </c>
    </row>
    <row r="191" spans="1:2" ht="14">
      <c r="A191" s="112" t="s">
        <v>2991</v>
      </c>
      <c r="B191" s="110" t="s">
        <v>2974</v>
      </c>
    </row>
    <row r="192" spans="1:2" ht="17">
      <c r="A192" s="113" t="s">
        <v>3005</v>
      </c>
      <c r="B192" s="110" t="s">
        <v>2974</v>
      </c>
    </row>
    <row r="193" spans="1:2" ht="17">
      <c r="A193" s="113" t="s">
        <v>3006</v>
      </c>
      <c r="B193" s="110" t="s">
        <v>2974</v>
      </c>
    </row>
    <row r="194" spans="1:2" ht="17">
      <c r="A194" s="113" t="s">
        <v>3007</v>
      </c>
      <c r="B194" s="110" t="s">
        <v>2974</v>
      </c>
    </row>
    <row r="195" spans="1:2" ht="42">
      <c r="A195" s="112" t="s">
        <v>2939</v>
      </c>
      <c r="B195" s="110" t="s">
        <v>2940</v>
      </c>
    </row>
    <row r="196" spans="1:2" ht="14">
      <c r="A196" s="112" t="s">
        <v>2981</v>
      </c>
      <c r="B196" s="110" t="s">
        <v>2982</v>
      </c>
    </row>
    <row r="197" spans="1:2" ht="17">
      <c r="A197" s="113" t="s">
        <v>3008</v>
      </c>
      <c r="B197" s="110" t="s">
        <v>2984</v>
      </c>
    </row>
    <row r="198" spans="1:2" ht="17">
      <c r="A198" s="113" t="s">
        <v>3000</v>
      </c>
      <c r="B198" s="110" t="s">
        <v>2986</v>
      </c>
    </row>
    <row r="199" spans="1:2" ht="17">
      <c r="A199" s="113" t="s">
        <v>3009</v>
      </c>
      <c r="B199" s="110" t="s">
        <v>3010</v>
      </c>
    </row>
    <row r="200" spans="1:2" ht="17">
      <c r="A200" s="112" t="s">
        <v>56</v>
      </c>
      <c r="B200" s="114" t="s">
        <v>2925</v>
      </c>
    </row>
    <row r="201" spans="1:2" ht="17">
      <c r="A201" s="112" t="s">
        <v>2276</v>
      </c>
      <c r="B201" s="114" t="s">
        <v>2926</v>
      </c>
    </row>
    <row r="202" spans="1:2" ht="14">
      <c r="A202" s="112" t="s">
        <v>2277</v>
      </c>
      <c r="B202" s="110" t="s">
        <v>2949</v>
      </c>
    </row>
    <row r="203" spans="1:2" ht="14">
      <c r="A203" s="112" t="s">
        <v>2815</v>
      </c>
      <c r="B203" s="110" t="s">
        <v>2988</v>
      </c>
    </row>
    <row r="204" spans="1:2" ht="15" thickBot="1">
      <c r="A204" s="120" t="s">
        <v>2422</v>
      </c>
      <c r="B204" s="121"/>
    </row>
    <row r="205" spans="1:2" ht="17">
      <c r="A205" s="122" t="s">
        <v>2884</v>
      </c>
      <c r="B205" s="123" t="s">
        <v>2972</v>
      </c>
    </row>
    <row r="206" spans="1:2" ht="17">
      <c r="A206" s="124" t="s">
        <v>2930</v>
      </c>
      <c r="B206" s="123" t="s">
        <v>2889</v>
      </c>
    </row>
    <row r="207" spans="1:2" ht="14">
      <c r="A207" s="125" t="s">
        <v>3011</v>
      </c>
      <c r="B207" s="121" t="s">
        <v>3012</v>
      </c>
    </row>
    <row r="208" spans="1:2" ht="17">
      <c r="A208" s="124" t="s">
        <v>3013</v>
      </c>
      <c r="B208" s="121" t="s">
        <v>3014</v>
      </c>
    </row>
    <row r="209" spans="1:2" ht="17">
      <c r="A209" s="124" t="s">
        <v>3015</v>
      </c>
      <c r="B209" s="121" t="s">
        <v>3016</v>
      </c>
    </row>
    <row r="210" spans="1:2" ht="14">
      <c r="A210" s="125" t="s">
        <v>3017</v>
      </c>
      <c r="B210" s="121" t="s">
        <v>3018</v>
      </c>
    </row>
    <row r="211" spans="1:2" ht="17">
      <c r="A211" s="124" t="s">
        <v>3019</v>
      </c>
      <c r="B211" s="121" t="s">
        <v>3020</v>
      </c>
    </row>
    <row r="212" spans="1:2" ht="28">
      <c r="A212" s="125" t="s">
        <v>3021</v>
      </c>
      <c r="B212" s="126" t="s">
        <v>3022</v>
      </c>
    </row>
    <row r="213" spans="1:2" ht="17">
      <c r="A213" s="125" t="s">
        <v>15</v>
      </c>
      <c r="B213" s="123" t="s">
        <v>3023</v>
      </c>
    </row>
    <row r="214" spans="1:2" ht="42">
      <c r="A214" s="125" t="s">
        <v>3024</v>
      </c>
      <c r="B214" s="121" t="s">
        <v>2940</v>
      </c>
    </row>
    <row r="215" spans="1:2" ht="17">
      <c r="A215" s="124" t="s">
        <v>3025</v>
      </c>
      <c r="B215" s="121" t="s">
        <v>3026</v>
      </c>
    </row>
    <row r="216" spans="1:2" ht="17">
      <c r="A216" s="124" t="s">
        <v>3027</v>
      </c>
      <c r="B216" s="121" t="s">
        <v>3028</v>
      </c>
    </row>
    <row r="217" spans="1:2" ht="17">
      <c r="A217" s="124" t="s">
        <v>3029</v>
      </c>
      <c r="B217" s="121" t="s">
        <v>3030</v>
      </c>
    </row>
    <row r="218" spans="1:2" ht="14">
      <c r="A218" s="125" t="s">
        <v>3031</v>
      </c>
      <c r="B218" s="121" t="s">
        <v>3032</v>
      </c>
    </row>
    <row r="219" spans="1:2" ht="14">
      <c r="A219" s="125" t="s">
        <v>3033</v>
      </c>
      <c r="B219" s="121" t="s">
        <v>3034</v>
      </c>
    </row>
    <row r="220" spans="1:2" ht="34">
      <c r="A220" s="125" t="s">
        <v>3035</v>
      </c>
      <c r="B220" s="123" t="s">
        <v>3036</v>
      </c>
    </row>
    <row r="221" spans="1:2" ht="28">
      <c r="A221" s="125" t="s">
        <v>3037</v>
      </c>
      <c r="B221" s="126" t="s">
        <v>3038</v>
      </c>
    </row>
    <row r="222" spans="1:2" ht="28">
      <c r="A222" s="125" t="s">
        <v>3039</v>
      </c>
      <c r="B222" s="127" t="s">
        <v>3040</v>
      </c>
    </row>
    <row r="223" spans="1:2" ht="42">
      <c r="A223" s="125" t="s">
        <v>3041</v>
      </c>
      <c r="B223" s="127" t="s">
        <v>3042</v>
      </c>
    </row>
    <row r="224" spans="1:2" ht="42">
      <c r="A224" s="125" t="s">
        <v>3043</v>
      </c>
      <c r="B224" s="126" t="s">
        <v>3044</v>
      </c>
    </row>
    <row r="225" spans="1:3" ht="28">
      <c r="A225" s="125" t="s">
        <v>3045</v>
      </c>
      <c r="B225" s="126" t="s">
        <v>3046</v>
      </c>
    </row>
    <row r="226" spans="1:3" ht="28">
      <c r="A226" s="125" t="s">
        <v>3047</v>
      </c>
      <c r="B226" s="126" t="s">
        <v>3048</v>
      </c>
    </row>
    <row r="227" spans="1:3" ht="28">
      <c r="A227" s="125" t="s">
        <v>3049</v>
      </c>
      <c r="B227" s="126" t="s">
        <v>3050</v>
      </c>
    </row>
    <row r="228" spans="1:3" ht="17">
      <c r="A228" s="125" t="s">
        <v>15</v>
      </c>
      <c r="B228" s="123" t="s">
        <v>3051</v>
      </c>
    </row>
    <row r="229" spans="1:3" ht="17">
      <c r="A229" s="125" t="s">
        <v>2277</v>
      </c>
      <c r="B229" s="123" t="s">
        <v>2927</v>
      </c>
    </row>
    <row r="230" spans="1:3" ht="14">
      <c r="A230" s="125" t="s">
        <v>2815</v>
      </c>
      <c r="B230" s="121" t="s">
        <v>2988</v>
      </c>
    </row>
    <row r="231" spans="1:3" ht="45">
      <c r="A231" s="128" t="s">
        <v>3052</v>
      </c>
      <c r="B231" s="123" t="s">
        <v>3053</v>
      </c>
    </row>
    <row r="232" spans="1:3" ht="15" thickBot="1">
      <c r="A232" s="129" t="s">
        <v>2423</v>
      </c>
      <c r="B232" s="101"/>
    </row>
    <row r="233" spans="1:3" ht="17">
      <c r="A233" s="104" t="s">
        <v>2884</v>
      </c>
      <c r="B233" s="105" t="s">
        <v>2885</v>
      </c>
    </row>
    <row r="234" spans="1:3" ht="17">
      <c r="A234" s="104" t="s">
        <v>3054</v>
      </c>
      <c r="B234" s="106" t="s">
        <v>3055</v>
      </c>
    </row>
    <row r="235" spans="1:3" ht="17">
      <c r="A235" s="104" t="s">
        <v>3056</v>
      </c>
      <c r="B235" s="101" t="s">
        <v>3057</v>
      </c>
    </row>
    <row r="236" spans="1:3" ht="17">
      <c r="A236" s="104" t="s">
        <v>3058</v>
      </c>
      <c r="B236" s="118" t="s">
        <v>3059</v>
      </c>
      <c r="C236" s="74"/>
    </row>
    <row r="237" spans="1:3" ht="17">
      <c r="A237" s="104" t="s">
        <v>3060</v>
      </c>
      <c r="B237" s="118" t="s">
        <v>3061</v>
      </c>
      <c r="C237" s="74"/>
    </row>
    <row r="238" spans="1:3" ht="14">
      <c r="A238" s="102" t="s">
        <v>3062</v>
      </c>
      <c r="B238" s="101" t="s">
        <v>3063</v>
      </c>
      <c r="C238" s="74"/>
    </row>
    <row r="239" spans="1:3" ht="17">
      <c r="A239" s="104" t="s">
        <v>3064</v>
      </c>
      <c r="B239" s="118" t="s">
        <v>3065</v>
      </c>
      <c r="C239" s="74"/>
    </row>
    <row r="240" spans="1:3" ht="28">
      <c r="A240" s="102" t="s">
        <v>3021</v>
      </c>
      <c r="B240" s="130" t="s">
        <v>3022</v>
      </c>
      <c r="C240" s="74"/>
    </row>
    <row r="241" spans="1:3" ht="16">
      <c r="A241" s="102" t="s">
        <v>15</v>
      </c>
      <c r="B241" s="117" t="s">
        <v>3066</v>
      </c>
      <c r="C241" s="74"/>
    </row>
    <row r="242" spans="1:3" ht="42">
      <c r="A242" s="102" t="s">
        <v>3024</v>
      </c>
      <c r="B242" s="101" t="s">
        <v>2908</v>
      </c>
    </row>
    <row r="243" spans="1:3" ht="14">
      <c r="A243" s="102" t="s">
        <v>3067</v>
      </c>
      <c r="B243" s="101" t="s">
        <v>3068</v>
      </c>
    </row>
    <row r="244" spans="1:3" ht="17">
      <c r="A244" s="104" t="s">
        <v>3069</v>
      </c>
      <c r="B244" s="101" t="s">
        <v>3070</v>
      </c>
      <c r="C244" s="74"/>
    </row>
    <row r="245" spans="1:3" ht="17">
      <c r="A245" s="104" t="s">
        <v>3071</v>
      </c>
      <c r="B245" s="101" t="s">
        <v>3072</v>
      </c>
      <c r="C245" s="74"/>
    </row>
    <row r="246" spans="1:3" ht="14">
      <c r="A246" s="102" t="s">
        <v>3073</v>
      </c>
      <c r="B246" s="101" t="s">
        <v>3074</v>
      </c>
      <c r="C246" s="74"/>
    </row>
    <row r="247" spans="1:3" ht="17">
      <c r="A247" s="104" t="s">
        <v>3075</v>
      </c>
      <c r="B247" s="101" t="s">
        <v>3076</v>
      </c>
      <c r="C247" s="74"/>
    </row>
    <row r="248" spans="1:3" ht="34">
      <c r="A248" s="102" t="s">
        <v>3077</v>
      </c>
      <c r="B248" s="105" t="s">
        <v>3078</v>
      </c>
      <c r="C248" s="74"/>
    </row>
    <row r="249" spans="1:3" ht="28">
      <c r="A249" s="102" t="s">
        <v>3079</v>
      </c>
      <c r="B249" s="101" t="s">
        <v>3080</v>
      </c>
      <c r="C249" s="74"/>
    </row>
    <row r="250" spans="1:3" ht="28">
      <c r="A250" s="102" t="s">
        <v>3081</v>
      </c>
      <c r="B250" s="101" t="s">
        <v>3082</v>
      </c>
      <c r="C250" s="74"/>
    </row>
    <row r="251" spans="1:3" ht="28">
      <c r="A251" s="102" t="s">
        <v>3083</v>
      </c>
      <c r="B251" s="101" t="s">
        <v>3084</v>
      </c>
      <c r="C251" s="74"/>
    </row>
    <row r="252" spans="1:3" ht="28">
      <c r="A252" s="102" t="s">
        <v>3085</v>
      </c>
      <c r="B252" s="101" t="s">
        <v>3086</v>
      </c>
      <c r="C252" s="74"/>
    </row>
    <row r="253" spans="1:3" ht="28">
      <c r="A253" s="102" t="s">
        <v>3087</v>
      </c>
      <c r="B253" s="101" t="s">
        <v>3088</v>
      </c>
      <c r="C253" s="74"/>
    </row>
    <row r="254" spans="1:3" ht="28">
      <c r="A254" s="102" t="s">
        <v>3089</v>
      </c>
      <c r="B254" s="101" t="s">
        <v>3048</v>
      </c>
      <c r="C254" s="74"/>
    </row>
    <row r="255" spans="1:3" ht="28">
      <c r="A255" s="102" t="s">
        <v>3049</v>
      </c>
      <c r="B255" s="101" t="s">
        <v>3050</v>
      </c>
      <c r="C255" s="74"/>
    </row>
    <row r="256" spans="1:3" ht="17">
      <c r="A256" s="102" t="s">
        <v>15</v>
      </c>
      <c r="B256" s="105" t="s">
        <v>3051</v>
      </c>
      <c r="C256" s="74"/>
    </row>
    <row r="257" spans="1:3" ht="14">
      <c r="A257" s="102" t="s">
        <v>2277</v>
      </c>
      <c r="B257" s="101" t="s">
        <v>2949</v>
      </c>
    </row>
    <row r="258" spans="1:3" ht="14">
      <c r="A258" s="131" t="s">
        <v>2312</v>
      </c>
      <c r="B258" s="101" t="s">
        <v>2988</v>
      </c>
    </row>
    <row r="259" spans="1:3" ht="51">
      <c r="A259" s="100" t="s">
        <v>3052</v>
      </c>
      <c r="B259" s="132" t="s">
        <v>3090</v>
      </c>
    </row>
    <row r="260" spans="1:3" ht="15" thickBot="1">
      <c r="A260" s="120" t="s">
        <v>2424</v>
      </c>
      <c r="B260" s="121"/>
    </row>
    <row r="261" spans="1:3" ht="17">
      <c r="A261" s="122" t="s">
        <v>2884</v>
      </c>
      <c r="B261" s="123" t="s">
        <v>2972</v>
      </c>
    </row>
    <row r="262" spans="1:3" ht="17">
      <c r="A262" s="124" t="s">
        <v>2930</v>
      </c>
      <c r="B262" s="133" t="s">
        <v>3055</v>
      </c>
    </row>
    <row r="263" spans="1:3" ht="17">
      <c r="A263" s="125" t="s">
        <v>3091</v>
      </c>
      <c r="B263" s="123" t="s">
        <v>3092</v>
      </c>
    </row>
    <row r="264" spans="1:3" ht="17">
      <c r="A264" s="124" t="s">
        <v>3093</v>
      </c>
      <c r="B264" s="121" t="s">
        <v>3094</v>
      </c>
      <c r="C264" s="74"/>
    </row>
    <row r="265" spans="1:3" ht="17">
      <c r="A265" s="124" t="s">
        <v>3095</v>
      </c>
      <c r="B265" s="123" t="s">
        <v>3096</v>
      </c>
      <c r="C265" s="74"/>
    </row>
    <row r="266" spans="1:3" ht="17">
      <c r="A266" s="124" t="s">
        <v>3097</v>
      </c>
      <c r="B266" s="123" t="s">
        <v>3098</v>
      </c>
      <c r="C266" s="74"/>
    </row>
    <row r="267" spans="1:3" ht="17">
      <c r="A267" s="124" t="s">
        <v>3099</v>
      </c>
      <c r="B267" s="123" t="s">
        <v>3100</v>
      </c>
      <c r="C267" s="74"/>
    </row>
    <row r="268" spans="1:3" ht="17">
      <c r="A268" s="124" t="s">
        <v>3021</v>
      </c>
      <c r="B268" s="134" t="s">
        <v>3022</v>
      </c>
      <c r="C268" s="74"/>
    </row>
    <row r="269" spans="1:3" ht="17">
      <c r="A269" s="124" t="s">
        <v>15</v>
      </c>
      <c r="B269" s="123" t="s">
        <v>3066</v>
      </c>
      <c r="C269" s="74"/>
    </row>
    <row r="270" spans="1:3" ht="42">
      <c r="A270" s="125" t="s">
        <v>3024</v>
      </c>
      <c r="B270" s="121" t="s">
        <v>2940</v>
      </c>
    </row>
    <row r="271" spans="1:3" ht="14">
      <c r="A271" s="125" t="s">
        <v>3101</v>
      </c>
      <c r="B271" s="121" t="s">
        <v>3102</v>
      </c>
    </row>
    <row r="272" spans="1:3" ht="17">
      <c r="A272" s="124" t="s">
        <v>3103</v>
      </c>
      <c r="B272" s="121" t="s">
        <v>3104</v>
      </c>
      <c r="C272" s="74"/>
    </row>
    <row r="273" spans="1:3" ht="17">
      <c r="A273" s="124" t="s">
        <v>3105</v>
      </c>
      <c r="B273" s="123" t="s">
        <v>3106</v>
      </c>
      <c r="C273" s="74"/>
    </row>
    <row r="274" spans="1:3" ht="17">
      <c r="A274" s="124" t="s">
        <v>3107</v>
      </c>
      <c r="B274" s="123" t="s">
        <v>3108</v>
      </c>
      <c r="C274" s="74"/>
    </row>
    <row r="275" spans="1:3" ht="17">
      <c r="A275" s="124" t="s">
        <v>3109</v>
      </c>
      <c r="B275" s="123" t="s">
        <v>3110</v>
      </c>
      <c r="C275" s="74"/>
    </row>
    <row r="276" spans="1:3" ht="34">
      <c r="A276" s="124" t="s">
        <v>3111</v>
      </c>
      <c r="B276" s="123" t="s">
        <v>3112</v>
      </c>
      <c r="C276" s="74"/>
    </row>
    <row r="277" spans="1:3" ht="34">
      <c r="A277" s="124" t="s">
        <v>3113</v>
      </c>
      <c r="B277" s="134" t="s">
        <v>3114</v>
      </c>
      <c r="C277" s="74"/>
    </row>
    <row r="278" spans="1:3" ht="34">
      <c r="A278" s="124" t="s">
        <v>3115</v>
      </c>
      <c r="B278" s="134" t="s">
        <v>3116</v>
      </c>
      <c r="C278" s="74"/>
    </row>
    <row r="279" spans="1:3" ht="28">
      <c r="A279" s="125" t="s">
        <v>3117</v>
      </c>
      <c r="B279" s="134" t="s">
        <v>3118</v>
      </c>
      <c r="C279" s="74"/>
    </row>
    <row r="280" spans="1:3" ht="28">
      <c r="A280" s="125" t="s">
        <v>3119</v>
      </c>
      <c r="B280" s="134" t="s">
        <v>3120</v>
      </c>
      <c r="C280" s="74"/>
    </row>
    <row r="281" spans="1:3" ht="34">
      <c r="A281" s="124" t="s">
        <v>3121</v>
      </c>
      <c r="B281" s="134" t="s">
        <v>3048</v>
      </c>
      <c r="C281" s="74"/>
    </row>
    <row r="282" spans="1:3" ht="34">
      <c r="A282" s="124" t="s">
        <v>3049</v>
      </c>
      <c r="B282" s="134" t="s">
        <v>3050</v>
      </c>
      <c r="C282" s="74"/>
    </row>
    <row r="283" spans="1:3" ht="17">
      <c r="A283" s="124" t="s">
        <v>15</v>
      </c>
      <c r="B283" s="123" t="s">
        <v>3051</v>
      </c>
      <c r="C283" s="74"/>
    </row>
    <row r="284" spans="1:3" ht="14">
      <c r="A284" s="125" t="s">
        <v>2277</v>
      </c>
      <c r="B284" s="121" t="s">
        <v>2949</v>
      </c>
    </row>
    <row r="285" spans="1:3" ht="14">
      <c r="A285" s="135" t="s">
        <v>2312</v>
      </c>
      <c r="B285" s="121" t="s">
        <v>2988</v>
      </c>
    </row>
    <row r="286" spans="1:3" ht="51">
      <c r="A286" s="128" t="s">
        <v>3052</v>
      </c>
      <c r="B286" s="134" t="s">
        <v>3122</v>
      </c>
    </row>
    <row r="287" spans="1:3" ht="14">
      <c r="A287" s="79" t="s">
        <v>2425</v>
      </c>
      <c r="B287" s="101"/>
    </row>
    <row r="288" spans="1:3" ht="17">
      <c r="A288" s="104" t="s">
        <v>2884</v>
      </c>
      <c r="B288" s="105" t="s">
        <v>2885</v>
      </c>
    </row>
    <row r="289" spans="1:3" ht="17">
      <c r="A289" s="104" t="s">
        <v>2930</v>
      </c>
      <c r="B289" s="106" t="s">
        <v>3055</v>
      </c>
    </row>
    <row r="290" spans="1:3" ht="17">
      <c r="A290" s="102" t="s">
        <v>3123</v>
      </c>
      <c r="B290" s="105" t="s">
        <v>3124</v>
      </c>
    </row>
    <row r="291" spans="1:3" ht="17">
      <c r="A291" s="104" t="s">
        <v>3125</v>
      </c>
      <c r="B291" s="105" t="s">
        <v>3126</v>
      </c>
      <c r="C291" s="74"/>
    </row>
    <row r="292" spans="1:3" ht="17">
      <c r="A292" s="104" t="s">
        <v>3127</v>
      </c>
      <c r="B292" s="105" t="s">
        <v>3128</v>
      </c>
      <c r="C292" s="74"/>
    </row>
    <row r="293" spans="1:3" ht="17">
      <c r="A293" s="104" t="s">
        <v>3129</v>
      </c>
      <c r="B293" s="105" t="s">
        <v>3130</v>
      </c>
      <c r="C293" s="74"/>
    </row>
    <row r="294" spans="1:3" ht="17">
      <c r="A294" s="104" t="s">
        <v>3131</v>
      </c>
      <c r="B294" s="105" t="s">
        <v>3132</v>
      </c>
      <c r="C294" s="74"/>
    </row>
    <row r="295" spans="1:3" ht="17">
      <c r="A295" s="104" t="s">
        <v>3021</v>
      </c>
      <c r="B295" s="132" t="s">
        <v>3022</v>
      </c>
      <c r="C295" s="74"/>
    </row>
    <row r="296" spans="1:3" ht="17">
      <c r="A296" s="104" t="s">
        <v>15</v>
      </c>
      <c r="B296" s="132" t="s">
        <v>3133</v>
      </c>
      <c r="C296" s="74"/>
    </row>
    <row r="297" spans="1:3" ht="42">
      <c r="A297" s="102" t="s">
        <v>3024</v>
      </c>
      <c r="B297" s="101" t="s">
        <v>2940</v>
      </c>
    </row>
    <row r="298" spans="1:3" ht="17">
      <c r="A298" s="102" t="s">
        <v>3134</v>
      </c>
      <c r="B298" s="105" t="s">
        <v>3135</v>
      </c>
    </row>
    <row r="299" spans="1:3" ht="17">
      <c r="A299" s="104" t="s">
        <v>3136</v>
      </c>
      <c r="B299" s="118" t="s">
        <v>3137</v>
      </c>
      <c r="C299" s="74"/>
    </row>
    <row r="300" spans="1:3" ht="17">
      <c r="A300" s="104" t="s">
        <v>3138</v>
      </c>
      <c r="B300" s="117" t="s">
        <v>3139</v>
      </c>
      <c r="C300" s="74"/>
    </row>
    <row r="301" spans="1:3" ht="17">
      <c r="A301" s="104" t="s">
        <v>3140</v>
      </c>
      <c r="B301" s="117" t="s">
        <v>3141</v>
      </c>
      <c r="C301" s="74"/>
    </row>
    <row r="302" spans="1:3" ht="17">
      <c r="A302" s="104" t="s">
        <v>3142</v>
      </c>
      <c r="B302" s="117" t="s">
        <v>3143</v>
      </c>
      <c r="C302" s="74"/>
    </row>
    <row r="303" spans="1:3" ht="34">
      <c r="A303" s="104" t="s">
        <v>3144</v>
      </c>
      <c r="B303" s="132" t="s">
        <v>3145</v>
      </c>
      <c r="C303" s="74"/>
    </row>
    <row r="304" spans="1:3" ht="34">
      <c r="A304" s="104" t="s">
        <v>3146</v>
      </c>
      <c r="B304" s="136" t="s">
        <v>3147</v>
      </c>
      <c r="C304" s="74"/>
    </row>
    <row r="305" spans="1:3" ht="34">
      <c r="A305" s="104" t="s">
        <v>3148</v>
      </c>
      <c r="B305" s="136" t="s">
        <v>3149</v>
      </c>
      <c r="C305" s="74"/>
    </row>
    <row r="306" spans="1:3" ht="34">
      <c r="A306" s="104" t="s">
        <v>3150</v>
      </c>
      <c r="B306" s="136" t="s">
        <v>3151</v>
      </c>
      <c r="C306" s="74"/>
    </row>
    <row r="307" spans="1:3" ht="34">
      <c r="A307" s="104" t="s">
        <v>3152</v>
      </c>
      <c r="B307" s="136" t="s">
        <v>3153</v>
      </c>
      <c r="C307" s="74"/>
    </row>
    <row r="308" spans="1:3" ht="34">
      <c r="A308" s="104" t="s">
        <v>3154</v>
      </c>
      <c r="B308" s="136" t="s">
        <v>3048</v>
      </c>
      <c r="C308" s="74"/>
    </row>
    <row r="309" spans="1:3" ht="34">
      <c r="A309" s="104" t="s">
        <v>3049</v>
      </c>
      <c r="B309" s="136" t="s">
        <v>3050</v>
      </c>
      <c r="C309" s="74"/>
    </row>
    <row r="310" spans="1:3" ht="17">
      <c r="A310" s="104" t="s">
        <v>15</v>
      </c>
      <c r="B310" s="117" t="s">
        <v>3051</v>
      </c>
      <c r="C310" s="74"/>
    </row>
    <row r="311" spans="1:3" ht="14">
      <c r="A311" s="102" t="s">
        <v>2277</v>
      </c>
      <c r="B311" s="101" t="s">
        <v>2949</v>
      </c>
    </row>
    <row r="312" spans="1:3" ht="14">
      <c r="A312" s="131" t="s">
        <v>2312</v>
      </c>
      <c r="B312" s="101" t="s">
        <v>2988</v>
      </c>
    </row>
    <row r="313" spans="1:3" ht="51">
      <c r="A313" s="100" t="s">
        <v>3052</v>
      </c>
      <c r="B313" s="132" t="s">
        <v>3155</v>
      </c>
    </row>
    <row r="314" spans="1:3" ht="14">
      <c r="A314" s="137" t="s">
        <v>2426</v>
      </c>
      <c r="B314" s="138"/>
    </row>
    <row r="315" spans="1:3" ht="14">
      <c r="A315" s="139" t="s">
        <v>2435</v>
      </c>
      <c r="B315" s="140"/>
    </row>
    <row r="316" spans="1:3" ht="17">
      <c r="A316" s="141" t="s">
        <v>2884</v>
      </c>
      <c r="B316" s="142" t="s">
        <v>2972</v>
      </c>
    </row>
    <row r="317" spans="1:3" ht="17">
      <c r="A317" s="141" t="s">
        <v>2930</v>
      </c>
      <c r="B317" s="138" t="s">
        <v>3156</v>
      </c>
    </row>
    <row r="318" spans="1:3" ht="14">
      <c r="A318" s="143" t="s">
        <v>3157</v>
      </c>
      <c r="B318" s="138" t="s">
        <v>3158</v>
      </c>
    </row>
    <row r="319" spans="1:3" ht="17">
      <c r="A319" s="141" t="s">
        <v>3159</v>
      </c>
      <c r="B319" s="142" t="s">
        <v>3160</v>
      </c>
    </row>
    <row r="320" spans="1:3" ht="17">
      <c r="A320" s="141" t="s">
        <v>3161</v>
      </c>
      <c r="B320" s="142" t="s">
        <v>3162</v>
      </c>
    </row>
    <row r="321" spans="1:2" ht="17">
      <c r="A321" s="141" t="s">
        <v>3163</v>
      </c>
      <c r="B321" s="142" t="s">
        <v>3164</v>
      </c>
    </row>
    <row r="322" spans="1:2" ht="42">
      <c r="A322" s="143" t="s">
        <v>3024</v>
      </c>
      <c r="B322" s="138" t="s">
        <v>2940</v>
      </c>
    </row>
    <row r="323" spans="1:2" ht="17">
      <c r="A323" s="143" t="s">
        <v>3165</v>
      </c>
      <c r="B323" s="142" t="s">
        <v>3166</v>
      </c>
    </row>
    <row r="324" spans="1:2" ht="17">
      <c r="A324" s="143" t="s">
        <v>3167</v>
      </c>
      <c r="B324" s="142" t="s">
        <v>3168</v>
      </c>
    </row>
    <row r="325" spans="1:2" ht="17">
      <c r="A325" s="143" t="s">
        <v>3169</v>
      </c>
      <c r="B325" s="142" t="s">
        <v>3170</v>
      </c>
    </row>
    <row r="326" spans="1:2" ht="17">
      <c r="A326" s="143" t="s">
        <v>3171</v>
      </c>
      <c r="B326" s="142" t="s">
        <v>3172</v>
      </c>
    </row>
    <row r="327" spans="1:2" ht="17">
      <c r="A327" s="143" t="s">
        <v>56</v>
      </c>
      <c r="B327" s="142" t="s">
        <v>2925</v>
      </c>
    </row>
    <row r="328" spans="1:2" ht="17">
      <c r="A328" s="143" t="s">
        <v>2276</v>
      </c>
      <c r="B328" s="142" t="s">
        <v>2926</v>
      </c>
    </row>
    <row r="329" spans="1:2" ht="14">
      <c r="A329" s="143" t="s">
        <v>2277</v>
      </c>
      <c r="B329" s="138" t="s">
        <v>2949</v>
      </c>
    </row>
    <row r="330" spans="1:2" ht="14">
      <c r="A330" s="143" t="s">
        <v>2815</v>
      </c>
      <c r="B330" s="138" t="s">
        <v>2988</v>
      </c>
    </row>
    <row r="331" spans="1:2" ht="14">
      <c r="A331" s="79" t="s">
        <v>2427</v>
      </c>
      <c r="B331" s="101"/>
    </row>
    <row r="332" spans="1:2" ht="14">
      <c r="A332" s="116" t="s">
        <v>2436</v>
      </c>
      <c r="B332" s="103"/>
    </row>
    <row r="333" spans="1:2" ht="14">
      <c r="A333" s="102" t="s">
        <v>2440</v>
      </c>
      <c r="B333" s="103"/>
    </row>
    <row r="334" spans="1:2" ht="17">
      <c r="A334" s="104" t="s">
        <v>2884</v>
      </c>
      <c r="B334" s="105" t="s">
        <v>2885</v>
      </c>
    </row>
    <row r="335" spans="1:2" ht="17">
      <c r="A335" s="104" t="s">
        <v>2930</v>
      </c>
      <c r="B335" s="106" t="s">
        <v>3173</v>
      </c>
    </row>
    <row r="336" spans="1:2" ht="14">
      <c r="A336" s="102" t="s">
        <v>3174</v>
      </c>
      <c r="B336" s="101" t="s">
        <v>3175</v>
      </c>
    </row>
    <row r="337" spans="1:2" ht="17">
      <c r="A337" s="104" t="s">
        <v>3176</v>
      </c>
      <c r="B337" s="101" t="s">
        <v>3177</v>
      </c>
    </row>
    <row r="338" spans="1:2" ht="17">
      <c r="A338" s="104" t="s">
        <v>3178</v>
      </c>
      <c r="B338" s="101" t="s">
        <v>3179</v>
      </c>
    </row>
    <row r="339" spans="1:2" ht="17">
      <c r="A339" s="104" t="s">
        <v>3180</v>
      </c>
      <c r="B339" s="101" t="s">
        <v>3181</v>
      </c>
    </row>
    <row r="340" spans="1:2" ht="42">
      <c r="A340" s="102" t="s">
        <v>3024</v>
      </c>
      <c r="B340" s="101" t="s">
        <v>2940</v>
      </c>
    </row>
    <row r="341" spans="1:2" ht="14">
      <c r="A341" s="102" t="s">
        <v>3182</v>
      </c>
      <c r="B341" s="101" t="s">
        <v>3183</v>
      </c>
    </row>
    <row r="342" spans="1:2" ht="17">
      <c r="A342" s="104" t="s">
        <v>3184</v>
      </c>
      <c r="B342" s="101" t="s">
        <v>3185</v>
      </c>
    </row>
    <row r="343" spans="1:2" ht="17">
      <c r="A343" s="104" t="s">
        <v>3186</v>
      </c>
      <c r="B343" s="101" t="s">
        <v>3187</v>
      </c>
    </row>
    <row r="344" spans="1:2" ht="17">
      <c r="A344" s="104" t="s">
        <v>3188</v>
      </c>
      <c r="B344" s="101" t="s">
        <v>3189</v>
      </c>
    </row>
    <row r="345" spans="1:2" ht="17">
      <c r="A345" s="102" t="s">
        <v>56</v>
      </c>
      <c r="B345" s="105" t="s">
        <v>2925</v>
      </c>
    </row>
    <row r="346" spans="1:2" ht="17">
      <c r="A346" s="102" t="s">
        <v>2276</v>
      </c>
      <c r="B346" s="105" t="s">
        <v>2926</v>
      </c>
    </row>
    <row r="347" spans="1:2" ht="14">
      <c r="A347" s="102" t="s">
        <v>2277</v>
      </c>
      <c r="B347" s="101" t="s">
        <v>2949</v>
      </c>
    </row>
    <row r="348" spans="1:2" ht="14">
      <c r="A348" s="102" t="s">
        <v>2312</v>
      </c>
      <c r="B348" s="101" t="s">
        <v>2988</v>
      </c>
    </row>
    <row r="349" spans="1:2" ht="14">
      <c r="A349" s="137" t="s">
        <v>2428</v>
      </c>
      <c r="B349" s="138"/>
    </row>
    <row r="350" spans="1:2" ht="14">
      <c r="A350" s="139" t="s">
        <v>2394</v>
      </c>
      <c r="B350" s="138" t="s">
        <v>3190</v>
      </c>
    </row>
    <row r="351" spans="1:2" ht="17">
      <c r="A351" s="141" t="s">
        <v>2884</v>
      </c>
      <c r="B351" s="142" t="s">
        <v>2972</v>
      </c>
    </row>
    <row r="352" spans="1:2" ht="17">
      <c r="A352" s="141" t="s">
        <v>2930</v>
      </c>
      <c r="B352" s="144" t="s">
        <v>3055</v>
      </c>
    </row>
    <row r="353" spans="1:2" ht="14">
      <c r="A353" s="143" t="s">
        <v>3191</v>
      </c>
      <c r="B353" s="138" t="s">
        <v>3192</v>
      </c>
    </row>
    <row r="354" spans="1:2" ht="17">
      <c r="A354" s="141" t="s">
        <v>3193</v>
      </c>
      <c r="B354" s="138" t="s">
        <v>3194</v>
      </c>
    </row>
    <row r="355" spans="1:2" ht="17">
      <c r="A355" s="141" t="s">
        <v>3195</v>
      </c>
      <c r="B355" s="138" t="s">
        <v>3196</v>
      </c>
    </row>
    <row r="356" spans="1:2" ht="17">
      <c r="A356" s="141" t="s">
        <v>3197</v>
      </c>
      <c r="B356" s="138" t="s">
        <v>3198</v>
      </c>
    </row>
    <row r="357" spans="1:2" ht="42">
      <c r="A357" s="143" t="s">
        <v>3024</v>
      </c>
      <c r="B357" s="138" t="s">
        <v>2940</v>
      </c>
    </row>
    <row r="358" spans="1:2" ht="14">
      <c r="A358" s="143" t="s">
        <v>3199</v>
      </c>
      <c r="B358" s="138" t="s">
        <v>3200</v>
      </c>
    </row>
    <row r="359" spans="1:2" ht="17">
      <c r="A359" s="141" t="s">
        <v>3201</v>
      </c>
      <c r="B359" s="138" t="s">
        <v>3202</v>
      </c>
    </row>
    <row r="360" spans="1:2" ht="17">
      <c r="A360" s="141" t="s">
        <v>3203</v>
      </c>
      <c r="B360" s="138" t="s">
        <v>3204</v>
      </c>
    </row>
    <row r="361" spans="1:2" ht="17">
      <c r="A361" s="141" t="s">
        <v>3205</v>
      </c>
      <c r="B361" s="138" t="s">
        <v>3206</v>
      </c>
    </row>
    <row r="362" spans="1:2" ht="17">
      <c r="A362" s="143" t="s">
        <v>56</v>
      </c>
      <c r="B362" s="142" t="s">
        <v>2925</v>
      </c>
    </row>
    <row r="363" spans="1:2" ht="17">
      <c r="A363" s="143" t="s">
        <v>2276</v>
      </c>
      <c r="B363" s="142" t="s">
        <v>2926</v>
      </c>
    </row>
    <row r="364" spans="1:2" ht="14">
      <c r="A364" s="143" t="s">
        <v>2277</v>
      </c>
      <c r="B364" s="138" t="s">
        <v>2949</v>
      </c>
    </row>
    <row r="365" spans="1:2" ht="14">
      <c r="A365" s="145" t="s">
        <v>2818</v>
      </c>
      <c r="B365" s="138" t="s">
        <v>2928</v>
      </c>
    </row>
  </sheetData>
  <mergeCells count="2">
    <mergeCell ref="B45:B48"/>
    <mergeCell ref="B86:B89"/>
  </mergeCells>
  <pageMargins left="0.75" right="0.75" top="1" bottom="1" header="0.5" footer="0.5"/>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Study characteristics</vt:lpstr>
      <vt:lpstr>QI_codes</vt:lpstr>
      <vt:lpstr>HbA1c</vt:lpstr>
      <vt:lpstr>Map of variables</vt:lpstr>
      <vt:lpstr>Variable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 Danko</dc:creator>
  <cp:lastModifiedBy>Microsoft Office User</cp:lastModifiedBy>
  <cp:lastPrinted>2017-04-24T13:35:23Z</cp:lastPrinted>
  <dcterms:created xsi:type="dcterms:W3CDTF">2017-03-10T17:34:02Z</dcterms:created>
  <dcterms:modified xsi:type="dcterms:W3CDTF">2023-01-04T19:08:42Z</dcterms:modified>
</cp:coreProperties>
</file>