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322\udacity_Sensor-Fusion\3_Camera\Project2_Camera-Based-2D-Feature-Tracking\SFND_2D_Feature_Tracking\result\"/>
    </mc:Choice>
  </mc:AlternateContent>
  <bookViews>
    <workbookView xWindow="0" yWindow="0" windowWidth="28800" windowHeight="12370"/>
  </bookViews>
  <sheets>
    <sheet name="Result" sheetId="1" r:id="rId1"/>
    <sheet name="FAST_BRIEF" sheetId="2" r:id="rId2"/>
    <sheet name="FAST_ORB" sheetId="15" r:id="rId3"/>
    <sheet name="FAST_FREAK" sheetId="3" r:id="rId4"/>
    <sheet name="FAST_BRISK" sheetId="4" r:id="rId5"/>
    <sheet name="BRISK_BRIEF" sheetId="5" r:id="rId6"/>
    <sheet name="BRISK_ORB" sheetId="16" r:id="rId7"/>
    <sheet name="BRISK_FREAK" sheetId="6" r:id="rId8"/>
    <sheet name="BRISK_BRISK" sheetId="7" r:id="rId9"/>
    <sheet name="ORB_BRIEF" sheetId="8" r:id="rId10"/>
    <sheet name="ORB_ORB" sheetId="17" r:id="rId11"/>
    <sheet name="ORB_FREAK" sheetId="9" r:id="rId12"/>
    <sheet name="ORB_BRISK" sheetId="10" r:id="rId13"/>
    <sheet name="AKAZE_BRIEF" sheetId="11" r:id="rId14"/>
    <sheet name="AKAZE_ORB" sheetId="18" r:id="rId15"/>
    <sheet name="AKAZE_FREAK" sheetId="12" r:id="rId16"/>
    <sheet name="AKAZE_AKAZE" sheetId="13" r:id="rId17"/>
    <sheet name="AKAZE_BRISK" sheetId="14" r:id="rId18"/>
    <sheet name="SIFT_SIFT" sheetId="19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162913"/>
</workbook>
</file>

<file path=xl/calcChain.xml><?xml version="1.0" encoding="utf-8"?>
<calcChain xmlns="http://schemas.openxmlformats.org/spreadsheetml/2006/main">
  <c r="N160" i="1" l="1"/>
  <c r="Q159" i="1"/>
  <c r="P159" i="1"/>
  <c r="M157" i="1"/>
  <c r="P151" i="1"/>
  <c r="M151" i="1"/>
  <c r="J145" i="1"/>
  <c r="M139" i="1"/>
  <c r="G139" i="1"/>
  <c r="F139" i="1"/>
  <c r="Q130" i="1"/>
  <c r="O130" i="1"/>
  <c r="N130" i="1"/>
  <c r="M130" i="1"/>
  <c r="L130" i="1"/>
  <c r="K130" i="1"/>
  <c r="J130" i="1"/>
  <c r="I130" i="1"/>
  <c r="H130" i="1"/>
  <c r="G130" i="1"/>
  <c r="F130" i="1"/>
  <c r="P130" i="1" s="1"/>
  <c r="Q128" i="1"/>
  <c r="O128" i="1"/>
  <c r="N128" i="1"/>
  <c r="M128" i="1"/>
  <c r="L128" i="1"/>
  <c r="K128" i="1"/>
  <c r="J128" i="1"/>
  <c r="I128" i="1"/>
  <c r="H128" i="1"/>
  <c r="G128" i="1"/>
  <c r="F128" i="1"/>
  <c r="P128" i="1" s="1"/>
  <c r="O127" i="1"/>
  <c r="N127" i="1"/>
  <c r="M127" i="1"/>
  <c r="L127" i="1"/>
  <c r="K127" i="1"/>
  <c r="J127" i="1"/>
  <c r="I127" i="1"/>
  <c r="H127" i="1"/>
  <c r="G127" i="1"/>
  <c r="F127" i="1"/>
  <c r="Q126" i="1"/>
  <c r="O126" i="1"/>
  <c r="N126" i="1"/>
  <c r="M126" i="1"/>
  <c r="L126" i="1"/>
  <c r="K126" i="1"/>
  <c r="J126" i="1"/>
  <c r="I126" i="1"/>
  <c r="H126" i="1"/>
  <c r="G126" i="1"/>
  <c r="F126" i="1"/>
  <c r="P126" i="1" s="1"/>
  <c r="O125" i="1"/>
  <c r="N125" i="1"/>
  <c r="M125" i="1"/>
  <c r="L125" i="1"/>
  <c r="K125" i="1"/>
  <c r="J125" i="1"/>
  <c r="I125" i="1"/>
  <c r="H125" i="1"/>
  <c r="G125" i="1"/>
  <c r="F125" i="1"/>
  <c r="O123" i="1"/>
  <c r="N123" i="1"/>
  <c r="M123" i="1"/>
  <c r="L123" i="1"/>
  <c r="K123" i="1"/>
  <c r="J123" i="1"/>
  <c r="I123" i="1"/>
  <c r="H123" i="1"/>
  <c r="G123" i="1"/>
  <c r="F123" i="1"/>
  <c r="O117" i="1"/>
  <c r="N117" i="1"/>
  <c r="M117" i="1"/>
  <c r="L117" i="1"/>
  <c r="K117" i="1"/>
  <c r="J117" i="1"/>
  <c r="I117" i="1"/>
  <c r="H117" i="1"/>
  <c r="G117" i="1"/>
  <c r="F117" i="1"/>
  <c r="Q116" i="1"/>
  <c r="O116" i="1"/>
  <c r="N116" i="1"/>
  <c r="M116" i="1"/>
  <c r="L116" i="1"/>
  <c r="K116" i="1"/>
  <c r="J116" i="1"/>
  <c r="I116" i="1"/>
  <c r="H116" i="1"/>
  <c r="G116" i="1"/>
  <c r="F116" i="1"/>
  <c r="P116" i="1" s="1"/>
  <c r="O111" i="1"/>
  <c r="N111" i="1"/>
  <c r="M111" i="1"/>
  <c r="L111" i="1"/>
  <c r="K111" i="1"/>
  <c r="J111" i="1"/>
  <c r="I111" i="1"/>
  <c r="H111" i="1"/>
  <c r="G111" i="1"/>
  <c r="F111" i="1"/>
  <c r="Q110" i="1"/>
  <c r="O110" i="1"/>
  <c r="N110" i="1"/>
  <c r="M110" i="1"/>
  <c r="L110" i="1"/>
  <c r="K110" i="1"/>
  <c r="J110" i="1"/>
  <c r="I110" i="1"/>
  <c r="H110" i="1"/>
  <c r="G110" i="1"/>
  <c r="F110" i="1"/>
  <c r="P110" i="1" s="1"/>
  <c r="Q105" i="1"/>
  <c r="O105" i="1"/>
  <c r="N105" i="1"/>
  <c r="M105" i="1"/>
  <c r="L105" i="1"/>
  <c r="K105" i="1"/>
  <c r="J105" i="1"/>
  <c r="I105" i="1"/>
  <c r="H105" i="1"/>
  <c r="G105" i="1"/>
  <c r="F105" i="1"/>
  <c r="P105" i="1" s="1"/>
  <c r="O104" i="1"/>
  <c r="N104" i="1"/>
  <c r="M104" i="1"/>
  <c r="L104" i="1"/>
  <c r="K104" i="1"/>
  <c r="J104" i="1"/>
  <c r="I104" i="1"/>
  <c r="H104" i="1"/>
  <c r="G104" i="1"/>
  <c r="F104" i="1"/>
  <c r="O96" i="1"/>
  <c r="O164" i="1" s="1"/>
  <c r="N96" i="1"/>
  <c r="N164" i="1" s="1"/>
  <c r="M96" i="1"/>
  <c r="M164" i="1" s="1"/>
  <c r="L96" i="1"/>
  <c r="L164" i="1" s="1"/>
  <c r="K96" i="1"/>
  <c r="J96" i="1"/>
  <c r="J164" i="1" s="1"/>
  <c r="I96" i="1"/>
  <c r="I164" i="1" s="1"/>
  <c r="H96" i="1"/>
  <c r="H164" i="1" s="1"/>
  <c r="G96" i="1"/>
  <c r="G164" i="1" s="1"/>
  <c r="F96" i="1"/>
  <c r="O94" i="1"/>
  <c r="O162" i="1" s="1"/>
  <c r="N94" i="1"/>
  <c r="N162" i="1" s="1"/>
  <c r="M94" i="1"/>
  <c r="M162" i="1" s="1"/>
  <c r="L94" i="1"/>
  <c r="L162" i="1" s="1"/>
  <c r="K94" i="1"/>
  <c r="J94" i="1"/>
  <c r="J162" i="1" s="1"/>
  <c r="I94" i="1"/>
  <c r="I162" i="1" s="1"/>
  <c r="H94" i="1"/>
  <c r="H162" i="1" s="1"/>
  <c r="G94" i="1"/>
  <c r="G162" i="1" s="1"/>
  <c r="F94" i="1"/>
  <c r="Q93" i="1"/>
  <c r="O93" i="1"/>
  <c r="N93" i="1"/>
  <c r="M93" i="1"/>
  <c r="L93" i="1"/>
  <c r="L161" i="1" s="1"/>
  <c r="K93" i="1"/>
  <c r="K161" i="1" s="1"/>
  <c r="J93" i="1"/>
  <c r="J161" i="1" s="1"/>
  <c r="I93" i="1"/>
  <c r="I161" i="1" s="1"/>
  <c r="H93" i="1"/>
  <c r="H161" i="1" s="1"/>
  <c r="G93" i="1"/>
  <c r="F93" i="1"/>
  <c r="O92" i="1"/>
  <c r="O160" i="1" s="1"/>
  <c r="N92" i="1"/>
  <c r="M92" i="1"/>
  <c r="M160" i="1" s="1"/>
  <c r="L92" i="1"/>
  <c r="L160" i="1" s="1"/>
  <c r="K92" i="1"/>
  <c r="K160" i="1" s="1"/>
  <c r="J92" i="1"/>
  <c r="I92" i="1"/>
  <c r="H92" i="1"/>
  <c r="H160" i="1" s="1"/>
  <c r="G92" i="1"/>
  <c r="G160" i="1" s="1"/>
  <c r="F92" i="1"/>
  <c r="Q91" i="1"/>
  <c r="O91" i="1"/>
  <c r="O159" i="1" s="1"/>
  <c r="N91" i="1"/>
  <c r="N159" i="1" s="1"/>
  <c r="M91" i="1"/>
  <c r="M159" i="1" s="1"/>
  <c r="L91" i="1"/>
  <c r="L159" i="1" s="1"/>
  <c r="K91" i="1"/>
  <c r="K159" i="1" s="1"/>
  <c r="J91" i="1"/>
  <c r="J159" i="1" s="1"/>
  <c r="I91" i="1"/>
  <c r="I159" i="1" s="1"/>
  <c r="H91" i="1"/>
  <c r="H159" i="1" s="1"/>
  <c r="G91" i="1"/>
  <c r="G159" i="1" s="1"/>
  <c r="F91" i="1"/>
  <c r="F159" i="1" s="1"/>
  <c r="Q89" i="1"/>
  <c r="O89" i="1"/>
  <c r="O157" i="1" s="1"/>
  <c r="N89" i="1"/>
  <c r="N157" i="1" s="1"/>
  <c r="M89" i="1"/>
  <c r="L89" i="1"/>
  <c r="L157" i="1" s="1"/>
  <c r="K89" i="1"/>
  <c r="K157" i="1" s="1"/>
  <c r="J89" i="1"/>
  <c r="J157" i="1" s="1"/>
  <c r="I89" i="1"/>
  <c r="I157" i="1" s="1"/>
  <c r="H89" i="1"/>
  <c r="H157" i="1" s="1"/>
  <c r="G89" i="1"/>
  <c r="G157" i="1" s="1"/>
  <c r="F89" i="1"/>
  <c r="F157" i="1" s="1"/>
  <c r="Q157" i="1" s="1"/>
  <c r="Q83" i="1"/>
  <c r="O83" i="1"/>
  <c r="O151" i="1" s="1"/>
  <c r="N83" i="1"/>
  <c r="N151" i="1" s="1"/>
  <c r="M83" i="1"/>
  <c r="L83" i="1"/>
  <c r="L151" i="1" s="1"/>
  <c r="K83" i="1"/>
  <c r="K151" i="1" s="1"/>
  <c r="J83" i="1"/>
  <c r="J151" i="1" s="1"/>
  <c r="I83" i="1"/>
  <c r="I151" i="1" s="1"/>
  <c r="H83" i="1"/>
  <c r="H151" i="1" s="1"/>
  <c r="G83" i="1"/>
  <c r="G151" i="1" s="1"/>
  <c r="F83" i="1"/>
  <c r="F151" i="1" s="1"/>
  <c r="Q151" i="1" s="1"/>
  <c r="O82" i="1"/>
  <c r="O150" i="1" s="1"/>
  <c r="N82" i="1"/>
  <c r="N150" i="1" s="1"/>
  <c r="M82" i="1"/>
  <c r="M150" i="1" s="1"/>
  <c r="L82" i="1"/>
  <c r="L150" i="1" s="1"/>
  <c r="K82" i="1"/>
  <c r="J82" i="1"/>
  <c r="J150" i="1" s="1"/>
  <c r="I82" i="1"/>
  <c r="I150" i="1" s="1"/>
  <c r="H82" i="1"/>
  <c r="H150" i="1" s="1"/>
  <c r="G82" i="1"/>
  <c r="G150" i="1" s="1"/>
  <c r="F82" i="1"/>
  <c r="Q77" i="1"/>
  <c r="O77" i="1"/>
  <c r="N77" i="1"/>
  <c r="N145" i="1" s="1"/>
  <c r="M77" i="1"/>
  <c r="M145" i="1" s="1"/>
  <c r="L77" i="1"/>
  <c r="L145" i="1" s="1"/>
  <c r="K77" i="1"/>
  <c r="K145" i="1" s="1"/>
  <c r="J77" i="1"/>
  <c r="I77" i="1"/>
  <c r="I145" i="1" s="1"/>
  <c r="H77" i="1"/>
  <c r="H145" i="1" s="1"/>
  <c r="G77" i="1"/>
  <c r="F77" i="1"/>
  <c r="F145" i="1" s="1"/>
  <c r="O76" i="1"/>
  <c r="O144" i="1" s="1"/>
  <c r="N76" i="1"/>
  <c r="N144" i="1" s="1"/>
  <c r="M76" i="1"/>
  <c r="M144" i="1" s="1"/>
  <c r="L76" i="1"/>
  <c r="L144" i="1" s="1"/>
  <c r="K76" i="1"/>
  <c r="J76" i="1"/>
  <c r="I76" i="1"/>
  <c r="I144" i="1" s="1"/>
  <c r="H76" i="1"/>
  <c r="H144" i="1" s="1"/>
  <c r="G76" i="1"/>
  <c r="G144" i="1" s="1"/>
  <c r="F76" i="1"/>
  <c r="Q71" i="1"/>
  <c r="O71" i="1"/>
  <c r="O139" i="1" s="1"/>
  <c r="N71" i="1"/>
  <c r="N139" i="1" s="1"/>
  <c r="M71" i="1"/>
  <c r="L71" i="1"/>
  <c r="L139" i="1" s="1"/>
  <c r="K71" i="1"/>
  <c r="K139" i="1" s="1"/>
  <c r="J71" i="1"/>
  <c r="J139" i="1" s="1"/>
  <c r="I71" i="1"/>
  <c r="H71" i="1"/>
  <c r="H139" i="1" s="1"/>
  <c r="G71" i="1"/>
  <c r="F71" i="1"/>
  <c r="P71" i="1" s="1"/>
  <c r="O70" i="1"/>
  <c r="N70" i="1"/>
  <c r="N138" i="1" s="1"/>
  <c r="M70" i="1"/>
  <c r="M138" i="1" s="1"/>
  <c r="L70" i="1"/>
  <c r="L138" i="1" s="1"/>
  <c r="K70" i="1"/>
  <c r="K138" i="1" s="1"/>
  <c r="J70" i="1"/>
  <c r="J138" i="1" s="1"/>
  <c r="I70" i="1"/>
  <c r="I138" i="1" s="1"/>
  <c r="H70" i="1"/>
  <c r="H138" i="1" s="1"/>
  <c r="G70" i="1"/>
  <c r="F70" i="1"/>
  <c r="O61" i="1"/>
  <c r="N61" i="1"/>
  <c r="M61" i="1"/>
  <c r="L61" i="1"/>
  <c r="K61" i="1"/>
  <c r="J61" i="1"/>
  <c r="I61" i="1"/>
  <c r="H61" i="1"/>
  <c r="G61" i="1"/>
  <c r="Q59" i="1"/>
  <c r="P59" i="1"/>
  <c r="O59" i="1"/>
  <c r="N59" i="1"/>
  <c r="M59" i="1"/>
  <c r="L59" i="1"/>
  <c r="K59" i="1"/>
  <c r="J59" i="1"/>
  <c r="I59" i="1"/>
  <c r="H59" i="1"/>
  <c r="G59" i="1"/>
  <c r="O58" i="1"/>
  <c r="N58" i="1"/>
  <c r="M58" i="1"/>
  <c r="L58" i="1"/>
  <c r="K58" i="1"/>
  <c r="J58" i="1"/>
  <c r="I58" i="1"/>
  <c r="H58" i="1"/>
  <c r="G58" i="1"/>
  <c r="Q58" i="1" s="1"/>
  <c r="Q57" i="1"/>
  <c r="O57" i="1"/>
  <c r="N57" i="1"/>
  <c r="M57" i="1"/>
  <c r="L57" i="1"/>
  <c r="K57" i="1"/>
  <c r="J57" i="1"/>
  <c r="I57" i="1"/>
  <c r="H57" i="1"/>
  <c r="G57" i="1"/>
  <c r="P57" i="1" s="1"/>
  <c r="O56" i="1"/>
  <c r="N56" i="1"/>
  <c r="M56" i="1"/>
  <c r="L56" i="1"/>
  <c r="K56" i="1"/>
  <c r="J56" i="1"/>
  <c r="I56" i="1"/>
  <c r="H56" i="1"/>
  <c r="G56" i="1"/>
  <c r="Q56" i="1" s="1"/>
  <c r="P54" i="1"/>
  <c r="O54" i="1"/>
  <c r="N54" i="1"/>
  <c r="M54" i="1"/>
  <c r="L54" i="1"/>
  <c r="K54" i="1"/>
  <c r="J54" i="1"/>
  <c r="I54" i="1"/>
  <c r="H54" i="1"/>
  <c r="G54" i="1"/>
  <c r="Q54" i="1" s="1"/>
  <c r="O48" i="1"/>
  <c r="N48" i="1"/>
  <c r="M48" i="1"/>
  <c r="L48" i="1"/>
  <c r="K48" i="1"/>
  <c r="J48" i="1"/>
  <c r="I48" i="1"/>
  <c r="H48" i="1"/>
  <c r="G48" i="1"/>
  <c r="Q48" i="1" s="1"/>
  <c r="O47" i="1"/>
  <c r="N47" i="1"/>
  <c r="M47" i="1"/>
  <c r="L47" i="1"/>
  <c r="K47" i="1"/>
  <c r="J47" i="1"/>
  <c r="I47" i="1"/>
  <c r="H47" i="1"/>
  <c r="G47" i="1"/>
  <c r="Q47" i="1" s="1"/>
  <c r="O42" i="1"/>
  <c r="N42" i="1"/>
  <c r="M42" i="1"/>
  <c r="L42" i="1"/>
  <c r="K42" i="1"/>
  <c r="J42" i="1"/>
  <c r="I42" i="1"/>
  <c r="H42" i="1"/>
  <c r="G42" i="1"/>
  <c r="Q42" i="1" s="1"/>
  <c r="Q41" i="1"/>
  <c r="O41" i="1"/>
  <c r="N41" i="1"/>
  <c r="M41" i="1"/>
  <c r="L41" i="1"/>
  <c r="K41" i="1"/>
  <c r="J41" i="1"/>
  <c r="I41" i="1"/>
  <c r="H41" i="1"/>
  <c r="G41" i="1"/>
  <c r="P41" i="1" s="1"/>
  <c r="Q36" i="1"/>
  <c r="O36" i="1"/>
  <c r="N36" i="1"/>
  <c r="M36" i="1"/>
  <c r="L36" i="1"/>
  <c r="K36" i="1"/>
  <c r="J36" i="1"/>
  <c r="I36" i="1"/>
  <c r="H36" i="1"/>
  <c r="G36" i="1"/>
  <c r="P36" i="1" s="1"/>
  <c r="P35" i="1"/>
  <c r="O35" i="1"/>
  <c r="N35" i="1"/>
  <c r="M35" i="1"/>
  <c r="L35" i="1"/>
  <c r="K35" i="1"/>
  <c r="J35" i="1"/>
  <c r="I35" i="1"/>
  <c r="H35" i="1"/>
  <c r="G35" i="1"/>
  <c r="Q35" i="1" s="1"/>
  <c r="Q61" i="1" l="1"/>
  <c r="P61" i="1"/>
  <c r="F162" i="1"/>
  <c r="Q94" i="1"/>
  <c r="P94" i="1"/>
  <c r="F138" i="1"/>
  <c r="Q70" i="1"/>
  <c r="P70" i="1"/>
  <c r="Q96" i="1"/>
  <c r="F164" i="1"/>
  <c r="P96" i="1"/>
  <c r="P58" i="1"/>
  <c r="G138" i="1"/>
  <c r="O138" i="1"/>
  <c r="Q127" i="1"/>
  <c r="P127" i="1"/>
  <c r="P47" i="1"/>
  <c r="I139" i="1"/>
  <c r="F160" i="1"/>
  <c r="Q92" i="1"/>
  <c r="P92" i="1"/>
  <c r="Q139" i="1"/>
  <c r="P139" i="1"/>
  <c r="Q82" i="1"/>
  <c r="F150" i="1"/>
  <c r="P82" i="1"/>
  <c r="P42" i="1"/>
  <c r="F144" i="1"/>
  <c r="Q76" i="1"/>
  <c r="P76" i="1"/>
  <c r="Q104" i="1"/>
  <c r="P104" i="1"/>
  <c r="P157" i="1"/>
  <c r="P48" i="1"/>
  <c r="P56" i="1"/>
  <c r="I160" i="1"/>
  <c r="M161" i="1"/>
  <c r="Q125" i="1"/>
  <c r="P125" i="1"/>
  <c r="J144" i="1"/>
  <c r="Q145" i="1"/>
  <c r="P145" i="1"/>
  <c r="J160" i="1"/>
  <c r="F161" i="1"/>
  <c r="N161" i="1"/>
  <c r="K144" i="1"/>
  <c r="G145" i="1"/>
  <c r="O145" i="1"/>
  <c r="K150" i="1"/>
  <c r="G161" i="1"/>
  <c r="O161" i="1"/>
  <c r="K162" i="1"/>
  <c r="K164" i="1"/>
  <c r="Q117" i="1"/>
  <c r="P117" i="1"/>
  <c r="Q123" i="1"/>
  <c r="P123" i="1"/>
  <c r="P77" i="1"/>
  <c r="P83" i="1"/>
  <c r="P89" i="1"/>
  <c r="P91" i="1"/>
  <c r="P93" i="1"/>
  <c r="Q111" i="1"/>
  <c r="P111" i="1"/>
  <c r="C30" i="19"/>
  <c r="C58" i="19"/>
  <c r="C54" i="19"/>
  <c r="C50" i="19"/>
  <c r="C46" i="19"/>
  <c r="C14" i="19"/>
  <c r="C40" i="18"/>
  <c r="C8" i="18"/>
  <c r="C34" i="17"/>
  <c r="C2" i="17"/>
  <c r="C28" i="16"/>
  <c r="C54" i="15"/>
  <c r="C22" i="15"/>
  <c r="C48" i="14"/>
  <c r="C16" i="14"/>
  <c r="C42" i="13"/>
  <c r="C10" i="13"/>
  <c r="C36" i="12"/>
  <c r="C4" i="12"/>
  <c r="C30" i="11"/>
  <c r="B42" i="19"/>
  <c r="B10" i="19"/>
  <c r="B36" i="18"/>
  <c r="B4" i="18"/>
  <c r="B30" i="17"/>
  <c r="B56" i="16"/>
  <c r="B24" i="16"/>
  <c r="B50" i="15"/>
  <c r="B18" i="15"/>
  <c r="B44" i="14"/>
  <c r="B12" i="14"/>
  <c r="B38" i="13"/>
  <c r="B6" i="13"/>
  <c r="B32" i="12"/>
  <c r="B58" i="11"/>
  <c r="C49" i="19"/>
  <c r="C17" i="19"/>
  <c r="C43" i="18"/>
  <c r="C11" i="18"/>
  <c r="C37" i="17"/>
  <c r="C5" i="17"/>
  <c r="C31" i="16"/>
  <c r="C57" i="15"/>
  <c r="C25" i="15"/>
  <c r="C51" i="14"/>
  <c r="C19" i="14"/>
  <c r="C45" i="13"/>
  <c r="C13" i="13"/>
  <c r="C39" i="12"/>
  <c r="C7" i="12"/>
  <c r="C33" i="11"/>
  <c r="B41" i="19"/>
  <c r="B9" i="19"/>
  <c r="B35" i="18"/>
  <c r="B3" i="18"/>
  <c r="B29" i="17"/>
  <c r="B55" i="16"/>
  <c r="B23" i="16"/>
  <c r="B49" i="15"/>
  <c r="B17" i="15"/>
  <c r="B43" i="14"/>
  <c r="B11" i="14"/>
  <c r="B37" i="13"/>
  <c r="B5" i="13"/>
  <c r="B31" i="12"/>
  <c r="B57" i="11"/>
  <c r="C52" i="19"/>
  <c r="C20" i="19"/>
  <c r="C46" i="18"/>
  <c r="C14" i="18"/>
  <c r="C40" i="17"/>
  <c r="C8" i="17"/>
  <c r="C34" i="16"/>
  <c r="C2" i="16"/>
  <c r="C28" i="15"/>
  <c r="C54" i="14"/>
  <c r="C22" i="14"/>
  <c r="C48" i="13"/>
  <c r="C16" i="13"/>
  <c r="C42" i="12"/>
  <c r="C10" i="12"/>
  <c r="C36" i="11"/>
  <c r="B44" i="19"/>
  <c r="B12" i="19"/>
  <c r="B38" i="18"/>
  <c r="B6" i="18"/>
  <c r="B32" i="17"/>
  <c r="B58" i="16"/>
  <c r="B26" i="16"/>
  <c r="B52" i="15"/>
  <c r="B20" i="15"/>
  <c r="B46" i="14"/>
  <c r="B14" i="14"/>
  <c r="B40" i="13"/>
  <c r="B8" i="13"/>
  <c r="C47" i="19"/>
  <c r="C15" i="19"/>
  <c r="C41" i="18"/>
  <c r="C9" i="18"/>
  <c r="C35" i="17"/>
  <c r="C3" i="17"/>
  <c r="C29" i="16"/>
  <c r="C55" i="15"/>
  <c r="C23" i="15"/>
  <c r="C49" i="14"/>
  <c r="C17" i="14"/>
  <c r="C43" i="13"/>
  <c r="C11" i="13"/>
  <c r="C37" i="12"/>
  <c r="C5" i="12"/>
  <c r="C31" i="11"/>
  <c r="B17" i="18"/>
  <c r="B51" i="13"/>
  <c r="B20" i="11"/>
  <c r="C44" i="10"/>
  <c r="C12" i="10"/>
  <c r="C38" i="9"/>
  <c r="C6" i="9"/>
  <c r="C32" i="8"/>
  <c r="C58" i="7"/>
  <c r="C26" i="7"/>
  <c r="C52" i="6"/>
  <c r="B45" i="18"/>
  <c r="B21" i="14"/>
  <c r="B27" i="11"/>
  <c r="B48" i="10"/>
  <c r="B16" i="10"/>
  <c r="B42" i="9"/>
  <c r="B10" i="9"/>
  <c r="B36" i="8"/>
  <c r="B4" i="8"/>
  <c r="C42" i="19"/>
  <c r="C10" i="19"/>
  <c r="C36" i="18"/>
  <c r="C4" i="18"/>
  <c r="C30" i="17"/>
  <c r="C56" i="16"/>
  <c r="C24" i="16"/>
  <c r="C50" i="15"/>
  <c r="C18" i="15"/>
  <c r="C44" i="14"/>
  <c r="C12" i="14"/>
  <c r="C38" i="13"/>
  <c r="C6" i="13"/>
  <c r="C32" i="12"/>
  <c r="C58" i="11"/>
  <c r="C26" i="11"/>
  <c r="B38" i="19"/>
  <c r="B6" i="19"/>
  <c r="B32" i="18"/>
  <c r="B58" i="17"/>
  <c r="B26" i="17"/>
  <c r="B52" i="16"/>
  <c r="B20" i="16"/>
  <c r="B46" i="15"/>
  <c r="B14" i="15"/>
  <c r="B40" i="14"/>
  <c r="B8" i="14"/>
  <c r="B34" i="13"/>
  <c r="B2" i="13"/>
  <c r="B28" i="12"/>
  <c r="B54" i="11"/>
  <c r="C45" i="19"/>
  <c r="C13" i="19"/>
  <c r="C39" i="18"/>
  <c r="C7" i="18"/>
  <c r="C33" i="17"/>
  <c r="C1" i="17"/>
  <c r="C27" i="16"/>
  <c r="C53" i="15"/>
  <c r="C21" i="15"/>
  <c r="C47" i="14"/>
  <c r="C15" i="14"/>
  <c r="C41" i="13"/>
  <c r="C9" i="13"/>
  <c r="C35" i="12"/>
  <c r="C3" i="12"/>
  <c r="C29" i="11"/>
  <c r="B37" i="19"/>
  <c r="B5" i="19"/>
  <c r="B31" i="18"/>
  <c r="B57" i="17"/>
  <c r="B25" i="17"/>
  <c r="B51" i="16"/>
  <c r="B19" i="16"/>
  <c r="B45" i="15"/>
  <c r="B13" i="15"/>
  <c r="B39" i="14"/>
  <c r="B7" i="14"/>
  <c r="B33" i="13"/>
  <c r="B1" i="13"/>
  <c r="B27" i="12"/>
  <c r="B53" i="11"/>
  <c r="C48" i="19"/>
  <c r="C16" i="19"/>
  <c r="C42" i="18"/>
  <c r="C10" i="18"/>
  <c r="C36" i="17"/>
  <c r="C4" i="17"/>
  <c r="C30" i="16"/>
  <c r="C56" i="15"/>
  <c r="C24" i="15"/>
  <c r="C50" i="14"/>
  <c r="C18" i="14"/>
  <c r="C44" i="13"/>
  <c r="C12" i="13"/>
  <c r="C38" i="12"/>
  <c r="C6" i="12"/>
  <c r="C32" i="11"/>
  <c r="B40" i="19"/>
  <c r="B8" i="19"/>
  <c r="B34" i="18"/>
  <c r="B2" i="18"/>
  <c r="B28" i="17"/>
  <c r="B54" i="16"/>
  <c r="B22" i="16"/>
  <c r="B48" i="15"/>
  <c r="B16" i="15"/>
  <c r="B42" i="14"/>
  <c r="B10" i="14"/>
  <c r="B36" i="13"/>
  <c r="B4" i="13"/>
  <c r="C43" i="19"/>
  <c r="C11" i="19"/>
  <c r="C37" i="18"/>
  <c r="C5" i="18"/>
  <c r="C31" i="17"/>
  <c r="C57" i="16"/>
  <c r="C25" i="16"/>
  <c r="C51" i="15"/>
  <c r="C19" i="15"/>
  <c r="C45" i="14"/>
  <c r="C13" i="14"/>
  <c r="C39" i="13"/>
  <c r="C7" i="13"/>
  <c r="C33" i="12"/>
  <c r="C1" i="12"/>
  <c r="C27" i="11"/>
  <c r="B43" i="17"/>
  <c r="B19" i="13"/>
  <c r="C14" i="11"/>
  <c r="C40" i="10"/>
  <c r="C8" i="10"/>
  <c r="C34" i="9"/>
  <c r="C2" i="9"/>
  <c r="C28" i="8"/>
  <c r="C54" i="7"/>
  <c r="C22" i="7"/>
  <c r="C48" i="6"/>
  <c r="B13" i="18"/>
  <c r="B47" i="13"/>
  <c r="B19" i="11"/>
  <c r="B44" i="10"/>
  <c r="B12" i="10"/>
  <c r="B38" i="9"/>
  <c r="B6" i="9"/>
  <c r="B32" i="8"/>
  <c r="B58" i="7"/>
  <c r="C38" i="19"/>
  <c r="C6" i="19"/>
  <c r="C32" i="18"/>
  <c r="C58" i="17"/>
  <c r="C26" i="17"/>
  <c r="C52" i="16"/>
  <c r="C20" i="16"/>
  <c r="C46" i="15"/>
  <c r="C14" i="15"/>
  <c r="C40" i="14"/>
  <c r="C8" i="14"/>
  <c r="C34" i="13"/>
  <c r="C2" i="13"/>
  <c r="C28" i="12"/>
  <c r="C54" i="11"/>
  <c r="C22" i="11"/>
  <c r="B34" i="19"/>
  <c r="B2" i="19"/>
  <c r="B28" i="18"/>
  <c r="B54" i="17"/>
  <c r="B22" i="17"/>
  <c r="B48" i="16"/>
  <c r="B16" i="16"/>
  <c r="B42" i="15"/>
  <c r="B10" i="15"/>
  <c r="B36" i="14"/>
  <c r="B4" i="14"/>
  <c r="B30" i="13"/>
  <c r="B56" i="12"/>
  <c r="B24" i="12"/>
  <c r="B50" i="11"/>
  <c r="C41" i="19"/>
  <c r="C9" i="19"/>
  <c r="C35" i="18"/>
  <c r="C3" i="18"/>
  <c r="C29" i="17"/>
  <c r="C55" i="16"/>
  <c r="C23" i="16"/>
  <c r="C49" i="15"/>
  <c r="C17" i="15"/>
  <c r="C43" i="14"/>
  <c r="C11" i="14"/>
  <c r="C37" i="13"/>
  <c r="C5" i="13"/>
  <c r="C31" i="12"/>
  <c r="C57" i="11"/>
  <c r="C25" i="11"/>
  <c r="B33" i="19"/>
  <c r="B1" i="19"/>
  <c r="B27" i="18"/>
  <c r="B53" i="17"/>
  <c r="B21" i="17"/>
  <c r="B47" i="16"/>
  <c r="B15" i="16"/>
  <c r="B41" i="15"/>
  <c r="B9" i="15"/>
  <c r="B35" i="14"/>
  <c r="B3" i="14"/>
  <c r="B29" i="13"/>
  <c r="B55" i="12"/>
  <c r="B23" i="12"/>
  <c r="B49" i="11"/>
  <c r="C44" i="19"/>
  <c r="C12" i="19"/>
  <c r="C38" i="18"/>
  <c r="C6" i="18"/>
  <c r="C32" i="17"/>
  <c r="C58" i="16"/>
  <c r="C26" i="16"/>
  <c r="C52" i="15"/>
  <c r="C20" i="15"/>
  <c r="C46" i="14"/>
  <c r="C14" i="14"/>
  <c r="C40" i="13"/>
  <c r="C8" i="13"/>
  <c r="C34" i="12"/>
  <c r="C2" i="12"/>
  <c r="C28" i="11"/>
  <c r="B36" i="19"/>
  <c r="B4" i="19"/>
  <c r="B30" i="18"/>
  <c r="B56" i="17"/>
  <c r="B24" i="17"/>
  <c r="B50" i="16"/>
  <c r="B18" i="16"/>
  <c r="B44" i="15"/>
  <c r="B12" i="15"/>
  <c r="B38" i="14"/>
  <c r="B6" i="14"/>
  <c r="B32" i="13"/>
  <c r="B58" i="12"/>
  <c r="C39" i="19"/>
  <c r="C7" i="19"/>
  <c r="C33" i="18"/>
  <c r="C1" i="18"/>
  <c r="C27" i="17"/>
  <c r="C53" i="16"/>
  <c r="C21" i="16"/>
  <c r="C47" i="15"/>
  <c r="C15" i="15"/>
  <c r="C41" i="14"/>
  <c r="C9" i="14"/>
  <c r="C35" i="13"/>
  <c r="C3" i="13"/>
  <c r="C29" i="12"/>
  <c r="C55" i="11"/>
  <c r="C23" i="11"/>
  <c r="B11" i="17"/>
  <c r="B45" i="12"/>
  <c r="C10" i="11"/>
  <c r="C36" i="10"/>
  <c r="C4" i="10"/>
  <c r="C30" i="9"/>
  <c r="C56" i="8"/>
  <c r="C24" i="8"/>
  <c r="C50" i="7"/>
  <c r="C18" i="7"/>
  <c r="C44" i="6"/>
  <c r="B39" i="17"/>
  <c r="B15" i="13"/>
  <c r="B14" i="11"/>
  <c r="B40" i="10"/>
  <c r="B8" i="10"/>
  <c r="B34" i="9"/>
  <c r="B2" i="9"/>
  <c r="B28" i="8"/>
  <c r="B54" i="7"/>
  <c r="C34" i="19"/>
  <c r="C2" i="19"/>
  <c r="C28" i="18"/>
  <c r="C54" i="17"/>
  <c r="C22" i="17"/>
  <c r="C48" i="16"/>
  <c r="C16" i="16"/>
  <c r="C42" i="15"/>
  <c r="C10" i="15"/>
  <c r="C36" i="14"/>
  <c r="C4" i="14"/>
  <c r="C30" i="13"/>
  <c r="C56" i="12"/>
  <c r="C24" i="12"/>
  <c r="C50" i="11"/>
  <c r="C18" i="11"/>
  <c r="B30" i="19"/>
  <c r="B56" i="18"/>
  <c r="B24" i="18"/>
  <c r="B50" i="17"/>
  <c r="B18" i="17"/>
  <c r="B44" i="16"/>
  <c r="B12" i="16"/>
  <c r="B38" i="15"/>
  <c r="B6" i="15"/>
  <c r="B32" i="14"/>
  <c r="B58" i="13"/>
  <c r="B26" i="13"/>
  <c r="B52" i="12"/>
  <c r="B20" i="12"/>
  <c r="B46" i="11"/>
  <c r="C37" i="19"/>
  <c r="C5" i="19"/>
  <c r="C31" i="18"/>
  <c r="C57" i="17"/>
  <c r="C25" i="17"/>
  <c r="C51" i="16"/>
  <c r="C19" i="16"/>
  <c r="C45" i="15"/>
  <c r="C13" i="15"/>
  <c r="C39" i="14"/>
  <c r="C7" i="14"/>
  <c r="C33" i="13"/>
  <c r="C1" i="13"/>
  <c r="C27" i="12"/>
  <c r="C53" i="11"/>
  <c r="C21" i="11"/>
  <c r="B29" i="19"/>
  <c r="B55" i="18"/>
  <c r="B23" i="18"/>
  <c r="B49" i="17"/>
  <c r="B17" i="17"/>
  <c r="B43" i="16"/>
  <c r="B11" i="16"/>
  <c r="B37" i="15"/>
  <c r="B5" i="15"/>
  <c r="B31" i="14"/>
  <c r="B57" i="13"/>
  <c r="B25" i="13"/>
  <c r="B51" i="12"/>
  <c r="B19" i="12"/>
  <c r="B45" i="11"/>
  <c r="C40" i="19"/>
  <c r="C8" i="19"/>
  <c r="C34" i="18"/>
  <c r="C2" i="18"/>
  <c r="C28" i="17"/>
  <c r="C54" i="16"/>
  <c r="C22" i="16"/>
  <c r="C48" i="15"/>
  <c r="C16" i="15"/>
  <c r="C42" i="14"/>
  <c r="C10" i="14"/>
  <c r="C36" i="13"/>
  <c r="C4" i="13"/>
  <c r="C30" i="12"/>
  <c r="C56" i="11"/>
  <c r="C24" i="11"/>
  <c r="B32" i="19"/>
  <c r="B58" i="18"/>
  <c r="B26" i="18"/>
  <c r="B52" i="17"/>
  <c r="B20" i="17"/>
  <c r="B46" i="16"/>
  <c r="B14" i="16"/>
  <c r="B40" i="15"/>
  <c r="B8" i="15"/>
  <c r="B34" i="14"/>
  <c r="B2" i="14"/>
  <c r="B28" i="13"/>
  <c r="B54" i="12"/>
  <c r="C35" i="19"/>
  <c r="C3" i="19"/>
  <c r="C29" i="18"/>
  <c r="C55" i="17"/>
  <c r="C23" i="17"/>
  <c r="C49" i="16"/>
  <c r="C17" i="16"/>
  <c r="C43" i="15"/>
  <c r="C11" i="15"/>
  <c r="C37" i="14"/>
  <c r="C5" i="14"/>
  <c r="C31" i="13"/>
  <c r="C57" i="12"/>
  <c r="C25" i="12"/>
  <c r="C51" i="11"/>
  <c r="C19" i="11"/>
  <c r="B37" i="16"/>
  <c r="B29" i="12"/>
  <c r="C6" i="11"/>
  <c r="C32" i="10"/>
  <c r="C58" i="9"/>
  <c r="C26" i="9"/>
  <c r="C52" i="8"/>
  <c r="C20" i="8"/>
  <c r="C46" i="7"/>
  <c r="C14" i="7"/>
  <c r="C40" i="6"/>
  <c r="B7" i="17"/>
  <c r="B42" i="12"/>
  <c r="B10" i="11"/>
  <c r="B36" i="10"/>
  <c r="B4" i="10"/>
  <c r="B30" i="9"/>
  <c r="B56" i="8"/>
  <c r="B24" i="8"/>
  <c r="B50" i="7"/>
  <c r="C26" i="19"/>
  <c r="C20" i="18"/>
  <c r="C14" i="17"/>
  <c r="C8" i="16"/>
  <c r="C2" i="15"/>
  <c r="C54" i="13"/>
  <c r="C48" i="12"/>
  <c r="C42" i="11"/>
  <c r="B22" i="19"/>
  <c r="B16" i="18"/>
  <c r="B10" i="17"/>
  <c r="B4" i="16"/>
  <c r="B56" i="14"/>
  <c r="B50" i="13"/>
  <c r="B44" i="12"/>
  <c r="B38" i="11"/>
  <c r="C55" i="18"/>
  <c r="C49" i="17"/>
  <c r="C43" i="16"/>
  <c r="C37" i="15"/>
  <c r="C31" i="14"/>
  <c r="C25" i="13"/>
  <c r="C19" i="12"/>
  <c r="B53" i="19"/>
  <c r="B47" i="18"/>
  <c r="B41" i="17"/>
  <c r="B35" i="16"/>
  <c r="B29" i="15"/>
  <c r="B23" i="14"/>
  <c r="B17" i="13"/>
  <c r="B11" i="12"/>
  <c r="C32" i="19"/>
  <c r="C26" i="18"/>
  <c r="C20" i="17"/>
  <c r="C14" i="16"/>
  <c r="C8" i="15"/>
  <c r="C2" i="14"/>
  <c r="C54" i="12"/>
  <c r="C48" i="11"/>
  <c r="B24" i="19"/>
  <c r="B18" i="18"/>
  <c r="B12" i="17"/>
  <c r="B6" i="16"/>
  <c r="B58" i="14"/>
  <c r="B52" i="13"/>
  <c r="B46" i="12"/>
  <c r="C53" i="18"/>
  <c r="C47" i="17"/>
  <c r="C41" i="16"/>
  <c r="C35" i="15"/>
  <c r="C29" i="14"/>
  <c r="C23" i="13"/>
  <c r="C17" i="12"/>
  <c r="B55" i="19"/>
  <c r="B55" i="11"/>
  <c r="C24" i="10"/>
  <c r="C18" i="9"/>
  <c r="C12" i="8"/>
  <c r="C6" i="7"/>
  <c r="B1" i="16"/>
  <c r="B2" i="11"/>
  <c r="B54" i="9"/>
  <c r="B48" i="8"/>
  <c r="B42" i="7"/>
  <c r="B10" i="7"/>
  <c r="B36" i="6"/>
  <c r="B4" i="6"/>
  <c r="B30" i="5"/>
  <c r="B56" i="4"/>
  <c r="B24" i="4"/>
  <c r="B47" i="19"/>
  <c r="B23" i="15"/>
  <c r="B51" i="11"/>
  <c r="C55" i="10"/>
  <c r="C23" i="10"/>
  <c r="C49" i="9"/>
  <c r="C17" i="9"/>
  <c r="C43" i="8"/>
  <c r="C11" i="8"/>
  <c r="C37" i="7"/>
  <c r="C5" i="7"/>
  <c r="C31" i="6"/>
  <c r="C57" i="5"/>
  <c r="C25" i="5"/>
  <c r="B51" i="15"/>
  <c r="B6" i="12"/>
  <c r="B1" i="11"/>
  <c r="B27" i="10"/>
  <c r="B53" i="9"/>
  <c r="B21" i="9"/>
  <c r="B47" i="8"/>
  <c r="B15" i="8"/>
  <c r="B41" i="7"/>
  <c r="B9" i="7"/>
  <c r="B35" i="6"/>
  <c r="B27" i="17"/>
  <c r="C12" i="11"/>
  <c r="C6" i="10"/>
  <c r="C58" i="8"/>
  <c r="C52" i="7"/>
  <c r="C46" i="6"/>
  <c r="C54" i="5"/>
  <c r="B13" i="5"/>
  <c r="C34" i="4"/>
  <c r="B56" i="3"/>
  <c r="C23" i="3"/>
  <c r="C49" i="2"/>
  <c r="C17" i="2"/>
  <c r="B17" i="16"/>
  <c r="B4" i="11"/>
  <c r="B56" i="9"/>
  <c r="B50" i="8"/>
  <c r="B44" i="7"/>
  <c r="B38" i="6"/>
  <c r="B48" i="5"/>
  <c r="B8" i="5"/>
  <c r="C29" i="4"/>
  <c r="B51" i="3"/>
  <c r="B19" i="3"/>
  <c r="B45" i="2"/>
  <c r="B13" i="2"/>
  <c r="B7" i="15"/>
  <c r="C53" i="10"/>
  <c r="C47" i="9"/>
  <c r="C22" i="19"/>
  <c r="C16" i="18"/>
  <c r="C10" i="17"/>
  <c r="C4" i="16"/>
  <c r="C56" i="14"/>
  <c r="C50" i="13"/>
  <c r="C44" i="12"/>
  <c r="C38" i="11"/>
  <c r="B18" i="19"/>
  <c r="B12" i="18"/>
  <c r="B6" i="17"/>
  <c r="B58" i="15"/>
  <c r="B52" i="14"/>
  <c r="B46" i="13"/>
  <c r="B40" i="12"/>
  <c r="C57" i="19"/>
  <c r="C51" i="18"/>
  <c r="C45" i="17"/>
  <c r="C39" i="16"/>
  <c r="C33" i="15"/>
  <c r="C27" i="14"/>
  <c r="C21" i="13"/>
  <c r="C15" i="12"/>
  <c r="B49" i="19"/>
  <c r="B43" i="18"/>
  <c r="B37" i="17"/>
  <c r="B31" i="16"/>
  <c r="B25" i="15"/>
  <c r="B19" i="14"/>
  <c r="B13" i="13"/>
  <c r="B7" i="12"/>
  <c r="C28" i="19"/>
  <c r="C22" i="18"/>
  <c r="C16" i="17"/>
  <c r="C10" i="16"/>
  <c r="C4" i="15"/>
  <c r="C56" i="13"/>
  <c r="C50" i="12"/>
  <c r="C44" i="11"/>
  <c r="B20" i="19"/>
  <c r="B14" i="18"/>
  <c r="B8" i="17"/>
  <c r="B2" i="16"/>
  <c r="B54" i="14"/>
  <c r="B48" i="13"/>
  <c r="C55" i="19"/>
  <c r="C49" i="18"/>
  <c r="C43" i="17"/>
  <c r="C37" i="16"/>
  <c r="C31" i="15"/>
  <c r="C25" i="14"/>
  <c r="C19" i="13"/>
  <c r="C13" i="12"/>
  <c r="B23" i="19"/>
  <c r="B39" i="11"/>
  <c r="C20" i="10"/>
  <c r="C14" i="9"/>
  <c r="C8" i="8"/>
  <c r="C2" i="7"/>
  <c r="B27" i="15"/>
  <c r="B56" i="10"/>
  <c r="B50" i="9"/>
  <c r="B44" i="8"/>
  <c r="B38" i="7"/>
  <c r="B6" i="7"/>
  <c r="B32" i="6"/>
  <c r="B58" i="5"/>
  <c r="B26" i="5"/>
  <c r="B52" i="4"/>
  <c r="B20" i="4"/>
  <c r="B15" i="19"/>
  <c r="B49" i="14"/>
  <c r="B35" i="11"/>
  <c r="C51" i="10"/>
  <c r="C19" i="10"/>
  <c r="C45" i="9"/>
  <c r="C13" i="9"/>
  <c r="C39" i="8"/>
  <c r="C7" i="8"/>
  <c r="C33" i="7"/>
  <c r="C1" i="7"/>
  <c r="C27" i="6"/>
  <c r="C53" i="5"/>
  <c r="B43" i="19"/>
  <c r="B19" i="15"/>
  <c r="B48" i="11"/>
  <c r="B55" i="10"/>
  <c r="B23" i="10"/>
  <c r="B49" i="9"/>
  <c r="B17" i="9"/>
  <c r="B43" i="8"/>
  <c r="B11" i="8"/>
  <c r="B37" i="7"/>
  <c r="B5" i="7"/>
  <c r="B31" i="6"/>
  <c r="B21" i="16"/>
  <c r="C4" i="11"/>
  <c r="C56" i="9"/>
  <c r="C50" i="8"/>
  <c r="C44" i="7"/>
  <c r="C38" i="6"/>
  <c r="C48" i="5"/>
  <c r="C8" i="5"/>
  <c r="B30" i="4"/>
  <c r="C51" i="3"/>
  <c r="C19" i="3"/>
  <c r="C45" i="2"/>
  <c r="C13" i="2"/>
  <c r="B11" i="15"/>
  <c r="B54" i="10"/>
  <c r="B48" i="9"/>
  <c r="B42" i="8"/>
  <c r="B36" i="7"/>
  <c r="B30" i="6"/>
  <c r="B43" i="5"/>
  <c r="C3" i="5"/>
  <c r="B25" i="4"/>
  <c r="B47" i="3"/>
  <c r="B15" i="3"/>
  <c r="B41" i="2"/>
  <c r="B9" i="2"/>
  <c r="B1" i="14"/>
  <c r="C45" i="10"/>
  <c r="C39" i="9"/>
  <c r="C33" i="8"/>
  <c r="C27" i="7"/>
  <c r="C22" i="6"/>
  <c r="C18" i="19"/>
  <c r="C12" i="18"/>
  <c r="C6" i="17"/>
  <c r="C58" i="15"/>
  <c r="C52" i="14"/>
  <c r="C46" i="13"/>
  <c r="C40" i="12"/>
  <c r="C34" i="11"/>
  <c r="B14" i="19"/>
  <c r="B8" i="18"/>
  <c r="B2" i="17"/>
  <c r="B54" i="15"/>
  <c r="B48" i="14"/>
  <c r="B42" i="13"/>
  <c r="B36" i="12"/>
  <c r="C53" i="19"/>
  <c r="C47" i="18"/>
  <c r="C41" i="17"/>
  <c r="C35" i="16"/>
  <c r="C29" i="15"/>
  <c r="C23" i="14"/>
  <c r="C17" i="13"/>
  <c r="C11" i="12"/>
  <c r="B45" i="19"/>
  <c r="B39" i="18"/>
  <c r="B33" i="17"/>
  <c r="B27" i="16"/>
  <c r="B21" i="15"/>
  <c r="B15" i="14"/>
  <c r="B9" i="13"/>
  <c r="B3" i="12"/>
  <c r="C24" i="19"/>
  <c r="C18" i="18"/>
  <c r="C12" i="17"/>
  <c r="C6" i="16"/>
  <c r="C58" i="14"/>
  <c r="C52" i="13"/>
  <c r="C46" i="12"/>
  <c r="C40" i="11"/>
  <c r="B16" i="19"/>
  <c r="B10" i="18"/>
  <c r="B4" i="17"/>
  <c r="B56" i="15"/>
  <c r="B50" i="14"/>
  <c r="B44" i="13"/>
  <c r="C51" i="19"/>
  <c r="C45" i="18"/>
  <c r="C39" i="17"/>
  <c r="C33" i="16"/>
  <c r="C27" i="15"/>
  <c r="C21" i="14"/>
  <c r="C15" i="13"/>
  <c r="C9" i="12"/>
  <c r="B49" i="18"/>
  <c r="B28" i="11"/>
  <c r="C16" i="10"/>
  <c r="C10" i="9"/>
  <c r="C4" i="8"/>
  <c r="C56" i="6"/>
  <c r="B53" i="14"/>
  <c r="B52" i="10"/>
  <c r="B46" i="9"/>
  <c r="B40" i="8"/>
  <c r="B34" i="7"/>
  <c r="B2" i="7"/>
  <c r="B28" i="6"/>
  <c r="B54" i="5"/>
  <c r="B22" i="5"/>
  <c r="B48" i="4"/>
  <c r="B16" i="4"/>
  <c r="B41" i="18"/>
  <c r="B17" i="14"/>
  <c r="B26" i="11"/>
  <c r="C47" i="10"/>
  <c r="C15" i="10"/>
  <c r="C41" i="9"/>
  <c r="C9" i="9"/>
  <c r="C35" i="8"/>
  <c r="C3" i="8"/>
  <c r="C29" i="7"/>
  <c r="C55" i="6"/>
  <c r="C23" i="6"/>
  <c r="C49" i="5"/>
  <c r="B11" i="19"/>
  <c r="B45" i="14"/>
  <c r="B34" i="11"/>
  <c r="B51" i="10"/>
  <c r="B19" i="10"/>
  <c r="B45" i="9"/>
  <c r="B13" i="9"/>
  <c r="B39" i="8"/>
  <c r="B7" i="8"/>
  <c r="B33" i="7"/>
  <c r="B1" i="7"/>
  <c r="B27" i="6"/>
  <c r="B15" i="15"/>
  <c r="C54" i="10"/>
  <c r="C48" i="9"/>
  <c r="C42" i="8"/>
  <c r="C36" i="7"/>
  <c r="C30" i="6"/>
  <c r="C43" i="5"/>
  <c r="B4" i="5"/>
  <c r="C25" i="4"/>
  <c r="C47" i="3"/>
  <c r="C15" i="3"/>
  <c r="C41" i="2"/>
  <c r="C9" i="2"/>
  <c r="B5" i="14"/>
  <c r="B46" i="10"/>
  <c r="B40" i="9"/>
  <c r="B34" i="8"/>
  <c r="B28" i="7"/>
  <c r="C24" i="6"/>
  <c r="B37" i="5"/>
  <c r="B57" i="4"/>
  <c r="C20" i="4"/>
  <c r="B43" i="3"/>
  <c r="C56" i="18"/>
  <c r="C50" i="17"/>
  <c r="C44" i="16"/>
  <c r="C38" i="15"/>
  <c r="C32" i="14"/>
  <c r="C26" i="13"/>
  <c r="C20" i="12"/>
  <c r="B58" i="19"/>
  <c r="B52" i="18"/>
  <c r="B46" i="17"/>
  <c r="B40" i="16"/>
  <c r="B34" i="15"/>
  <c r="B28" i="14"/>
  <c r="B22" i="13"/>
  <c r="B16" i="12"/>
  <c r="C33" i="19"/>
  <c r="C27" i="18"/>
  <c r="C21" i="17"/>
  <c r="C15" i="16"/>
  <c r="C9" i="15"/>
  <c r="C3" i="14"/>
  <c r="C55" i="12"/>
  <c r="C49" i="11"/>
  <c r="B25" i="19"/>
  <c r="B19" i="18"/>
  <c r="B13" i="17"/>
  <c r="B7" i="16"/>
  <c r="B1" i="15"/>
  <c r="B53" i="13"/>
  <c r="B47" i="12"/>
  <c r="B41" i="11"/>
  <c r="C4" i="19"/>
  <c r="C56" i="17"/>
  <c r="C50" i="16"/>
  <c r="C44" i="15"/>
  <c r="C38" i="14"/>
  <c r="C32" i="13"/>
  <c r="C26" i="12"/>
  <c r="C20" i="11"/>
  <c r="B54" i="18"/>
  <c r="B48" i="17"/>
  <c r="B42" i="16"/>
  <c r="B36" i="15"/>
  <c r="B30" i="14"/>
  <c r="B24" i="13"/>
  <c r="C31" i="19"/>
  <c r="C25" i="18"/>
  <c r="C19" i="17"/>
  <c r="C13" i="16"/>
  <c r="C7" i="15"/>
  <c r="C1" i="14"/>
  <c r="C53" i="12"/>
  <c r="C47" i="11"/>
  <c r="B5" i="16"/>
  <c r="C2" i="11"/>
  <c r="C54" i="9"/>
  <c r="C48" i="8"/>
  <c r="C42" i="7"/>
  <c r="C36" i="6"/>
  <c r="B26" i="12"/>
  <c r="B32" i="10"/>
  <c r="B26" i="9"/>
  <c r="B20" i="8"/>
  <c r="B30" i="7"/>
  <c r="B56" i="6"/>
  <c r="B24" i="6"/>
  <c r="B50" i="5"/>
  <c r="B18" i="5"/>
  <c r="B44" i="4"/>
  <c r="B12" i="4"/>
  <c r="B9" i="18"/>
  <c r="B43" i="13"/>
  <c r="B18" i="11"/>
  <c r="C43" i="10"/>
  <c r="C11" i="10"/>
  <c r="C37" i="9"/>
  <c r="C5" i="9"/>
  <c r="C31" i="8"/>
  <c r="C57" i="7"/>
  <c r="C25" i="7"/>
  <c r="C51" i="6"/>
  <c r="C19" i="6"/>
  <c r="C45" i="5"/>
  <c r="B37" i="18"/>
  <c r="B13" i="14"/>
  <c r="B25" i="11"/>
  <c r="B47" i="10"/>
  <c r="B15" i="10"/>
  <c r="B41" i="9"/>
  <c r="B9" i="9"/>
  <c r="B35" i="8"/>
  <c r="B3" i="8"/>
  <c r="B29" i="7"/>
  <c r="B55" i="6"/>
  <c r="B23" i="6"/>
  <c r="B9" i="14"/>
  <c r="C46" i="10"/>
  <c r="C40" i="9"/>
  <c r="C34" i="8"/>
  <c r="C28" i="7"/>
  <c r="B25" i="6"/>
  <c r="C38" i="5"/>
  <c r="C57" i="4"/>
  <c r="B21" i="4"/>
  <c r="C43" i="3"/>
  <c r="C11" i="3"/>
  <c r="C37" i="2"/>
  <c r="C5" i="2"/>
  <c r="B57" i="12"/>
  <c r="B38" i="10"/>
  <c r="B32" i="9"/>
  <c r="B26" i="8"/>
  <c r="B20" i="7"/>
  <c r="C17" i="6"/>
  <c r="B32" i="5"/>
  <c r="C52" i="4"/>
  <c r="C15" i="4"/>
  <c r="B39" i="3"/>
  <c r="B7" i="3"/>
  <c r="B33" i="2"/>
  <c r="B1" i="2"/>
  <c r="B17" i="12"/>
  <c r="C29" i="10"/>
  <c r="C23" i="9"/>
  <c r="C17" i="8"/>
  <c r="C11" i="7"/>
  <c r="C10" i="6"/>
  <c r="C44" i="18"/>
  <c r="C38" i="17"/>
  <c r="C32" i="16"/>
  <c r="C26" i="15"/>
  <c r="C20" i="14"/>
  <c r="C14" i="13"/>
  <c r="C8" i="12"/>
  <c r="B46" i="19"/>
  <c r="B40" i="18"/>
  <c r="B34" i="17"/>
  <c r="B28" i="16"/>
  <c r="B22" i="15"/>
  <c r="B16" i="14"/>
  <c r="B10" i="13"/>
  <c r="B4" i="12"/>
  <c r="C21" i="19"/>
  <c r="C15" i="18"/>
  <c r="C9" i="17"/>
  <c r="C3" i="16"/>
  <c r="C55" i="14"/>
  <c r="C49" i="13"/>
  <c r="C43" i="12"/>
  <c r="C37" i="11"/>
  <c r="B13" i="19"/>
  <c r="B7" i="18"/>
  <c r="B1" i="17"/>
  <c r="B53" i="15"/>
  <c r="B47" i="14"/>
  <c r="B41" i="13"/>
  <c r="B35" i="12"/>
  <c r="C56" i="19"/>
  <c r="C50" i="18"/>
  <c r="C44" i="17"/>
  <c r="C38" i="16"/>
  <c r="C32" i="15"/>
  <c r="C26" i="14"/>
  <c r="C20" i="13"/>
  <c r="C14" i="12"/>
  <c r="B48" i="19"/>
  <c r="B42" i="18"/>
  <c r="B36" i="17"/>
  <c r="B30" i="16"/>
  <c r="B24" i="15"/>
  <c r="B18" i="14"/>
  <c r="B12" i="13"/>
  <c r="C19" i="19"/>
  <c r="C13" i="18"/>
  <c r="C7" i="17"/>
  <c r="C24" i="18"/>
  <c r="C18" i="17"/>
  <c r="C12" i="16"/>
  <c r="C6" i="15"/>
  <c r="C58" i="13"/>
  <c r="C52" i="12"/>
  <c r="C46" i="11"/>
  <c r="B26" i="19"/>
  <c r="B20" i="18"/>
  <c r="B14" i="17"/>
  <c r="B8" i="16"/>
  <c r="B2" i="15"/>
  <c r="B54" i="13"/>
  <c r="B48" i="12"/>
  <c r="B42" i="11"/>
  <c r="C1" i="19"/>
  <c r="C53" i="17"/>
  <c r="C47" i="16"/>
  <c r="C41" i="15"/>
  <c r="C35" i="14"/>
  <c r="C29" i="13"/>
  <c r="C23" i="12"/>
  <c r="B57" i="19"/>
  <c r="B51" i="18"/>
  <c r="B45" i="17"/>
  <c r="B39" i="16"/>
  <c r="B33" i="15"/>
  <c r="B27" i="14"/>
  <c r="B21" i="13"/>
  <c r="B15" i="12"/>
  <c r="C36" i="19"/>
  <c r="C30" i="18"/>
  <c r="C24" i="17"/>
  <c r="C18" i="16"/>
  <c r="C12" i="15"/>
  <c r="C6" i="14"/>
  <c r="C58" i="12"/>
  <c r="C52" i="11"/>
  <c r="B28" i="19"/>
  <c r="B22" i="18"/>
  <c r="B16" i="17"/>
  <c r="B10" i="16"/>
  <c r="B4" i="15"/>
  <c r="B56" i="13"/>
  <c r="B50" i="12"/>
  <c r="C57" i="18"/>
  <c r="C51" i="17"/>
  <c r="C45" i="16"/>
  <c r="C39" i="15"/>
  <c r="C33" i="14"/>
  <c r="C27" i="13"/>
  <c r="C21" i="12"/>
  <c r="C15" i="11"/>
  <c r="B13" i="12"/>
  <c r="C28" i="10"/>
  <c r="C22" i="9"/>
  <c r="C16" i="8"/>
  <c r="C10" i="7"/>
  <c r="B33" i="16"/>
  <c r="B6" i="11"/>
  <c r="B58" i="9"/>
  <c r="B52" i="8"/>
  <c r="B46" i="7"/>
  <c r="B14" i="7"/>
  <c r="B40" i="6"/>
  <c r="B8" i="6"/>
  <c r="B34" i="5"/>
  <c r="B2" i="5"/>
  <c r="B28" i="4"/>
  <c r="B54" i="3"/>
  <c r="B55" i="15"/>
  <c r="B9" i="12"/>
  <c r="C1" i="11"/>
  <c r="C27" i="10"/>
  <c r="C53" i="9"/>
  <c r="C21" i="9"/>
  <c r="C47" i="8"/>
  <c r="C15" i="8"/>
  <c r="C41" i="7"/>
  <c r="C9" i="7"/>
  <c r="C35" i="6"/>
  <c r="C3" i="6"/>
  <c r="C29" i="5"/>
  <c r="B25" i="16"/>
  <c r="B22" i="12"/>
  <c r="B5" i="11"/>
  <c r="B31" i="10"/>
  <c r="B57" i="9"/>
  <c r="B25" i="9"/>
  <c r="B51" i="8"/>
  <c r="B19" i="8"/>
  <c r="B45" i="7"/>
  <c r="B13" i="7"/>
  <c r="B39" i="6"/>
  <c r="B33" i="18"/>
  <c r="B24" i="11"/>
  <c r="C52" i="18"/>
  <c r="C28" i="14"/>
  <c r="B48" i="18"/>
  <c r="B24" i="14"/>
  <c r="C23" i="18"/>
  <c r="C57" i="13"/>
  <c r="B15" i="18"/>
  <c r="B49" i="13"/>
  <c r="C52" i="17"/>
  <c r="C28" i="13"/>
  <c r="B44" i="17"/>
  <c r="B20" i="13"/>
  <c r="C9" i="16"/>
  <c r="C47" i="13"/>
  <c r="B57" i="14"/>
  <c r="C44" i="8"/>
  <c r="B19" i="19"/>
  <c r="B18" i="9"/>
  <c r="B52" i="6"/>
  <c r="B38" i="5"/>
  <c r="B4" i="4"/>
  <c r="C13" i="11"/>
  <c r="C57" i="9"/>
  <c r="C23" i="8"/>
  <c r="C47" i="6"/>
  <c r="C33" i="5"/>
  <c r="B13" i="11"/>
  <c r="B37" i="9"/>
  <c r="B23" i="8"/>
  <c r="B47" i="6"/>
  <c r="C38" i="10"/>
  <c r="C26" i="8"/>
  <c r="B18" i="6"/>
  <c r="B53" i="4"/>
  <c r="C39" i="3"/>
  <c r="C33" i="2"/>
  <c r="B18" i="12"/>
  <c r="B24" i="9"/>
  <c r="B12" i="7"/>
  <c r="B27" i="5"/>
  <c r="B11" i="4"/>
  <c r="B11" i="3"/>
  <c r="B21" i="2"/>
  <c r="B43" i="11"/>
  <c r="C55" i="9"/>
  <c r="C9" i="8"/>
  <c r="C45" i="6"/>
  <c r="C42" i="5"/>
  <c r="B3" i="5"/>
  <c r="C24" i="4"/>
  <c r="C46" i="3"/>
  <c r="C14" i="3"/>
  <c r="C40" i="2"/>
  <c r="C8" i="2"/>
  <c r="B49" i="12"/>
  <c r="B37" i="10"/>
  <c r="B31" i="9"/>
  <c r="B25" i="8"/>
  <c r="B19" i="7"/>
  <c r="C16" i="6"/>
  <c r="B31" i="5"/>
  <c r="B51" i="4"/>
  <c r="C14" i="4"/>
  <c r="B38" i="3"/>
  <c r="B6" i="3"/>
  <c r="B32" i="2"/>
  <c r="B57" i="18"/>
  <c r="B30" i="11"/>
  <c r="C17" i="10"/>
  <c r="C11" i="9"/>
  <c r="C5" i="8"/>
  <c r="C57" i="6"/>
  <c r="C2" i="6"/>
  <c r="B19" i="5"/>
  <c r="C40" i="4"/>
  <c r="C3" i="4"/>
  <c r="C28" i="3"/>
  <c r="C54" i="2"/>
  <c r="C22" i="2"/>
  <c r="B31" i="13"/>
  <c r="B53" i="8"/>
  <c r="C4" i="6"/>
  <c r="B18" i="4"/>
  <c r="B46" i="2"/>
  <c r="B31" i="11"/>
  <c r="B29" i="8"/>
  <c r="C46" i="5"/>
  <c r="C4" i="4"/>
  <c r="B34" i="2"/>
  <c r="B58" i="10"/>
  <c r="B5" i="8"/>
  <c r="C30" i="5"/>
  <c r="B49" i="3"/>
  <c r="B22" i="2"/>
  <c r="C10" i="10"/>
  <c r="B16" i="7"/>
  <c r="C4" i="5"/>
  <c r="C25" i="3"/>
  <c r="B55" i="17"/>
  <c r="B27" i="9"/>
  <c r="C28" i="6"/>
  <c r="C36" i="4"/>
  <c r="B4" i="3"/>
  <c r="B26" i="10"/>
  <c r="C7" i="4"/>
  <c r="B20" i="9"/>
  <c r="B32" i="3"/>
  <c r="B14" i="8"/>
  <c r="B58" i="2"/>
  <c r="C9" i="6"/>
  <c r="B29" i="14"/>
  <c r="B55" i="4"/>
  <c r="C42" i="6"/>
  <c r="B5" i="12"/>
  <c r="B2" i="12"/>
  <c r="B39" i="2"/>
  <c r="B23" i="5"/>
  <c r="B44" i="3"/>
  <c r="B45" i="3"/>
  <c r="B7" i="6"/>
  <c r="B16" i="2"/>
  <c r="C44" i="3"/>
  <c r="B24" i="7"/>
  <c r="C52" i="9"/>
  <c r="C53" i="4"/>
  <c r="B34" i="6"/>
  <c r="B45" i="8"/>
  <c r="C48" i="18"/>
  <c r="C24" i="14"/>
  <c r="B44" i="18"/>
  <c r="B20" i="14"/>
  <c r="C19" i="18"/>
  <c r="C53" i="13"/>
  <c r="B11" i="18"/>
  <c r="B45" i="13"/>
  <c r="C48" i="17"/>
  <c r="C24" i="13"/>
  <c r="B40" i="17"/>
  <c r="B16" i="13"/>
  <c r="C5" i="16"/>
  <c r="C49" i="12"/>
  <c r="B25" i="14"/>
  <c r="C40" i="8"/>
  <c r="B10" i="12"/>
  <c r="B14" i="9"/>
  <c r="B48" i="6"/>
  <c r="B14" i="5"/>
  <c r="B58" i="3"/>
  <c r="C9" i="11"/>
  <c r="C33" i="9"/>
  <c r="C19" i="8"/>
  <c r="C43" i="6"/>
  <c r="B5" i="18"/>
  <c r="B9" i="11"/>
  <c r="B33" i="9"/>
  <c r="B57" i="7"/>
  <c r="B43" i="6"/>
  <c r="C30" i="10"/>
  <c r="C18" i="8"/>
  <c r="C12" i="6"/>
  <c r="C48" i="4"/>
  <c r="C35" i="3"/>
  <c r="C29" i="2"/>
  <c r="B44" i="11"/>
  <c r="B16" i="9"/>
  <c r="B4" i="7"/>
  <c r="C21" i="5"/>
  <c r="C6" i="4"/>
  <c r="B3" i="3"/>
  <c r="B17" i="2"/>
  <c r="B22" i="11"/>
  <c r="C31" i="9"/>
  <c r="C1" i="8"/>
  <c r="C37" i="6"/>
  <c r="C36" i="5"/>
  <c r="C56" i="4"/>
  <c r="C19" i="4"/>
  <c r="C42" i="3"/>
  <c r="C10" i="3"/>
  <c r="C36" i="2"/>
  <c r="C4" i="2"/>
  <c r="B14" i="12"/>
  <c r="B29" i="10"/>
  <c r="B23" i="9"/>
  <c r="B17" i="8"/>
  <c r="B11" i="7"/>
  <c r="B10" i="6"/>
  <c r="B25" i="5"/>
  <c r="C46" i="4"/>
  <c r="B10" i="4"/>
  <c r="B34" i="3"/>
  <c r="B2" i="3"/>
  <c r="B28" i="2"/>
  <c r="B51" i="17"/>
  <c r="B16" i="11"/>
  <c r="C9" i="10"/>
  <c r="C3" i="9"/>
  <c r="C55" i="7"/>
  <c r="C49" i="6"/>
  <c r="C55" i="5"/>
  <c r="C14" i="5"/>
  <c r="C35" i="4"/>
  <c r="B57" i="3"/>
  <c r="C24" i="3"/>
  <c r="C50" i="2"/>
  <c r="C18" i="2"/>
  <c r="B32" i="11"/>
  <c r="B30" i="8"/>
  <c r="B49" i="5"/>
  <c r="B5" i="4"/>
  <c r="B35" i="2"/>
  <c r="C58" i="10"/>
  <c r="B6" i="8"/>
  <c r="B33" i="5"/>
  <c r="C49" i="3"/>
  <c r="B23" i="2"/>
  <c r="C34" i="10"/>
  <c r="B40" i="7"/>
  <c r="C18" i="5"/>
  <c r="C37" i="3"/>
  <c r="B11" i="2"/>
  <c r="B51" i="9"/>
  <c r="C50" i="6"/>
  <c r="B50" i="4"/>
  <c r="B16" i="3"/>
  <c r="B41" i="14"/>
  <c r="B4" i="9"/>
  <c r="B13" i="6"/>
  <c r="B23" i="4"/>
  <c r="B51" i="2"/>
  <c r="C20" i="9"/>
  <c r="B33" i="3"/>
  <c r="C14" i="8"/>
  <c r="B1" i="3"/>
  <c r="C8" i="7"/>
  <c r="B27" i="2"/>
  <c r="C35" i="5"/>
  <c r="B50" i="10"/>
  <c r="C21" i="4"/>
  <c r="B46" i="4"/>
  <c r="B54" i="8"/>
  <c r="B38" i="8"/>
  <c r="B49" i="10"/>
  <c r="B42" i="6"/>
  <c r="B37" i="8"/>
  <c r="B48" i="2"/>
  <c r="C38" i="2"/>
  <c r="C29" i="3"/>
  <c r="B53" i="18"/>
  <c r="B34" i="12"/>
  <c r="C46" i="17"/>
  <c r="C22" i="13"/>
  <c r="B42" i="17"/>
  <c r="B18" i="13"/>
  <c r="C17" i="17"/>
  <c r="C51" i="12"/>
  <c r="B9" i="17"/>
  <c r="B43" i="12"/>
  <c r="C46" i="16"/>
  <c r="C22" i="12"/>
  <c r="B38" i="16"/>
  <c r="C27" i="19"/>
  <c r="C1" i="16"/>
  <c r="C45" i="12"/>
  <c r="C56" i="10"/>
  <c r="C36" i="8"/>
  <c r="B52" i="11"/>
  <c r="B16" i="8"/>
  <c r="B44" i="6"/>
  <c r="B10" i="5"/>
  <c r="B35" i="17"/>
  <c r="C5" i="11"/>
  <c r="C29" i="9"/>
  <c r="C53" i="7"/>
  <c r="C39" i="6"/>
  <c r="B31" i="17"/>
  <c r="B43" i="10"/>
  <c r="B29" i="9"/>
  <c r="B53" i="7"/>
  <c r="B19" i="6"/>
  <c r="C22" i="10"/>
  <c r="C10" i="8"/>
  <c r="C6" i="6"/>
  <c r="C43" i="4"/>
  <c r="C31" i="3"/>
  <c r="C25" i="2"/>
  <c r="B23" i="11"/>
  <c r="B8" i="9"/>
  <c r="B54" i="6"/>
  <c r="B17" i="5"/>
  <c r="B2" i="4"/>
  <c r="B57" i="2"/>
  <c r="B5" i="2"/>
  <c r="C11" i="11"/>
  <c r="C15" i="9"/>
  <c r="C51" i="7"/>
  <c r="C29" i="6"/>
  <c r="C31" i="5"/>
  <c r="C51" i="4"/>
  <c r="B15" i="4"/>
  <c r="C38" i="3"/>
  <c r="C6" i="3"/>
  <c r="C32" i="2"/>
  <c r="B27" i="19"/>
  <c r="B40" i="11"/>
  <c r="B21" i="10"/>
  <c r="B15" i="9"/>
  <c r="B9" i="8"/>
  <c r="B3" i="7"/>
  <c r="B5" i="6"/>
  <c r="C20" i="5"/>
  <c r="B42" i="4"/>
  <c r="C5" i="4"/>
  <c r="B30" i="3"/>
  <c r="B56" i="2"/>
  <c r="B24" i="2"/>
  <c r="B45" i="16"/>
  <c r="C7" i="11"/>
  <c r="C1" i="10"/>
  <c r="C53" i="8"/>
  <c r="C47" i="7"/>
  <c r="C41" i="6"/>
  <c r="C50" i="5"/>
  <c r="C9" i="5"/>
  <c r="B31" i="4"/>
  <c r="C52" i="3"/>
  <c r="C20" i="3"/>
  <c r="C46" i="2"/>
  <c r="C14" i="2"/>
  <c r="B7" i="11"/>
  <c r="C6" i="8"/>
  <c r="B35" i="5"/>
  <c r="B52" i="3"/>
  <c r="C23" i="2"/>
  <c r="B41" i="10"/>
  <c r="C40" i="7"/>
  <c r="C19" i="5"/>
  <c r="B40" i="3"/>
  <c r="C11" i="2"/>
  <c r="B17" i="10"/>
  <c r="C16" i="7"/>
  <c r="C5" i="5"/>
  <c r="B28" i="3"/>
  <c r="B1" i="18"/>
  <c r="B28" i="9"/>
  <c r="B33" i="6"/>
  <c r="B37" i="4"/>
  <c r="B5" i="3"/>
  <c r="B30" i="12"/>
  <c r="C38" i="8"/>
  <c r="B56" i="5"/>
  <c r="C12" i="4"/>
  <c r="C39" i="2"/>
  <c r="C30" i="8"/>
  <c r="C1" i="3"/>
  <c r="C24" i="7"/>
  <c r="C27" i="2"/>
  <c r="C21" i="6"/>
  <c r="B37" i="14"/>
  <c r="B58" i="4"/>
  <c r="B2" i="10"/>
  <c r="C33" i="3"/>
  <c r="B38" i="2"/>
  <c r="B33" i="14"/>
  <c r="C6" i="2"/>
  <c r="B3" i="2"/>
  <c r="C17" i="3"/>
  <c r="C39" i="4"/>
  <c r="C56" i="5"/>
  <c r="C42" i="17"/>
  <c r="C18" i="13"/>
  <c r="B38" i="17"/>
  <c r="B14" i="13"/>
  <c r="C13" i="17"/>
  <c r="C47" i="12"/>
  <c r="B5" i="17"/>
  <c r="B39" i="12"/>
  <c r="C42" i="16"/>
  <c r="C18" i="12"/>
  <c r="B34" i="16"/>
  <c r="C23" i="19"/>
  <c r="C3" i="15"/>
  <c r="C41" i="12"/>
  <c r="C52" i="10"/>
  <c r="C38" i="7"/>
  <c r="B36" i="11"/>
  <c r="B12" i="8"/>
  <c r="B20" i="6"/>
  <c r="B6" i="5"/>
  <c r="B3" i="17"/>
  <c r="C39" i="10"/>
  <c r="C25" i="9"/>
  <c r="C49" i="7"/>
  <c r="C15" i="6"/>
  <c r="B57" i="16"/>
  <c r="B39" i="10"/>
  <c r="B5" i="9"/>
  <c r="B49" i="7"/>
  <c r="B15" i="6"/>
  <c r="C14" i="10"/>
  <c r="C2" i="8"/>
  <c r="C1" i="6"/>
  <c r="B39" i="4"/>
  <c r="C27" i="3"/>
  <c r="C21" i="2"/>
  <c r="B12" i="11"/>
  <c r="B58" i="8"/>
  <c r="B46" i="6"/>
  <c r="C12" i="5"/>
  <c r="C55" i="3"/>
  <c r="B53" i="2"/>
  <c r="B31" i="19"/>
  <c r="C3" i="11"/>
  <c r="C7" i="9"/>
  <c r="C43" i="7"/>
  <c r="B17" i="6"/>
  <c r="C26" i="5"/>
  <c r="B47" i="4"/>
  <c r="C10" i="4"/>
  <c r="C34" i="3"/>
  <c r="C2" i="3"/>
  <c r="C28" i="2"/>
  <c r="B21" i="18"/>
  <c r="B21" i="11"/>
  <c r="B13" i="10"/>
  <c r="B7" i="9"/>
  <c r="B1" i="8"/>
  <c r="B53" i="6"/>
  <c r="B57" i="5"/>
  <c r="B16" i="5"/>
  <c r="C37" i="4"/>
  <c r="B1" i="4"/>
  <c r="B26" i="3"/>
  <c r="B52" i="2"/>
  <c r="B20" i="2"/>
  <c r="B39" i="15"/>
  <c r="C57" i="10"/>
  <c r="C51" i="9"/>
  <c r="C45" i="8"/>
  <c r="C39" i="7"/>
  <c r="C33" i="6"/>
  <c r="C44" i="5"/>
  <c r="B5" i="5"/>
  <c r="C26" i="4"/>
  <c r="C48" i="3"/>
  <c r="C16" i="3"/>
  <c r="C42" i="2"/>
  <c r="C10" i="2"/>
  <c r="B42" i="10"/>
  <c r="B47" i="7"/>
  <c r="B20" i="5"/>
  <c r="B41" i="3"/>
  <c r="B14" i="2"/>
  <c r="B18" i="10"/>
  <c r="B23" i="7"/>
  <c r="C6" i="5"/>
  <c r="B29" i="3"/>
  <c r="B2" i="2"/>
  <c r="B52" i="9"/>
  <c r="B57" i="6"/>
  <c r="C50" i="4"/>
  <c r="B17" i="3"/>
  <c r="B35" i="15"/>
  <c r="C4" i="9"/>
  <c r="B14" i="6"/>
  <c r="B26" i="4"/>
  <c r="C51" i="2"/>
  <c r="C16" i="11"/>
  <c r="B21" i="8"/>
  <c r="C40" i="5"/>
  <c r="C57" i="3"/>
  <c r="B30" i="2"/>
  <c r="B31" i="7"/>
  <c r="C35" i="2"/>
  <c r="C25" i="6"/>
  <c r="C3" i="2"/>
  <c r="B39" i="5"/>
  <c r="B8" i="11"/>
  <c r="C22" i="4"/>
  <c r="C54" i="8"/>
  <c r="B21" i="3"/>
  <c r="B15" i="2"/>
  <c r="C45" i="4"/>
  <c r="C44" i="4"/>
  <c r="B55" i="5"/>
  <c r="B43" i="9"/>
  <c r="B22" i="3"/>
  <c r="C49" i="10"/>
  <c r="C43" i="9"/>
  <c r="C37" i="8"/>
  <c r="C31" i="7"/>
  <c r="B26" i="6"/>
  <c r="C39" i="5"/>
  <c r="C58" i="4"/>
  <c r="B22" i="4"/>
  <c r="C12" i="3"/>
  <c r="C18" i="10"/>
  <c r="B9" i="5"/>
  <c r="B58" i="6"/>
  <c r="C28" i="9"/>
  <c r="C5" i="3"/>
  <c r="C13" i="4"/>
  <c r="C40" i="16"/>
  <c r="C16" i="12"/>
  <c r="B36" i="16"/>
  <c r="B12" i="12"/>
  <c r="C11" i="16"/>
  <c r="C45" i="11"/>
  <c r="B3" i="16"/>
  <c r="B37" i="11"/>
  <c r="C40" i="15"/>
  <c r="B56" i="19"/>
  <c r="B32" i="15"/>
  <c r="C21" i="18"/>
  <c r="C57" i="14"/>
  <c r="C43" i="11"/>
  <c r="C48" i="10"/>
  <c r="C34" i="7"/>
  <c r="B28" i="10"/>
  <c r="B8" i="8"/>
  <c r="B16" i="6"/>
  <c r="B40" i="4"/>
  <c r="B29" i="16"/>
  <c r="C35" i="10"/>
  <c r="C1" i="9"/>
  <c r="C45" i="7"/>
  <c r="C11" i="6"/>
  <c r="B39" i="13"/>
  <c r="B35" i="10"/>
  <c r="B1" i="9"/>
  <c r="B25" i="7"/>
  <c r="B39" i="19"/>
  <c r="C32" i="9"/>
  <c r="C20" i="7"/>
  <c r="C32" i="5"/>
  <c r="C16" i="4"/>
  <c r="C7" i="3"/>
  <c r="C1" i="2"/>
  <c r="B30" i="10"/>
  <c r="B18" i="8"/>
  <c r="B11" i="6"/>
  <c r="C47" i="4"/>
  <c r="B35" i="3"/>
  <c r="B49" i="2"/>
  <c r="B25" i="18"/>
  <c r="C37" i="10"/>
  <c r="C57" i="8"/>
  <c r="C35" i="7"/>
  <c r="C5" i="6"/>
  <c r="B21" i="5"/>
  <c r="C42" i="4"/>
  <c r="B6" i="4"/>
  <c r="C30" i="3"/>
  <c r="C56" i="2"/>
  <c r="C24" i="2"/>
  <c r="B15" i="17"/>
  <c r="B11" i="11"/>
  <c r="B5" i="10"/>
  <c r="B57" i="8"/>
  <c r="B51" i="7"/>
  <c r="B45" i="6"/>
  <c r="B52" i="5"/>
  <c r="C11" i="5"/>
  <c r="B33" i="4"/>
  <c r="C54" i="3"/>
  <c r="C34" i="15"/>
  <c r="B54" i="19"/>
  <c r="B30" i="15"/>
  <c r="C29" i="19"/>
  <c r="C5" i="15"/>
  <c r="B21" i="19"/>
  <c r="B55" i="14"/>
  <c r="C58" i="18"/>
  <c r="C34" i="14"/>
  <c r="B50" i="18"/>
  <c r="B26" i="14"/>
  <c r="C15" i="17"/>
  <c r="C55" i="13"/>
  <c r="C35" i="11"/>
  <c r="C46" i="9"/>
  <c r="C32" i="6"/>
  <c r="B20" i="10"/>
  <c r="B22" i="7"/>
  <c r="B46" i="5"/>
  <c r="B32" i="4"/>
  <c r="B41" i="12"/>
  <c r="C7" i="10"/>
  <c r="C51" i="8"/>
  <c r="C17" i="7"/>
  <c r="C41" i="5"/>
  <c r="B38" i="12"/>
  <c r="B7" i="10"/>
  <c r="B31" i="8"/>
  <c r="B17" i="7"/>
  <c r="B21" i="12"/>
  <c r="C16" i="9"/>
  <c r="C4" i="7"/>
  <c r="C22" i="5"/>
  <c r="B7" i="4"/>
  <c r="C57" i="2"/>
  <c r="B29" i="18"/>
  <c r="B14" i="10"/>
  <c r="B2" i="8"/>
  <c r="B1" i="6"/>
  <c r="C38" i="4"/>
  <c r="B27" i="3"/>
  <c r="B29" i="2"/>
  <c r="B13" i="16"/>
  <c r="C13" i="10"/>
  <c r="C41" i="8"/>
  <c r="C3" i="7"/>
  <c r="C52" i="5"/>
  <c r="B12" i="5"/>
  <c r="C33" i="4"/>
  <c r="B55" i="3"/>
  <c r="C22" i="3"/>
  <c r="C48" i="2"/>
  <c r="C16" i="2"/>
  <c r="B3" i="15"/>
  <c r="B53" i="10"/>
  <c r="B47" i="9"/>
  <c r="B41" i="8"/>
  <c r="B35" i="7"/>
  <c r="B29" i="6"/>
  <c r="B41" i="5"/>
  <c r="C2" i="5"/>
  <c r="C23" i="4"/>
  <c r="B46" i="3"/>
  <c r="B14" i="3"/>
  <c r="B40" i="2"/>
  <c r="B8" i="2"/>
  <c r="B33" i="12"/>
  <c r="C33" i="10"/>
  <c r="C27" i="9"/>
  <c r="C21" i="8"/>
  <c r="C15" i="7"/>
  <c r="C13" i="6"/>
  <c r="C28" i="5"/>
  <c r="C49" i="4"/>
  <c r="B13" i="4"/>
  <c r="C36" i="3"/>
  <c r="C4" i="3"/>
  <c r="C30" i="2"/>
  <c r="B7" i="19"/>
  <c r="B36" i="9"/>
  <c r="B41" i="6"/>
  <c r="C41" i="4"/>
  <c r="B9" i="3"/>
  <c r="B47" i="15"/>
  <c r="B12" i="9"/>
  <c r="C18" i="6"/>
  <c r="C27" i="4"/>
  <c r="B55" i="2"/>
  <c r="B37" i="12"/>
  <c r="B46" i="8"/>
  <c r="B2" i="6"/>
  <c r="B14" i="4"/>
  <c r="B43" i="2"/>
  <c r="B57" i="10"/>
  <c r="C56" i="7"/>
  <c r="B29" i="5"/>
  <c r="B48" i="3"/>
  <c r="C19" i="2"/>
  <c r="B10" i="10"/>
  <c r="B15" i="7"/>
  <c r="C1" i="5"/>
  <c r="B25" i="3"/>
  <c r="B47" i="17"/>
  <c r="B11" i="5"/>
  <c r="B15" i="11"/>
  <c r="C32" i="4"/>
  <c r="B9" i="10"/>
  <c r="C53" i="3"/>
  <c r="B13" i="8"/>
  <c r="B50" i="2"/>
  <c r="B9" i="6"/>
  <c r="B35" i="13"/>
  <c r="B48" i="7"/>
  <c r="C42" i="10"/>
  <c r="B47" i="2"/>
  <c r="B44" i="9"/>
  <c r="C41" i="3"/>
  <c r="C36" i="16"/>
  <c r="C7" i="16"/>
  <c r="C36" i="15"/>
  <c r="C53" i="14"/>
  <c r="B24" i="10"/>
  <c r="B11" i="13"/>
  <c r="C7" i="6"/>
  <c r="B21" i="7"/>
  <c r="C27" i="5"/>
  <c r="B22" i="10"/>
  <c r="B31" i="3"/>
  <c r="C49" i="8"/>
  <c r="B38" i="4"/>
  <c r="C20" i="2"/>
  <c r="B49" i="8"/>
  <c r="B7" i="5"/>
  <c r="B44" i="2"/>
  <c r="C35" i="9"/>
  <c r="C34" i="5"/>
  <c r="C8" i="3"/>
  <c r="C58" i="6"/>
  <c r="B35" i="9"/>
  <c r="B43" i="15"/>
  <c r="B54" i="2"/>
  <c r="C58" i="3"/>
  <c r="B56" i="7"/>
  <c r="C13" i="3"/>
  <c r="B53" i="16"/>
  <c r="B1" i="5"/>
  <c r="B26" i="2"/>
  <c r="C9" i="4"/>
  <c r="C18" i="4"/>
  <c r="C29" i="8"/>
  <c r="C54" i="4"/>
  <c r="B17" i="11"/>
  <c r="B50" i="6"/>
  <c r="B40" i="5"/>
  <c r="B13" i="3"/>
  <c r="B31" i="2"/>
  <c r="C10" i="5"/>
  <c r="C24" i="5"/>
  <c r="C56" i="3"/>
  <c r="B24" i="5"/>
  <c r="B22" i="14"/>
  <c r="C27" i="8"/>
  <c r="C47" i="5"/>
  <c r="B42" i="3"/>
  <c r="B41" i="16"/>
  <c r="C50" i="10"/>
  <c r="B18" i="2"/>
  <c r="C17" i="18"/>
  <c r="C12" i="7"/>
  <c r="C21" i="10"/>
  <c r="B18" i="3"/>
  <c r="B3" i="19"/>
  <c r="C45" i="3"/>
  <c r="C48" i="7"/>
  <c r="C11" i="17"/>
  <c r="B23" i="17"/>
  <c r="C44" i="2"/>
  <c r="C8" i="6"/>
  <c r="C15" i="5"/>
  <c r="C21" i="3"/>
  <c r="C30" i="15"/>
  <c r="C1" i="15"/>
  <c r="C30" i="14"/>
  <c r="C51" i="13"/>
  <c r="B22" i="9"/>
  <c r="B25" i="12"/>
  <c r="C37" i="5"/>
  <c r="B51" i="6"/>
  <c r="C17" i="5"/>
  <c r="B6" i="10"/>
  <c r="B23" i="3"/>
  <c r="C25" i="8"/>
  <c r="B29" i="4"/>
  <c r="C12" i="2"/>
  <c r="B33" i="8"/>
  <c r="C55" i="4"/>
  <c r="B36" i="2"/>
  <c r="C19" i="9"/>
  <c r="C23" i="5"/>
  <c r="C58" i="2"/>
  <c r="B21" i="6"/>
  <c r="C46" i="8"/>
  <c r="B29" i="11"/>
  <c r="C31" i="2"/>
  <c r="B37" i="3"/>
  <c r="C32" i="7"/>
  <c r="B19" i="2"/>
  <c r="B25" i="10"/>
  <c r="C31" i="4"/>
  <c r="B55" i="7"/>
  <c r="B9" i="4"/>
  <c r="C9" i="3"/>
  <c r="B12" i="2"/>
  <c r="C34" i="2"/>
  <c r="B11" i="9"/>
  <c r="B42" i="2"/>
  <c r="C7" i="2"/>
  <c r="B7" i="7"/>
  <c r="B32" i="7"/>
  <c r="B28" i="5"/>
  <c r="C2" i="10"/>
  <c r="B7" i="2"/>
  <c r="C47" i="2"/>
  <c r="B26" i="15"/>
  <c r="B53" i="5"/>
  <c r="B22" i="6"/>
  <c r="B17" i="4"/>
  <c r="B51" i="5"/>
  <c r="B12" i="3"/>
  <c r="C30" i="7"/>
  <c r="C21" i="7"/>
  <c r="B35" i="19"/>
  <c r="B55" i="9"/>
  <c r="C20" i="6"/>
  <c r="B8" i="3"/>
  <c r="B35" i="4"/>
  <c r="B8" i="4"/>
  <c r="C13" i="7"/>
  <c r="B34" i="4"/>
  <c r="B36" i="5"/>
  <c r="C32" i="3"/>
  <c r="B3" i="4"/>
  <c r="B19" i="9"/>
  <c r="C12" i="12"/>
  <c r="C41" i="11"/>
  <c r="B52" i="19"/>
  <c r="C39" i="11"/>
  <c r="B26" i="7"/>
  <c r="C31" i="10"/>
  <c r="B7" i="13"/>
  <c r="B3" i="13"/>
  <c r="C11" i="4"/>
  <c r="B10" i="8"/>
  <c r="B37" i="2"/>
  <c r="C19" i="7"/>
  <c r="C1" i="4"/>
  <c r="B9" i="16"/>
  <c r="B43" i="7"/>
  <c r="C28" i="4"/>
  <c r="B54" i="4"/>
  <c r="C34" i="6"/>
  <c r="B24" i="3"/>
  <c r="C13" i="5"/>
  <c r="C42" i="9"/>
  <c r="B3" i="10"/>
  <c r="B53" i="12"/>
  <c r="C7" i="7"/>
  <c r="B39" i="7"/>
  <c r="B8" i="7"/>
  <c r="B36" i="4"/>
  <c r="B43" i="4"/>
  <c r="B47" i="5"/>
  <c r="B1" i="10"/>
  <c r="B33" i="10"/>
  <c r="C36" i="9"/>
  <c r="B51" i="19"/>
  <c r="C5" i="10"/>
  <c r="B10" i="3"/>
  <c r="B23" i="13"/>
  <c r="B36" i="3"/>
  <c r="C26" i="10"/>
  <c r="B50" i="19"/>
  <c r="B17" i="19"/>
  <c r="B46" i="18"/>
  <c r="B31" i="15"/>
  <c r="B18" i="7"/>
  <c r="C3" i="10"/>
  <c r="C17" i="11"/>
  <c r="B47" i="11"/>
  <c r="C2" i="4"/>
  <c r="B52" i="7"/>
  <c r="B25" i="2"/>
  <c r="C53" i="6"/>
  <c r="C50" i="3"/>
  <c r="B55" i="13"/>
  <c r="B27" i="7"/>
  <c r="B19" i="4"/>
  <c r="B4" i="2"/>
  <c r="C13" i="8"/>
  <c r="B45" i="4"/>
  <c r="C26" i="2"/>
  <c r="C30" i="4"/>
  <c r="B3" i="6"/>
  <c r="C22" i="8"/>
  <c r="B34" i="10"/>
  <c r="B56" i="11"/>
  <c r="B49" i="6"/>
  <c r="B51" i="14"/>
  <c r="C8" i="9"/>
  <c r="B45" i="10"/>
  <c r="C55" i="2"/>
  <c r="B49" i="4"/>
  <c r="B8" i="12"/>
  <c r="B55" i="8"/>
  <c r="C16" i="5"/>
  <c r="C41" i="10"/>
  <c r="B27" i="4"/>
  <c r="C8" i="11"/>
  <c r="C25" i="19"/>
  <c r="B27" i="8"/>
  <c r="C7" i="5"/>
  <c r="C25" i="10"/>
  <c r="C43" i="2"/>
  <c r="B6" i="2"/>
  <c r="B32" i="16"/>
  <c r="B57" i="15"/>
  <c r="B28" i="15"/>
  <c r="C50" i="9"/>
  <c r="B12" i="6"/>
  <c r="C55" i="8"/>
  <c r="B11" i="10"/>
  <c r="C24" i="9"/>
  <c r="C3" i="3"/>
  <c r="B6" i="6"/>
  <c r="B19" i="17"/>
  <c r="C58" i="5"/>
  <c r="C26" i="3"/>
  <c r="B3" i="11"/>
  <c r="B37" i="6"/>
  <c r="B50" i="3"/>
  <c r="B27" i="13"/>
  <c r="C23" i="7"/>
  <c r="C17" i="4"/>
  <c r="C2" i="2"/>
  <c r="B20" i="3"/>
  <c r="B41" i="4"/>
  <c r="C14" i="6"/>
  <c r="B22" i="8"/>
  <c r="B10" i="2"/>
  <c r="B15" i="5"/>
  <c r="C26" i="6"/>
  <c r="B3" i="9"/>
  <c r="B42" i="5"/>
  <c r="C53" i="2"/>
  <c r="C18" i="3"/>
  <c r="B1" i="12"/>
  <c r="C8" i="4"/>
  <c r="B45" i="5"/>
  <c r="B49" i="16"/>
  <c r="C15" i="2"/>
  <c r="B33" i="11"/>
  <c r="C52" i="2"/>
  <c r="C40" i="3"/>
  <c r="B44" i="5"/>
  <c r="B53" i="3"/>
  <c r="C54" i="18"/>
  <c r="C54" i="6"/>
  <c r="B39" i="9"/>
  <c r="C12" i="9"/>
  <c r="C44" i="9"/>
  <c r="C51" i="5"/>
  <c r="M115" i="1" l="1"/>
  <c r="H81" i="1"/>
  <c r="O75" i="1"/>
  <c r="O86" i="1"/>
  <c r="L34" i="1"/>
  <c r="N32" i="1"/>
  <c r="G106" i="1"/>
  <c r="I69" i="1"/>
  <c r="J109" i="1"/>
  <c r="H109" i="1"/>
  <c r="F67" i="1"/>
  <c r="J103" i="1"/>
  <c r="O38" i="1"/>
  <c r="J81" i="1"/>
  <c r="N115" i="1"/>
  <c r="J26" i="1"/>
  <c r="G119" i="1"/>
  <c r="H38" i="1"/>
  <c r="G115" i="1"/>
  <c r="I44" i="1"/>
  <c r="K72" i="1"/>
  <c r="J101" i="1"/>
  <c r="N103" i="1"/>
  <c r="F72" i="1"/>
  <c r="J118" i="1"/>
  <c r="L81" i="1"/>
  <c r="M81" i="1"/>
  <c r="K40" i="1"/>
  <c r="J37" i="1"/>
  <c r="H87" i="1"/>
  <c r="K103" i="1"/>
  <c r="I109" i="1"/>
  <c r="K78" i="1"/>
  <c r="F84" i="1"/>
  <c r="K32" i="1"/>
  <c r="K112" i="1"/>
  <c r="M44" i="1"/>
  <c r="O32" i="1"/>
  <c r="H67" i="1"/>
  <c r="K90" i="1"/>
  <c r="K68" i="1"/>
  <c r="G109" i="1"/>
  <c r="M101" i="1"/>
  <c r="N78" i="1"/>
  <c r="H78" i="1"/>
  <c r="N118" i="1"/>
  <c r="O103" i="1"/>
  <c r="J73" i="1"/>
  <c r="G38" i="1"/>
  <c r="O72" i="1"/>
  <c r="I72" i="1"/>
  <c r="O34" i="1"/>
  <c r="O40" i="1"/>
  <c r="G103" i="1"/>
  <c r="K38" i="1"/>
  <c r="I101" i="1"/>
  <c r="L68" i="1"/>
  <c r="G23" i="1"/>
  <c r="L74" i="1"/>
  <c r="M84" i="1"/>
  <c r="K106" i="1"/>
  <c r="O112" i="1"/>
  <c r="I75" i="1"/>
  <c r="K67" i="1"/>
  <c r="F103" i="1"/>
  <c r="L69" i="1"/>
  <c r="J38" i="1"/>
  <c r="F73" i="1"/>
  <c r="H32" i="1"/>
  <c r="N67" i="1"/>
  <c r="I34" i="1"/>
  <c r="N38" i="1"/>
  <c r="L106" i="1"/>
  <c r="I38" i="1"/>
  <c r="F112" i="1"/>
  <c r="H46" i="1"/>
  <c r="K109" i="1"/>
  <c r="M46" i="1"/>
  <c r="K55" i="1"/>
  <c r="O51" i="1"/>
  <c r="K33" i="1"/>
  <c r="O69" i="1"/>
  <c r="J67" i="1"/>
  <c r="O101" i="1"/>
  <c r="K69" i="1"/>
  <c r="M72" i="1"/>
  <c r="H37" i="1"/>
  <c r="K107" i="1"/>
  <c r="I112" i="1"/>
  <c r="K115" i="1"/>
  <c r="K43" i="1"/>
  <c r="N84" i="1"/>
  <c r="L33" i="1"/>
  <c r="H52" i="1"/>
  <c r="L39" i="1"/>
  <c r="J46" i="1"/>
  <c r="I84" i="1"/>
  <c r="H69" i="1"/>
  <c r="O37" i="1"/>
  <c r="M106" i="1"/>
  <c r="O79" i="1"/>
  <c r="I37" i="1"/>
  <c r="L38" i="1"/>
  <c r="H50" i="1"/>
  <c r="F115" i="1"/>
  <c r="N106" i="1"/>
  <c r="G73" i="1"/>
  <c r="G32" i="1"/>
  <c r="M67" i="1"/>
  <c r="H34" i="1"/>
  <c r="N69" i="1"/>
  <c r="N137" i="1" s="1"/>
  <c r="J106" i="1"/>
  <c r="M107" i="1"/>
  <c r="J32" i="1"/>
  <c r="F69" i="1"/>
  <c r="K34" i="1"/>
  <c r="G37" i="1"/>
  <c r="J107" i="1"/>
  <c r="H73" i="1"/>
  <c r="F79" i="1"/>
  <c r="H118" i="1"/>
  <c r="L112" i="1"/>
  <c r="N49" i="1"/>
  <c r="F22" i="1"/>
  <c r="I87" i="1"/>
  <c r="M74" i="1"/>
  <c r="H24" i="1"/>
  <c r="I88" i="1"/>
  <c r="M80" i="1"/>
  <c r="O107" i="1"/>
  <c r="G67" i="1"/>
  <c r="J78" i="1"/>
  <c r="K79" i="1"/>
  <c r="H72" i="1"/>
  <c r="L113" i="1"/>
  <c r="H43" i="1"/>
  <c r="L43" i="1"/>
  <c r="G79" i="1"/>
  <c r="H101" i="1"/>
  <c r="M32" i="1"/>
  <c r="I103" i="1"/>
  <c r="N34" i="1"/>
  <c r="N107" i="1"/>
  <c r="I107" i="1"/>
  <c r="K101" i="1"/>
  <c r="G69" i="1"/>
  <c r="L103" i="1"/>
  <c r="G75" i="1"/>
  <c r="G44" i="1"/>
  <c r="I49" i="1"/>
  <c r="L79" i="1"/>
  <c r="L147" i="1" s="1"/>
  <c r="O118" i="1"/>
  <c r="I52" i="1"/>
  <c r="M39" i="1"/>
  <c r="I53" i="1"/>
  <c r="M45" i="1"/>
  <c r="L101" i="1"/>
  <c r="G112" i="1"/>
  <c r="H113" i="1"/>
  <c r="I115" i="1"/>
  <c r="N109" i="1"/>
  <c r="I73" i="1"/>
  <c r="K49" i="1"/>
  <c r="O49" i="1"/>
  <c r="I67" i="1"/>
  <c r="N101" i="1"/>
  <c r="J69" i="1"/>
  <c r="H107" i="1"/>
  <c r="M37" i="1"/>
  <c r="F101" i="1"/>
  <c r="L67" i="1"/>
  <c r="L135" i="1" s="1"/>
  <c r="G34" i="1"/>
  <c r="M69" i="1"/>
  <c r="O106" i="1"/>
  <c r="L73" i="1"/>
  <c r="G72" i="1"/>
  <c r="G140" i="1" s="1"/>
  <c r="N72" i="1"/>
  <c r="H75" i="1"/>
  <c r="H143" i="1" s="1"/>
  <c r="I79" i="1"/>
  <c r="K84" i="1"/>
  <c r="L44" i="1"/>
  <c r="J88" i="1"/>
  <c r="N80" i="1"/>
  <c r="I25" i="1"/>
  <c r="J90" i="1"/>
  <c r="N86" i="1"/>
  <c r="N46" i="1"/>
  <c r="M103" i="1"/>
  <c r="M75" i="1"/>
  <c r="L72" i="1"/>
  <c r="J40" i="1"/>
  <c r="F107" i="1"/>
  <c r="G49" i="1"/>
  <c r="K73" i="1"/>
  <c r="F106" i="1"/>
  <c r="M38" i="1"/>
  <c r="F109" i="1"/>
  <c r="I32" i="1"/>
  <c r="O67" i="1"/>
  <c r="J34" i="1"/>
  <c r="L37" i="1"/>
  <c r="F75" i="1"/>
  <c r="H106" i="1"/>
  <c r="H40" i="1"/>
  <c r="G101" i="1"/>
  <c r="L32" i="1"/>
  <c r="H103" i="1"/>
  <c r="M34" i="1"/>
  <c r="J72" i="1"/>
  <c r="M73" i="1"/>
  <c r="J113" i="1"/>
  <c r="L118" i="1"/>
  <c r="M113" i="1"/>
  <c r="J53" i="1"/>
  <c r="N45" i="1"/>
  <c r="J55" i="1"/>
  <c r="N51" i="1"/>
  <c r="G43" i="1"/>
  <c r="H44" i="1"/>
  <c r="I46" i="1"/>
  <c r="J49" i="1"/>
  <c r="N50" i="1"/>
  <c r="O52" i="1"/>
  <c r="G90" i="1"/>
  <c r="H68" i="1"/>
  <c r="I74" i="1"/>
  <c r="J80" i="1"/>
  <c r="K86" i="1"/>
  <c r="L95" i="1"/>
  <c r="M50" i="1"/>
  <c r="N52" i="1"/>
  <c r="O53" i="1"/>
  <c r="G68" i="1"/>
  <c r="H74" i="1"/>
  <c r="I80" i="1"/>
  <c r="J86" i="1"/>
  <c r="G24" i="1"/>
  <c r="H25" i="1"/>
  <c r="I26" i="1"/>
  <c r="H121" i="1"/>
  <c r="I122" i="1"/>
  <c r="J124" i="1"/>
  <c r="K102" i="1"/>
  <c r="L108" i="1"/>
  <c r="M114" i="1"/>
  <c r="N120" i="1"/>
  <c r="O129" i="1"/>
  <c r="F23" i="1"/>
  <c r="G121" i="1"/>
  <c r="H122" i="1"/>
  <c r="I124" i="1"/>
  <c r="J102" i="1"/>
  <c r="K108" i="1"/>
  <c r="L114" i="1"/>
  <c r="M120" i="1"/>
  <c r="G40" i="1"/>
  <c r="N37" i="1"/>
  <c r="L107" i="1"/>
  <c r="J43" i="1"/>
  <c r="K44" i="1"/>
  <c r="L46" i="1"/>
  <c r="M49" i="1"/>
  <c r="L75" i="1"/>
  <c r="M78" i="1"/>
  <c r="N79" i="1"/>
  <c r="O81" i="1"/>
  <c r="F85" i="1"/>
  <c r="G22" i="1"/>
  <c r="H23" i="1"/>
  <c r="I24" i="1"/>
  <c r="J25" i="1"/>
  <c r="K26" i="1"/>
  <c r="I119" i="1"/>
  <c r="J121" i="1"/>
  <c r="K122" i="1"/>
  <c r="L124" i="1"/>
  <c r="M102" i="1"/>
  <c r="N108" i="1"/>
  <c r="O114" i="1"/>
  <c r="F129" i="1"/>
  <c r="I121" i="1"/>
  <c r="J122" i="1"/>
  <c r="K124" i="1"/>
  <c r="L102" i="1"/>
  <c r="M108" i="1"/>
  <c r="N114" i="1"/>
  <c r="O120" i="1"/>
  <c r="I106" i="1"/>
  <c r="J75" i="1"/>
  <c r="J143" i="1" s="1"/>
  <c r="K75" i="1"/>
  <c r="L78" i="1"/>
  <c r="M79" i="1"/>
  <c r="M147" i="1" s="1"/>
  <c r="N81" i="1"/>
  <c r="O84" i="1"/>
  <c r="O109" i="1"/>
  <c r="F113" i="1"/>
  <c r="G46" i="1"/>
  <c r="H49" i="1"/>
  <c r="L50" i="1"/>
  <c r="M52" i="1"/>
  <c r="N53" i="1"/>
  <c r="O55" i="1"/>
  <c r="G74" i="1"/>
  <c r="H80" i="1"/>
  <c r="I86" i="1"/>
  <c r="J95" i="1"/>
  <c r="K50" i="1"/>
  <c r="L52" i="1"/>
  <c r="M53" i="1"/>
  <c r="N55" i="1"/>
  <c r="O33" i="1"/>
  <c r="G80" i="1"/>
  <c r="H86" i="1"/>
  <c r="I95" i="1"/>
  <c r="I40" i="1"/>
  <c r="G107" i="1"/>
  <c r="N73" i="1"/>
  <c r="L109" i="1"/>
  <c r="M112" i="1"/>
  <c r="N113" i="1"/>
  <c r="O115" i="1"/>
  <c r="F119" i="1"/>
  <c r="F78" i="1"/>
  <c r="F146" i="1" s="1"/>
  <c r="G113" i="1"/>
  <c r="H115" i="1"/>
  <c r="I118" i="1"/>
  <c r="K22" i="1"/>
  <c r="L23" i="1"/>
  <c r="M24" i="1"/>
  <c r="N25" i="1"/>
  <c r="O26" i="1"/>
  <c r="M119" i="1"/>
  <c r="N121" i="1"/>
  <c r="O122" i="1"/>
  <c r="F102" i="1"/>
  <c r="G39" i="1"/>
  <c r="H45" i="1"/>
  <c r="I51" i="1"/>
  <c r="J60" i="1"/>
  <c r="L119" i="1"/>
  <c r="M121" i="1"/>
  <c r="N122" i="1"/>
  <c r="O124" i="1"/>
  <c r="F108" i="1"/>
  <c r="G45" i="1"/>
  <c r="H51" i="1"/>
  <c r="I60" i="1"/>
  <c r="K37" i="1"/>
  <c r="O73" i="1"/>
  <c r="M40" i="1"/>
  <c r="N43" i="1"/>
  <c r="O44" i="1"/>
  <c r="G84" i="1"/>
  <c r="H85" i="1"/>
  <c r="G78" i="1"/>
  <c r="H79" i="1"/>
  <c r="I81" i="1"/>
  <c r="J84" i="1"/>
  <c r="N85" i="1"/>
  <c r="O87" i="1"/>
  <c r="F90" i="1"/>
  <c r="G102" i="1"/>
  <c r="G136" i="1" s="1"/>
  <c r="H108" i="1"/>
  <c r="I114" i="1"/>
  <c r="J120" i="1"/>
  <c r="K129" i="1"/>
  <c r="L22" i="1"/>
  <c r="M23" i="1"/>
  <c r="N24" i="1"/>
  <c r="O25" i="1"/>
  <c r="M85" i="1"/>
  <c r="N87" i="1"/>
  <c r="N155" i="1" s="1"/>
  <c r="O88" i="1"/>
  <c r="F68" i="1"/>
  <c r="G108" i="1"/>
  <c r="H114" i="1"/>
  <c r="H148" i="1" s="1"/>
  <c r="I120" i="1"/>
  <c r="J129" i="1"/>
  <c r="L40" i="1"/>
  <c r="H112" i="1"/>
  <c r="M43" i="1"/>
  <c r="I113" i="1"/>
  <c r="N44" i="1"/>
  <c r="J115" i="1"/>
  <c r="J149" i="1" s="1"/>
  <c r="O46" i="1"/>
  <c r="K118" i="1"/>
  <c r="G85" i="1"/>
  <c r="M22" i="1"/>
  <c r="N23" i="1"/>
  <c r="O24" i="1"/>
  <c r="F26" i="1"/>
  <c r="J85" i="1"/>
  <c r="O119" i="1"/>
  <c r="K87" i="1"/>
  <c r="F122" i="1"/>
  <c r="L88" i="1"/>
  <c r="G55" i="1"/>
  <c r="M90" i="1"/>
  <c r="H33" i="1"/>
  <c r="N68" i="1"/>
  <c r="I39" i="1"/>
  <c r="O74" i="1"/>
  <c r="J45" i="1"/>
  <c r="F86" i="1"/>
  <c r="K51" i="1"/>
  <c r="G129" i="1"/>
  <c r="L60" i="1"/>
  <c r="H22" i="1"/>
  <c r="I23" i="1"/>
  <c r="J24" i="1"/>
  <c r="K25" i="1"/>
  <c r="L26" i="1"/>
  <c r="I85" i="1"/>
  <c r="N119" i="1"/>
  <c r="J87" i="1"/>
  <c r="O121" i="1"/>
  <c r="K88" i="1"/>
  <c r="F124" i="1"/>
  <c r="L90" i="1"/>
  <c r="G33" i="1"/>
  <c r="M68" i="1"/>
  <c r="M136" i="1" s="1"/>
  <c r="H39" i="1"/>
  <c r="N74" i="1"/>
  <c r="I45" i="1"/>
  <c r="O80" i="1"/>
  <c r="J51" i="1"/>
  <c r="F95" i="1"/>
  <c r="K60" i="1"/>
  <c r="M109" i="1"/>
  <c r="I78" i="1"/>
  <c r="N112" i="1"/>
  <c r="J79" i="1"/>
  <c r="O113" i="1"/>
  <c r="K81" i="1"/>
  <c r="K149" i="1" s="1"/>
  <c r="F118" i="1"/>
  <c r="L84" i="1"/>
  <c r="L152" i="1" s="1"/>
  <c r="G50" i="1"/>
  <c r="G26" i="1"/>
  <c r="J50" i="1"/>
  <c r="F87" i="1"/>
  <c r="K52" i="1"/>
  <c r="G122" i="1"/>
  <c r="L53" i="1"/>
  <c r="H124" i="1"/>
  <c r="M55" i="1"/>
  <c r="I102" i="1"/>
  <c r="N33" i="1"/>
  <c r="J108" i="1"/>
  <c r="O39" i="1"/>
  <c r="K114" i="1"/>
  <c r="G86" i="1"/>
  <c r="L120" i="1"/>
  <c r="H95" i="1"/>
  <c r="M129" i="1"/>
  <c r="N22" i="1"/>
  <c r="O23" i="1"/>
  <c r="F25" i="1"/>
  <c r="I50" i="1"/>
  <c r="O85" i="1"/>
  <c r="J52" i="1"/>
  <c r="F88" i="1"/>
  <c r="K53" i="1"/>
  <c r="G124" i="1"/>
  <c r="L55" i="1"/>
  <c r="H102" i="1"/>
  <c r="M33" i="1"/>
  <c r="I108" i="1"/>
  <c r="N39" i="1"/>
  <c r="J114" i="1"/>
  <c r="O45" i="1"/>
  <c r="K120" i="1"/>
  <c r="G95" i="1"/>
  <c r="G163" i="1" s="1"/>
  <c r="L129" i="1"/>
  <c r="N75" i="1"/>
  <c r="N143" i="1" s="1"/>
  <c r="I43" i="1"/>
  <c r="O78" i="1"/>
  <c r="J44" i="1"/>
  <c r="F81" i="1"/>
  <c r="K46" i="1"/>
  <c r="G118" i="1"/>
  <c r="L49" i="1"/>
  <c r="H119" i="1"/>
  <c r="I22" i="1"/>
  <c r="J23" i="1"/>
  <c r="K24" i="1"/>
  <c r="L25" i="1"/>
  <c r="M26" i="1"/>
  <c r="K119" i="1"/>
  <c r="G87" i="1"/>
  <c r="G155" i="1" s="1"/>
  <c r="L121" i="1"/>
  <c r="H88" i="1"/>
  <c r="M122" i="1"/>
  <c r="I90" i="1"/>
  <c r="N124" i="1"/>
  <c r="J68" i="1"/>
  <c r="O102" i="1"/>
  <c r="K74" i="1"/>
  <c r="F114" i="1"/>
  <c r="L80" i="1"/>
  <c r="G51" i="1"/>
  <c r="M86" i="1"/>
  <c r="H60" i="1"/>
  <c r="N95" i="1"/>
  <c r="G25" i="1"/>
  <c r="H26" i="1"/>
  <c r="J119" i="1"/>
  <c r="O50" i="1"/>
  <c r="K121" i="1"/>
  <c r="G88" i="1"/>
  <c r="L122" i="1"/>
  <c r="H90" i="1"/>
  <c r="M124" i="1"/>
  <c r="I68" i="1"/>
  <c r="N102" i="1"/>
  <c r="J74" i="1"/>
  <c r="O108" i="1"/>
  <c r="K80" i="1"/>
  <c r="F120" i="1"/>
  <c r="L86" i="1"/>
  <c r="G60" i="1"/>
  <c r="M95" i="1"/>
  <c r="N40" i="1"/>
  <c r="J112" i="1"/>
  <c r="O43" i="1"/>
  <c r="K113" i="1"/>
  <c r="K147" i="1" s="1"/>
  <c r="G81" i="1"/>
  <c r="L115" i="1"/>
  <c r="H84" i="1"/>
  <c r="M118" i="1"/>
  <c r="O22" i="1"/>
  <c r="F24" i="1"/>
  <c r="L85" i="1"/>
  <c r="L153" i="1" s="1"/>
  <c r="G52" i="1"/>
  <c r="M87" i="1"/>
  <c r="H53" i="1"/>
  <c r="N88" i="1"/>
  <c r="I55" i="1"/>
  <c r="O90" i="1"/>
  <c r="J33" i="1"/>
  <c r="F74" i="1"/>
  <c r="K39" i="1"/>
  <c r="G114" i="1"/>
  <c r="L45" i="1"/>
  <c r="H120" i="1"/>
  <c r="M51" i="1"/>
  <c r="I129" i="1"/>
  <c r="N60" i="1"/>
  <c r="J22" i="1"/>
  <c r="K23" i="1"/>
  <c r="L24" i="1"/>
  <c r="M25" i="1"/>
  <c r="N26" i="1"/>
  <c r="K85" i="1"/>
  <c r="F121" i="1"/>
  <c r="L87" i="1"/>
  <c r="G53" i="1"/>
  <c r="M88" i="1"/>
  <c r="H55" i="1"/>
  <c r="N90" i="1"/>
  <c r="I33" i="1"/>
  <c r="O68" i="1"/>
  <c r="J39" i="1"/>
  <c r="F80" i="1"/>
  <c r="K45" i="1"/>
  <c r="G120" i="1"/>
  <c r="L51" i="1"/>
  <c r="H129" i="1"/>
  <c r="M60" i="1"/>
  <c r="N129" i="1"/>
  <c r="O95" i="1"/>
  <c r="O60" i="1"/>
  <c r="K95" i="1"/>
  <c r="P160" i="1"/>
  <c r="Q160" i="1"/>
  <c r="P162" i="1"/>
  <c r="Q162" i="1"/>
  <c r="Q161" i="1"/>
  <c r="P161" i="1"/>
  <c r="M143" i="1"/>
  <c r="Q144" i="1"/>
  <c r="P144" i="1"/>
  <c r="Q150" i="1"/>
  <c r="P150" i="1"/>
  <c r="Q164" i="1"/>
  <c r="P164" i="1"/>
  <c r="F137" i="1"/>
  <c r="P138" i="1"/>
  <c r="Q138" i="1"/>
  <c r="O143" i="1" l="1"/>
  <c r="G149" i="1"/>
  <c r="J147" i="1"/>
  <c r="I140" i="1"/>
  <c r="F153" i="1"/>
  <c r="K156" i="1"/>
  <c r="J142" i="1"/>
  <c r="M146" i="1"/>
  <c r="G158" i="1"/>
  <c r="K158" i="1"/>
  <c r="K152" i="1"/>
  <c r="M152" i="1"/>
  <c r="F152" i="1"/>
  <c r="M156" i="1"/>
  <c r="J156" i="1"/>
  <c r="F143" i="1"/>
  <c r="M137" i="1"/>
  <c r="K155" i="1"/>
  <c r="F158" i="1"/>
  <c r="I154" i="1"/>
  <c r="L136" i="1"/>
  <c r="K146" i="1"/>
  <c r="H152" i="1"/>
  <c r="M153" i="1"/>
  <c r="J154" i="1"/>
  <c r="Q26" i="1"/>
  <c r="Q25" i="1"/>
  <c r="Q119" i="1"/>
  <c r="P85" i="1"/>
  <c r="P43" i="1"/>
  <c r="P38" i="1"/>
  <c r="H158" i="1"/>
  <c r="J136" i="1"/>
  <c r="N146" i="1"/>
  <c r="O154" i="1"/>
  <c r="O135" i="1"/>
  <c r="J137" i="1"/>
  <c r="Q33" i="1"/>
  <c r="Q88" i="1"/>
  <c r="P124" i="1"/>
  <c r="P102" i="1"/>
  <c r="P118" i="1"/>
  <c r="F155" i="1"/>
  <c r="Q22" i="1"/>
  <c r="N136" i="1"/>
  <c r="F142" i="1"/>
  <c r="N147" i="1"/>
  <c r="I141" i="1"/>
  <c r="I156" i="1"/>
  <c r="K141" i="1"/>
  <c r="K135" i="1"/>
  <c r="M155" i="1"/>
  <c r="L156" i="1"/>
  <c r="F149" i="1"/>
  <c r="I146" i="1"/>
  <c r="J152" i="1"/>
  <c r="Q32" i="1"/>
  <c r="L140" i="1"/>
  <c r="G146" i="1"/>
  <c r="Q49" i="1"/>
  <c r="G137" i="1"/>
  <c r="I155" i="1"/>
  <c r="K143" i="1"/>
  <c r="H146" i="1"/>
  <c r="K140" i="1"/>
  <c r="L155" i="1"/>
  <c r="J146" i="1"/>
  <c r="H156" i="1"/>
  <c r="L158" i="1"/>
  <c r="G153" i="1"/>
  <c r="M149" i="1"/>
  <c r="P55" i="1"/>
  <c r="P45" i="1"/>
  <c r="Q39" i="1"/>
  <c r="G148" i="1"/>
  <c r="Q53" i="1"/>
  <c r="P107" i="1"/>
  <c r="P46" i="1"/>
  <c r="I135" i="1"/>
  <c r="I137" i="1"/>
  <c r="H163" i="1"/>
  <c r="O153" i="1"/>
  <c r="K148" i="1"/>
  <c r="P120" i="1"/>
  <c r="K142" i="1"/>
  <c r="O147" i="1"/>
  <c r="I136" i="1"/>
  <c r="O156" i="1"/>
  <c r="H140" i="1"/>
  <c r="O146" i="1"/>
  <c r="P122" i="1"/>
  <c r="G156" i="1"/>
  <c r="O142" i="1"/>
  <c r="I163" i="1"/>
  <c r="J163" i="1"/>
  <c r="O149" i="1"/>
  <c r="G147" i="1"/>
  <c r="H149" i="1"/>
  <c r="Q129" i="1"/>
  <c r="Q40" i="1"/>
  <c r="Q50" i="1"/>
  <c r="Q51" i="1"/>
  <c r="P73" i="1"/>
  <c r="P109" i="1"/>
  <c r="N158" i="1"/>
  <c r="L149" i="1"/>
  <c r="Q86" i="1"/>
  <c r="N163" i="1"/>
  <c r="J155" i="1"/>
  <c r="N153" i="1"/>
  <c r="L143" i="1"/>
  <c r="H137" i="1"/>
  <c r="L141" i="1"/>
  <c r="O141" i="1"/>
  <c r="K163" i="1"/>
  <c r="G143" i="1"/>
  <c r="F148" i="1"/>
  <c r="L148" i="1"/>
  <c r="H142" i="1"/>
  <c r="L146" i="1"/>
  <c r="L137" i="1"/>
  <c r="J135" i="1"/>
  <c r="M163" i="1"/>
  <c r="N140" i="1"/>
  <c r="O158" i="1"/>
  <c r="M154" i="1"/>
  <c r="P52" i="1"/>
  <c r="H147" i="1"/>
  <c r="P24" i="1"/>
  <c r="P37" i="1"/>
  <c r="K137" i="1"/>
  <c r="N149" i="1"/>
  <c r="P79" i="1"/>
  <c r="Q121" i="1"/>
  <c r="Q102" i="1"/>
  <c r="P106" i="1"/>
  <c r="F141" i="1"/>
  <c r="P23" i="1"/>
  <c r="I143" i="1"/>
  <c r="Q112" i="1"/>
  <c r="Q67" i="1"/>
  <c r="Q103" i="1"/>
  <c r="P39" i="1"/>
  <c r="L154" i="1"/>
  <c r="G154" i="1"/>
  <c r="F156" i="1"/>
  <c r="G142" i="1"/>
  <c r="Q38" i="1"/>
  <c r="P113" i="1"/>
  <c r="Q44" i="1"/>
  <c r="Q34" i="1"/>
  <c r="P78" i="1"/>
  <c r="Q72" i="1"/>
  <c r="J153" i="1"/>
  <c r="Q80" i="1"/>
  <c r="P72" i="1"/>
  <c r="Q101" i="1"/>
  <c r="Q55" i="1"/>
  <c r="Q114" i="1"/>
  <c r="Q120" i="1"/>
  <c r="P26" i="1"/>
  <c r="M158" i="1"/>
  <c r="Q68" i="1"/>
  <c r="O152" i="1"/>
  <c r="N148" i="1"/>
  <c r="N142" i="1"/>
  <c r="P53" i="1"/>
  <c r="P32" i="1"/>
  <c r="P112" i="1"/>
  <c r="M142" i="1"/>
  <c r="P34" i="1"/>
  <c r="Q37" i="1"/>
  <c r="Q52" i="1"/>
  <c r="M140" i="1"/>
  <c r="N135" i="1"/>
  <c r="P103" i="1"/>
  <c r="F147" i="1"/>
  <c r="Q78" i="1"/>
  <c r="F163" i="1"/>
  <c r="F140" i="1"/>
  <c r="P101" i="1"/>
  <c r="Q107" i="1"/>
  <c r="P75" i="1"/>
  <c r="P51" i="1"/>
  <c r="F136" i="1"/>
  <c r="Q60" i="1"/>
  <c r="Q115" i="1"/>
  <c r="Q90" i="1"/>
  <c r="Q24" i="1"/>
  <c r="Q74" i="1"/>
  <c r="P88" i="1"/>
  <c r="Q118" i="1"/>
  <c r="P95" i="1"/>
  <c r="Q85" i="1"/>
  <c r="Q124" i="1"/>
  <c r="I148" i="1"/>
  <c r="J148" i="1"/>
  <c r="P44" i="1"/>
  <c r="Q106" i="1"/>
  <c r="I147" i="1"/>
  <c r="G135" i="1"/>
  <c r="G141" i="1"/>
  <c r="L142" i="1"/>
  <c r="P67" i="1"/>
  <c r="O155" i="1"/>
  <c r="Q113" i="1"/>
  <c r="Q23" i="1"/>
  <c r="P80" i="1"/>
  <c r="Q109" i="1"/>
  <c r="P129" i="1"/>
  <c r="Q43" i="1"/>
  <c r="H154" i="1"/>
  <c r="Q69" i="1"/>
  <c r="P84" i="1"/>
  <c r="O136" i="1"/>
  <c r="K153" i="1"/>
  <c r="P25" i="1"/>
  <c r="O148" i="1"/>
  <c r="P90" i="1"/>
  <c r="Q84" i="1"/>
  <c r="Q45" i="1"/>
  <c r="Q46" i="1"/>
  <c r="I153" i="1"/>
  <c r="P121" i="1"/>
  <c r="J140" i="1"/>
  <c r="P49" i="1"/>
  <c r="J158" i="1"/>
  <c r="M148" i="1"/>
  <c r="I152" i="1"/>
  <c r="P119" i="1"/>
  <c r="J141" i="1"/>
  <c r="Q122" i="1"/>
  <c r="P86" i="1"/>
  <c r="Q73" i="1"/>
  <c r="P69" i="1"/>
  <c r="I158" i="1"/>
  <c r="N156" i="1"/>
  <c r="P33" i="1"/>
  <c r="H141" i="1"/>
  <c r="H135" i="1"/>
  <c r="P60" i="1"/>
  <c r="H155" i="1"/>
  <c r="F154" i="1"/>
  <c r="Q95" i="1"/>
  <c r="P40" i="1"/>
  <c r="Q87" i="1"/>
  <c r="Q108" i="1"/>
  <c r="P50" i="1"/>
  <c r="P74" i="1"/>
  <c r="P68" i="1"/>
  <c r="Q81" i="1"/>
  <c r="F135" i="1"/>
  <c r="I149" i="1"/>
  <c r="N141" i="1"/>
  <c r="L163" i="1"/>
  <c r="M135" i="1"/>
  <c r="Q79" i="1"/>
  <c r="P87" i="1"/>
  <c r="P108" i="1"/>
  <c r="P81" i="1"/>
  <c r="K154" i="1"/>
  <c r="N152" i="1"/>
  <c r="P114" i="1"/>
  <c r="P115" i="1"/>
  <c r="P22" i="1"/>
  <c r="Q75" i="1"/>
  <c r="O163" i="1"/>
  <c r="H153" i="1"/>
  <c r="I142" i="1"/>
  <c r="M141" i="1"/>
  <c r="N154" i="1"/>
  <c r="O137" i="1"/>
  <c r="O140" i="1"/>
  <c r="G152" i="1"/>
  <c r="H136" i="1"/>
  <c r="K136" i="1"/>
  <c r="Q146" i="1" l="1"/>
  <c r="P143" i="1"/>
  <c r="P137" i="1"/>
  <c r="Q147" i="1"/>
  <c r="P146" i="1"/>
  <c r="Q143" i="1"/>
  <c r="P152" i="1"/>
  <c r="Q142" i="1"/>
  <c r="P147" i="1"/>
  <c r="P156" i="1"/>
  <c r="P142" i="1"/>
  <c r="P158" i="1"/>
  <c r="P140" i="1"/>
  <c r="P148" i="1"/>
  <c r="Q149" i="1"/>
  <c r="Q155" i="1"/>
  <c r="Q154" i="1"/>
  <c r="Q148" i="1"/>
  <c r="Q156" i="1"/>
  <c r="Q140" i="1"/>
  <c r="P149" i="1"/>
  <c r="P154" i="1"/>
  <c r="Q163" i="1"/>
  <c r="Q141" i="1"/>
  <c r="P155" i="1"/>
  <c r="P163" i="1"/>
  <c r="Q137" i="1"/>
  <c r="P141" i="1"/>
  <c r="Q153" i="1"/>
  <c r="P136" i="1"/>
  <c r="Q158" i="1"/>
  <c r="Q152" i="1"/>
  <c r="Q135" i="1"/>
  <c r="P135" i="1"/>
  <c r="P153" i="1"/>
  <c r="Q136" i="1"/>
</calcChain>
</file>

<file path=xl/sharedStrings.xml><?xml version="1.0" encoding="utf-8"?>
<sst xmlns="http://schemas.openxmlformats.org/spreadsheetml/2006/main" count="1734" uniqueCount="706">
  <si>
    <t>Sensor Fusion</t>
  </si>
  <si>
    <t>Project 2</t>
  </si>
  <si>
    <t>[Note]</t>
  </si>
  <si>
    <t xml:space="preserve">(1) I followed the mentor's instruction "SIFT detector only works well with SIFT descriptor whose type is DES_HOG". </t>
  </si>
  <si>
    <t>https://knowledge.udacity.com/questions/323235</t>
  </si>
  <si>
    <t>(2) I followed the mentor's instruction "AKAZE descriptor only works well with AKAZE detector.</t>
  </si>
  <si>
    <t xml:space="preserve">  (We need to implement AKAZE detector with other descriptors, though)</t>
  </si>
  <si>
    <t>https://knowledge.udacity.com/questions/163998</t>
  </si>
  <si>
    <t>https://knowledge.udacity.com/questions/717830</t>
  </si>
  <si>
    <t>Task MP.7</t>
  </si>
  <si>
    <t>The number of keypoints</t>
  </si>
  <si>
    <t>*: minDescDistRatio = 0.8</t>
  </si>
  <si>
    <t>Detector</t>
  </si>
  <si>
    <t>Descriptor</t>
  </si>
  <si>
    <t>Matcher</t>
  </si>
  <si>
    <t>Image</t>
  </si>
  <si>
    <t>Average</t>
  </si>
  <si>
    <t>FAST</t>
  </si>
  <si>
    <t>ORB</t>
  </si>
  <si>
    <t>BF</t>
  </si>
  <si>
    <t>BINARY</t>
  </si>
  <si>
    <t>KNN</t>
  </si>
  <si>
    <t>BRISK</t>
  </si>
  <si>
    <t>AKAZE</t>
  </si>
  <si>
    <t>SIFT</t>
  </si>
  <si>
    <t>HOG</t>
  </si>
  <si>
    <t>Task MP.8</t>
  </si>
  <si>
    <t>The number of matched keypoints</t>
  </si>
  <si>
    <t>BRIEF</t>
  </si>
  <si>
    <t>FREAK</t>
  </si>
  <si>
    <t>Task MP.9</t>
  </si>
  <si>
    <t>Log time of detection</t>
  </si>
  <si>
    <t>Log time of description</t>
  </si>
  <si>
    <t>Log time of detection &amp; description</t>
  </si>
  <si>
    <t>-----imgIndex: 0</t>
  </si>
  <si>
    <t>time of detection: 4.47211</t>
  </si>
  <si>
    <t>keypoints on the preceding vehicle: 149</t>
  </si>
  <si>
    <t>time of description: 9.31271</t>
  </si>
  <si>
    <t>-----imgIndex: 1</t>
  </si>
  <si>
    <t>time of detection: 1.01689</t>
  </si>
  <si>
    <t>keypoints on the preceding vehicle: 152</t>
  </si>
  <si>
    <t>time of description: 1.61516</t>
  </si>
  <si>
    <t>time of matching: 4.63752</t>
  </si>
  <si>
    <t>Matched keypoints: 119</t>
  </si>
  <si>
    <t>-----imgIndex: 2</t>
  </si>
  <si>
    <t>time of detection: 0.977079</t>
  </si>
  <si>
    <t>time of description: 1.61252</t>
  </si>
  <si>
    <t>time of matching: 0.867261</t>
  </si>
  <si>
    <t>Matched keypoints: 129</t>
  </si>
  <si>
    <t>-----imgIndex: 3</t>
  </si>
  <si>
    <t>time of detection: 1.05075</t>
  </si>
  <si>
    <t>keypoints on the preceding vehicle: 157</t>
  </si>
  <si>
    <t>time of description: 0.868051</t>
  </si>
  <si>
    <t>time of matching: 0.754904</t>
  </si>
  <si>
    <t>-----imgIndex: 4</t>
  </si>
  <si>
    <t>time of detection: 0.922915</t>
  </si>
  <si>
    <t>time of description: 0.792136</t>
  </si>
  <si>
    <t>time of matching: 0.675263</t>
  </si>
  <si>
    <t>Matched keypoints: 126</t>
  </si>
  <si>
    <t>-----imgIndex: 5</t>
  </si>
  <si>
    <t>time of detection: 1.02609</t>
  </si>
  <si>
    <t>keypoints on the preceding vehicle: 150</t>
  </si>
  <si>
    <t>time of description: 1.07331</t>
  </si>
  <si>
    <t>time of matching: 0.644351</t>
  </si>
  <si>
    <t>Matched keypoints: 109</t>
  </si>
  <si>
    <t>-----imgIndex: 6</t>
  </si>
  <si>
    <t>time of detection: 0.912575</t>
  </si>
  <si>
    <t>time of description: 0.948196</t>
  </si>
  <si>
    <t>time of matching: 0.725927</t>
  </si>
  <si>
    <t>Matched keypoints: 123</t>
  </si>
  <si>
    <t>-----imgIndex: 7</t>
  </si>
  <si>
    <t>time of detection: 1.01826</t>
  </si>
  <si>
    <t>time of description: 0.904504</t>
  </si>
  <si>
    <t>time of matching: 0.705301</t>
  </si>
  <si>
    <t>Matched keypoints: 131</t>
  </si>
  <si>
    <t>-----imgIndex: 8</t>
  </si>
  <si>
    <t>time of detection: 1.00407</t>
  </si>
  <si>
    <t>keypoints on the preceding vehicle: 139</t>
  </si>
  <si>
    <t>time of description: 0.799921</t>
  </si>
  <si>
    <t>time of matching: 0.65376</t>
  </si>
  <si>
    <t>Matched keypoints: 124</t>
  </si>
  <si>
    <t>-----imgIndex: 9</t>
  </si>
  <si>
    <t>time of detection: 0.99013</t>
  </si>
  <si>
    <t>keypoints on the preceding vehicle: 144</t>
  </si>
  <si>
    <t>time of description: 1.66265</t>
  </si>
  <si>
    <t>time of matching: 0.597197</t>
  </si>
  <si>
    <t>time of detection: 1.1114</t>
  </si>
  <si>
    <t>time of description: 48.946</t>
  </si>
  <si>
    <t>time of detection: 1.06516</t>
  </si>
  <si>
    <t>time of description: 46.4072</t>
  </si>
  <si>
    <t>time of matching: 0.810937</t>
  </si>
  <si>
    <t>Matched keypoints: 98</t>
  </si>
  <si>
    <t>time of detection: 0.972302</t>
  </si>
  <si>
    <t>time of description: 46.1567</t>
  </si>
  <si>
    <t>time of matching: 0.724916</t>
  </si>
  <si>
    <t>Matched keypoints: 99</t>
  </si>
  <si>
    <t>time of detection: 1.0726</t>
  </si>
  <si>
    <t>time of description: 43.7176</t>
  </si>
  <si>
    <t>time of matching: 0.712289</t>
  </si>
  <si>
    <t>Matched keypoints: 92</t>
  </si>
  <si>
    <t>time of detection: 0.936401</t>
  </si>
  <si>
    <t>time of description: 45.5244</t>
  </si>
  <si>
    <t>time of matching: 0.69027</t>
  </si>
  <si>
    <t>time of detection: 1.06927</t>
  </si>
  <si>
    <t>time of description: 43.6847</t>
  </si>
  <si>
    <t>time of matching: 0.691578</t>
  </si>
  <si>
    <t>Matched keypoints: 86</t>
  </si>
  <si>
    <t>time of detection: 1.01758</t>
  </si>
  <si>
    <t>time of description: 43.3003</t>
  </si>
  <si>
    <t>time of matching: 0.688952</t>
  </si>
  <si>
    <t>time of detection: 0.923731</t>
  </si>
  <si>
    <t>time of description: 43.445</t>
  </si>
  <si>
    <t>time of matching: 0.732189</t>
  </si>
  <si>
    <t>Matched keypoints: 104</t>
  </si>
  <si>
    <t>time of detection: 1.01566</t>
  </si>
  <si>
    <t>time of description: 43.216</t>
  </si>
  <si>
    <t>time of matching: 0.746679</t>
  </si>
  <si>
    <t>Matched keypoints: 101</t>
  </si>
  <si>
    <t>time of detection: 0.89861</t>
  </si>
  <si>
    <t>time of description: 42.7753</t>
  </si>
  <si>
    <t>time of matching: 0.919347</t>
  </si>
  <si>
    <t>Matched keypoints: 105</t>
  </si>
  <si>
    <t>time of detection: 1.10349</t>
  </si>
  <si>
    <t>time of description: 340.89</t>
  </si>
  <si>
    <t>time of detection: 1.23143</t>
  </si>
  <si>
    <t>time of description: 333.209</t>
  </si>
  <si>
    <t>time of matching: 0.804227</t>
  </si>
  <si>
    <t>Matched keypoints: 97</t>
  </si>
  <si>
    <t>time of detection: 1.03925</t>
  </si>
  <si>
    <t>time of description: 332.358</t>
  </si>
  <si>
    <t>time of matching: 0.987815</t>
  </si>
  <si>
    <t>time of detection: 1.03417</t>
  </si>
  <si>
    <t>time of description: 335.775</t>
  </si>
  <si>
    <t>time of matching: 0.770553</t>
  </si>
  <si>
    <t>Matched keypoints: 102</t>
  </si>
  <si>
    <t>time of detection: 0.920695</t>
  </si>
  <si>
    <t>time of description: 332.947</t>
  </si>
  <si>
    <t>time of matching: 0.713233</t>
  </si>
  <si>
    <t>time of detection: 1.01544</t>
  </si>
  <si>
    <t>time of description: 334.366</t>
  </si>
  <si>
    <t>time of matching: 0.696362</t>
  </si>
  <si>
    <t>Matched keypoints: 85</t>
  </si>
  <si>
    <t>time of detection: 1.01374</t>
  </si>
  <si>
    <t>time of description: 336.687</t>
  </si>
  <si>
    <t>time of matching: 0.811761</t>
  </si>
  <si>
    <t>Matched keypoints: 107</t>
  </si>
  <si>
    <t>time of detection: 1.00255</t>
  </si>
  <si>
    <t>keypoints on the preceding vehicle: 153</t>
  </si>
  <si>
    <t>time of description: 336.071</t>
  </si>
  <si>
    <t>time of matching: 0.73745</t>
  </si>
  <si>
    <t>Matched keypoints: 108</t>
  </si>
  <si>
    <t>time of detection: 0.889718</t>
  </si>
  <si>
    <t>time of description: 329.976</t>
  </si>
  <si>
    <t>time of matching: 0.962814</t>
  </si>
  <si>
    <t>Matched keypoints: 100</t>
  </si>
  <si>
    <t>time of detection: 0.946042</t>
  </si>
  <si>
    <t>time of description: 332.487</t>
  </si>
  <si>
    <t>time of matching: 0.641766</t>
  </si>
  <si>
    <t>time of detection: 376.738</t>
  </si>
  <si>
    <t>keypoints on the preceding vehicle: 254</t>
  </si>
  <si>
    <t>time of description: 2.84415</t>
  </si>
  <si>
    <t>time of detection: 373.25</t>
  </si>
  <si>
    <t>keypoints on the preceding vehicle: 274</t>
  </si>
  <si>
    <t>time of description: 1.89927</t>
  </si>
  <si>
    <t>time of matching: 1.76294</t>
  </si>
  <si>
    <t>Matched keypoints: 172</t>
  </si>
  <si>
    <t>time of detection: 381.34</t>
  </si>
  <si>
    <t>keypoints on the preceding vehicle: 276</t>
  </si>
  <si>
    <t>time of description: 1.73944</t>
  </si>
  <si>
    <t>time of matching: 1.78608</t>
  </si>
  <si>
    <t>Matched keypoints: 194</t>
  </si>
  <si>
    <t>time of detection: 369.202</t>
  </si>
  <si>
    <t>keypoints on the preceding vehicle: 275</t>
  </si>
  <si>
    <t>time of description: 1.16148</t>
  </si>
  <si>
    <t>time of matching: 2.31475</t>
  </si>
  <si>
    <t>Matched keypoints: 181</t>
  </si>
  <si>
    <t>time of detection: 372.312</t>
  </si>
  <si>
    <t>keypoints on the preceding vehicle: 293</t>
  </si>
  <si>
    <t>time of description: 1.64616</t>
  </si>
  <si>
    <t>time of matching: 1.98294</t>
  </si>
  <si>
    <t>Matched keypoints: 176</t>
  </si>
  <si>
    <t>time of detection: 374.218</t>
  </si>
  <si>
    <t>time of description: 1.67689</t>
  </si>
  <si>
    <t>time of matching: 1.92858</t>
  </si>
  <si>
    <t>time of detection: 369.614</t>
  </si>
  <si>
    <t>keypoints on the preceding vehicle: 289</t>
  </si>
  <si>
    <t>time of description: 1.67672</t>
  </si>
  <si>
    <t>time of matching: 1.89275</t>
  </si>
  <si>
    <t>Matched keypoints: 192</t>
  </si>
  <si>
    <t>time of detection: 377.236</t>
  </si>
  <si>
    <t>keypoints on the preceding vehicle: 268</t>
  </si>
  <si>
    <t>time of description: 1.147</t>
  </si>
  <si>
    <t>time of matching: 2.18199</t>
  </si>
  <si>
    <t>Matched keypoints: 207</t>
  </si>
  <si>
    <t>time of detection: 367.411</t>
  </si>
  <si>
    <t>keypoints on the preceding vehicle: 260</t>
  </si>
  <si>
    <t>time of description: 2.07802</t>
  </si>
  <si>
    <t>time of matching: 1.73295</t>
  </si>
  <si>
    <t>Matched keypoints: 185</t>
  </si>
  <si>
    <t>time of detection: 369.096</t>
  </si>
  <si>
    <t>keypoints on the preceding vehicle: 250</t>
  </si>
  <si>
    <t>time of description: 1.06987</t>
  </si>
  <si>
    <t>time of matching: 1.92933</t>
  </si>
  <si>
    <t>Matched keypoints: 178</t>
  </si>
  <si>
    <t>time of detection: 379.323</t>
  </si>
  <si>
    <t>time of description: 48.7769</t>
  </si>
  <si>
    <t>time of detection: 369.451</t>
  </si>
  <si>
    <t>time of description: 48.1923</t>
  </si>
  <si>
    <t>time of matching: 1.94882</t>
  </si>
  <si>
    <t>Matched keypoints: 154</t>
  </si>
  <si>
    <t>time of detection: 380.813</t>
  </si>
  <si>
    <t>time of description: 48.2775</t>
  </si>
  <si>
    <t>time of matching: 1.83899</t>
  </si>
  <si>
    <t>Matched keypoints: 173</t>
  </si>
  <si>
    <t>time of detection: 371.38</t>
  </si>
  <si>
    <t>time of description: 44.1793</t>
  </si>
  <si>
    <t>time of matching: 1.93922</t>
  </si>
  <si>
    <t>Matched keypoints: 153</t>
  </si>
  <si>
    <t>time of detection: 372.696</t>
  </si>
  <si>
    <t>time of description: 43.488</t>
  </si>
  <si>
    <t>time of matching: 1.7902</t>
  </si>
  <si>
    <t>Matched keypoints: 168</t>
  </si>
  <si>
    <t>time of detection: 375.737</t>
  </si>
  <si>
    <t>time of description: 43.61</t>
  </si>
  <si>
    <t>time of matching: 1.81401</t>
  </si>
  <si>
    <t>Matched keypoints: 158</t>
  </si>
  <si>
    <t>time of detection: 379.807</t>
  </si>
  <si>
    <t>time of description: 45.4151</t>
  </si>
  <si>
    <t>time of matching: 1.71336</t>
  </si>
  <si>
    <t>time of detection: 364.605</t>
  </si>
  <si>
    <t>time of description: 43.873</t>
  </si>
  <si>
    <t>time of matching: 1.77682</t>
  </si>
  <si>
    <t>Matched keypoints: 169</t>
  </si>
  <si>
    <t>time of detection: 370.224</t>
  </si>
  <si>
    <t>time of description: 42.8172</t>
  </si>
  <si>
    <t>time of matching: 1.56573</t>
  </si>
  <si>
    <t>Matched keypoints: 175</t>
  </si>
  <si>
    <t>time of detection: 375.155</t>
  </si>
  <si>
    <t>time of description: 44.1408</t>
  </si>
  <si>
    <t>time of matching: 1.45863</t>
  </si>
  <si>
    <t>Matched keypoints: 165</t>
  </si>
  <si>
    <t>time of detection: 372.38</t>
  </si>
  <si>
    <t>time of description: 335.035</t>
  </si>
  <si>
    <t>time of detection: 374.932</t>
  </si>
  <si>
    <t>time of description: 328.545</t>
  </si>
  <si>
    <t>time of matching: 1.85215</t>
  </si>
  <si>
    <t>Matched keypoints: 167</t>
  </si>
  <si>
    <t>time of detection: 380.708</t>
  </si>
  <si>
    <t>time of description: 337.712</t>
  </si>
  <si>
    <t>time of matching: 1.96098</t>
  </si>
  <si>
    <t>time of detection: 372.006</t>
  </si>
  <si>
    <t>time of description: 336.207</t>
  </si>
  <si>
    <t>time of matching: 1.96367</t>
  </si>
  <si>
    <t>Matched keypoints: 156</t>
  </si>
  <si>
    <t>time of detection: 374.081</t>
  </si>
  <si>
    <t>time of description: 339.19</t>
  </si>
  <si>
    <t>time of matching: 2.18242</t>
  </si>
  <si>
    <t>time of detection: 376.754</t>
  </si>
  <si>
    <t>time of description: 333.247</t>
  </si>
  <si>
    <t>time of matching: 2.00342</t>
  </si>
  <si>
    <t>time of detection: 377.752</t>
  </si>
  <si>
    <t>time of description: 342.381</t>
  </si>
  <si>
    <t>time of matching: 2.00602</t>
  </si>
  <si>
    <t>Matched keypoints: 184</t>
  </si>
  <si>
    <t>time of detection: 372.657</t>
  </si>
  <si>
    <t>time of description: 332.664</t>
  </si>
  <si>
    <t>time of matching: 1.97953</t>
  </si>
  <si>
    <t>time of detection: 371.285</t>
  </si>
  <si>
    <t>time of description: 328.432</t>
  </si>
  <si>
    <t>time of matching: 1.7808</t>
  </si>
  <si>
    <t>time of detection: 369.659</t>
  </si>
  <si>
    <t>time of description: 338.078</t>
  </si>
  <si>
    <t>time of matching: 1.7703</t>
  </si>
  <si>
    <t>Matched keypoints: 183</t>
  </si>
  <si>
    <t>time of detection: 16.6364</t>
  </si>
  <si>
    <t>keypoints on the preceding vehicle: 91</t>
  </si>
  <si>
    <t>time of description: 1.4097</t>
  </si>
  <si>
    <t>time of detection: 9.13055</t>
  </si>
  <si>
    <t>keypoints on the preceding vehicle: 101</t>
  </si>
  <si>
    <t>time of description: 2.08948</t>
  </si>
  <si>
    <t>time of matching: 0.421943</t>
  </si>
  <si>
    <t>Matched keypoints: 49</t>
  </si>
  <si>
    <t>time of detection: 8.87587</t>
  </si>
  <si>
    <t>keypoints on the preceding vehicle: 106</t>
  </si>
  <si>
    <t>time of description: 0.664248</t>
  </si>
  <si>
    <t>time of matching: 0.531629</t>
  </si>
  <si>
    <t>Matched keypoints: 42</t>
  </si>
  <si>
    <t>time of detection: 7.86707</t>
  </si>
  <si>
    <t>keypoints on the preceding vehicle: 113</t>
  </si>
  <si>
    <t>time of description: 0.632685</t>
  </si>
  <si>
    <t>time of matching: 0.638063</t>
  </si>
  <si>
    <t>Matched keypoints: 44</t>
  </si>
  <si>
    <t>time of detection: 8.27592</t>
  </si>
  <si>
    <t>keypoints on the preceding vehicle: 110</t>
  </si>
  <si>
    <t>time of description: 0.679255</t>
  </si>
  <si>
    <t>time of matching: 0.473181</t>
  </si>
  <si>
    <t>Matched keypoints: 58</t>
  </si>
  <si>
    <t>time of detection: 7.79896</t>
  </si>
  <si>
    <t>keypoints on the preceding vehicle: 124</t>
  </si>
  <si>
    <t>time of description: 0.679634</t>
  </si>
  <si>
    <t>time of matching: 0.477925</t>
  </si>
  <si>
    <t>Matched keypoints: 53</t>
  </si>
  <si>
    <t>time of detection: 8.32806</t>
  </si>
  <si>
    <t>keypoints on the preceding vehicle: 128</t>
  </si>
  <si>
    <t>time of description: 0.729553</t>
  </si>
  <si>
    <t>time of matching: 0.808869</t>
  </si>
  <si>
    <t>Matched keypoints: 75</t>
  </si>
  <si>
    <t>time of detection: 7.76185</t>
  </si>
  <si>
    <t>keypoints on the preceding vehicle: 127</t>
  </si>
  <si>
    <t>time of description: 0.680484</t>
  </si>
  <si>
    <t>time of matching: 0.540155</t>
  </si>
  <si>
    <t>Matched keypoints: 65</t>
  </si>
  <si>
    <t>time of detection: 8.75574</t>
  </si>
  <si>
    <t>time of description: 0.670971</t>
  </si>
  <si>
    <t>time of matching: 2.01356</t>
  </si>
  <si>
    <t>Matched keypoints: 82</t>
  </si>
  <si>
    <t>time of detection: 7.89809</t>
  </si>
  <si>
    <t>keypoints on the preceding vehicle: 125</t>
  </si>
  <si>
    <t>time of description: 0.669603</t>
  </si>
  <si>
    <t>time of matching: 0.519315</t>
  </si>
  <si>
    <t>time of detection: 11.6093</t>
  </si>
  <si>
    <t>time of description: 45.1675</t>
  </si>
  <si>
    <t>time of detection: 10.1199</t>
  </si>
  <si>
    <t>time of description: 43.7144</t>
  </si>
  <si>
    <t>time of matching: 0.322369</t>
  </si>
  <si>
    <t>Matched keypoints: 41</t>
  </si>
  <si>
    <t>time of detection: 8.29267</t>
  </si>
  <si>
    <t>time of description: 44.3966</t>
  </si>
  <si>
    <t>time of matching: 0.267349</t>
  </si>
  <si>
    <t>Matched keypoints: 36</t>
  </si>
  <si>
    <t>time of detection: 7.76925</t>
  </si>
  <si>
    <t>time of description: 41.859</t>
  </si>
  <si>
    <t>time of matching: 0.269079</t>
  </si>
  <si>
    <t>time of detection: 7.96249</t>
  </si>
  <si>
    <t>keypoints on the preceding vehicle: 109</t>
  </si>
  <si>
    <t>time of description: 42.4669</t>
  </si>
  <si>
    <t>time of matching: 0.261631</t>
  </si>
  <si>
    <t>Matched keypoints: 47</t>
  </si>
  <si>
    <t>time of detection: 7.81266</t>
  </si>
  <si>
    <t>time of description: 43.288</t>
  </si>
  <si>
    <t>time of matching: 0.236331</t>
  </si>
  <si>
    <t>time of detection: 7.9558</t>
  </si>
  <si>
    <t>time of description: 41.7062</t>
  </si>
  <si>
    <t>time of matching: 0.265138</t>
  </si>
  <si>
    <t>Matched keypoints: 51</t>
  </si>
  <si>
    <t>time of detection: 7.8607</t>
  </si>
  <si>
    <t>time of description: 42.8813</t>
  </si>
  <si>
    <t>time of matching: 0.309474</t>
  </si>
  <si>
    <t>Matched keypoints: 52</t>
  </si>
  <si>
    <t>time of detection: 7.82951</t>
  </si>
  <si>
    <t>time of description: 42.1048</t>
  </si>
  <si>
    <t>time of matching: 0.365904</t>
  </si>
  <si>
    <t>time of detection: 8.47363</t>
  </si>
  <si>
    <t>time of description: 42.6189</t>
  </si>
  <si>
    <t>time of matching: 0.389827</t>
  </si>
  <si>
    <t>Matched keypoints: 54</t>
  </si>
  <si>
    <t>time of detection: 13.1043</t>
  </si>
  <si>
    <t>time of description: 331.305</t>
  </si>
  <si>
    <t>time of detection: 9.48939</t>
  </si>
  <si>
    <t>time of description: 332.175</t>
  </si>
  <si>
    <t>time of matching: 0.451306</t>
  </si>
  <si>
    <t>Matched keypoints: 73</t>
  </si>
  <si>
    <t>time of detection: 8.90733</t>
  </si>
  <si>
    <t>time of description: 338.468</t>
  </si>
  <si>
    <t>time of matching: 0.649732</t>
  </si>
  <si>
    <t>time of detection: 7.72692</t>
  </si>
  <si>
    <t>time of description: 333.172</t>
  </si>
  <si>
    <t>time of matching: 0.475435</t>
  </si>
  <si>
    <t>Matched keypoints: 78</t>
  </si>
  <si>
    <t>time of detection: 8.08949</t>
  </si>
  <si>
    <t>time of description: 337.506</t>
  </si>
  <si>
    <t>time of matching: 0.461729</t>
  </si>
  <si>
    <t>time of detection: 7.91333</t>
  </si>
  <si>
    <t>time of description: 331.784</t>
  </si>
  <si>
    <t>time of matching: 0.717931</t>
  </si>
  <si>
    <t>Matched keypoints: 79</t>
  </si>
  <si>
    <t>time of detection: 7.86187</t>
  </si>
  <si>
    <t>time of description: 337.74</t>
  </si>
  <si>
    <t>time of matching: 0.573627</t>
  </si>
  <si>
    <t>Matched keypoints: 88</t>
  </si>
  <si>
    <t>time of detection: 7.84193</t>
  </si>
  <si>
    <t>time of description: 331.565</t>
  </si>
  <si>
    <t>time of matching: 0.555384</t>
  </si>
  <si>
    <t>Matched keypoints: 87</t>
  </si>
  <si>
    <t>time of detection: 8.05518</t>
  </si>
  <si>
    <t>time of description: 331.648</t>
  </si>
  <si>
    <t>time of matching: 0.546044</t>
  </si>
  <si>
    <t>time of detection: 8.13315</t>
  </si>
  <si>
    <t>time of description: 330.476</t>
  </si>
  <si>
    <t>time of matching: 0.586157</t>
  </si>
  <si>
    <t>Matched keypoints: 90</t>
  </si>
  <si>
    <t>time of detection: 122.121</t>
  </si>
  <si>
    <t>keypoints on the preceding vehicle: 162</t>
  </si>
  <si>
    <t>time of description: 0.949294</t>
  </si>
  <si>
    <t>time of detection: 109.799</t>
  </si>
  <si>
    <t>time of description: 1.23676</t>
  </si>
  <si>
    <t>time of matching: 0.765788</t>
  </si>
  <si>
    <t>Matched keypoints: 136</t>
  </si>
  <si>
    <t>time of detection: 110.659</t>
  </si>
  <si>
    <t>keypoints on the preceding vehicle: 159</t>
  </si>
  <si>
    <t>time of description: 1.81684</t>
  </si>
  <si>
    <t>time of matching: 0.728937</t>
  </si>
  <si>
    <t>Matched keypoints: 132</t>
  </si>
  <si>
    <t>time of detection: 106.991</t>
  </si>
  <si>
    <t>keypoints on the preceding vehicle: 154</t>
  </si>
  <si>
    <t>time of description: 0.879075</t>
  </si>
  <si>
    <t>time of matching: 1.04339</t>
  </si>
  <si>
    <t>time of detection: 105.48</t>
  </si>
  <si>
    <t>time of description: 1.69069</t>
  </si>
  <si>
    <t>time of matching: 0.759719</t>
  </si>
  <si>
    <t>time of detection: 106.594</t>
  </si>
  <si>
    <t>keypoints on the preceding vehicle: 163</t>
  </si>
  <si>
    <t>time of description: 1.66984</t>
  </si>
  <si>
    <t>time of matching: 0.764286</t>
  </si>
  <si>
    <t>Matched keypoints: 135</t>
  </si>
  <si>
    <t>time of detection: 106.362</t>
  </si>
  <si>
    <t>keypoints on the preceding vehicle: 173</t>
  </si>
  <si>
    <t>time of description: 1.7181</t>
  </si>
  <si>
    <t>time of matching: 1.11214</t>
  </si>
  <si>
    <t>Matched keypoints: 145</t>
  </si>
  <si>
    <t>time of detection: 113.354</t>
  </si>
  <si>
    <t>keypoints on the preceding vehicle: 175</t>
  </si>
  <si>
    <t>time of description: 1.68978</t>
  </si>
  <si>
    <t>time of matching: 1.10623</t>
  </si>
  <si>
    <t>Matched keypoints: 149</t>
  </si>
  <si>
    <t>time of detection: 109.325</t>
  </si>
  <si>
    <t>time of description: 1.83818</t>
  </si>
  <si>
    <t>time of matching: 0.99014</t>
  </si>
  <si>
    <t>Matched keypoints: 148</t>
  </si>
  <si>
    <t>time of detection: 107.778</t>
  </si>
  <si>
    <t>time of description: 1.73294</t>
  </si>
  <si>
    <t>time of matching: 0.851118</t>
  </si>
  <si>
    <t>Matched keypoints: 151</t>
  </si>
  <si>
    <t>time of detection: 110.733</t>
  </si>
  <si>
    <t>time of description: 41.5468</t>
  </si>
  <si>
    <t>time of detection: 104.694</t>
  </si>
  <si>
    <t>time of description: 44.704</t>
  </si>
  <si>
    <t>time of matching: 0.790489</t>
  </si>
  <si>
    <t>time of detection: 111.798</t>
  </si>
  <si>
    <t>time of description: 46.1021</t>
  </si>
  <si>
    <t>time of matching: 1.04223</t>
  </si>
  <si>
    <t>Matched keypoints: 127</t>
  </si>
  <si>
    <t>time of detection: 104.656</t>
  </si>
  <si>
    <t>time of description: 46.0588</t>
  </si>
  <si>
    <t>time of matching: 1.04258</t>
  </si>
  <si>
    <t>Matched keypoints: 128</t>
  </si>
  <si>
    <t>time of detection: 102.417</t>
  </si>
  <si>
    <t>time of description: 45.0558</t>
  </si>
  <si>
    <t>time of matching: 0.820908</t>
  </si>
  <si>
    <t>Matched keypoints: 122</t>
  </si>
  <si>
    <t>time of detection: 105.018</t>
  </si>
  <si>
    <t>time of description: 40.9302</t>
  </si>
  <si>
    <t>time of matching: 0.85398</t>
  </si>
  <si>
    <t>time of detection: 111.747</t>
  </si>
  <si>
    <t>time of description: 47.1745</t>
  </si>
  <si>
    <t>time of matching: 0.835479</t>
  </si>
  <si>
    <t>Matched keypoints: 133</t>
  </si>
  <si>
    <t>time of detection: 102.166</t>
  </si>
  <si>
    <t>time of description: 44.979</t>
  </si>
  <si>
    <t>time of matching: 0.906127</t>
  </si>
  <si>
    <t>time of detection: 99.4587</t>
  </si>
  <si>
    <t>time of description: 40.6808</t>
  </si>
  <si>
    <t>time of matching: 0.931869</t>
  </si>
  <si>
    <t>time of detection: 104.349</t>
  </si>
  <si>
    <t>time of description: 41.5772</t>
  </si>
  <si>
    <t>time of matching: 1.16052</t>
  </si>
  <si>
    <t>time of detection: 112.078</t>
  </si>
  <si>
    <t>time of description: 90.6275</t>
  </si>
  <si>
    <t>time of detection: 97.3746</t>
  </si>
  <si>
    <t>time of description: 91.0764</t>
  </si>
  <si>
    <t>time of matching: 1.03522</t>
  </si>
  <si>
    <t>Matched keypoints: 134</t>
  </si>
  <si>
    <t>time of detection: 106.784</t>
  </si>
  <si>
    <t>time of description: 87.8568</t>
  </si>
  <si>
    <t>time of matching: 0.887216</t>
  </si>
  <si>
    <t>Matched keypoints: 137</t>
  </si>
  <si>
    <t>time of detection: 106.151</t>
  </si>
  <si>
    <t>time of description: 90.2037</t>
  </si>
  <si>
    <t>time of matching: 0.900078</t>
  </si>
  <si>
    <t>time of detection: 104.001</t>
  </si>
  <si>
    <t>time of description: 92.0284</t>
  </si>
  <si>
    <t>time of matching: 0.933006</t>
  </si>
  <si>
    <t>time of detection: 102.742</t>
  </si>
  <si>
    <t>time of description: 88.9479</t>
  </si>
  <si>
    <t>time of matching: 0.963785</t>
  </si>
  <si>
    <t>time of detection: 100.763</t>
  </si>
  <si>
    <t>time of description: 90.4385</t>
  </si>
  <si>
    <t>time of matching: 1.00647</t>
  </si>
  <si>
    <t>time of detection: 103.043</t>
  </si>
  <si>
    <t>time of description: 91.78</t>
  </si>
  <si>
    <t>time of matching: 1.04184</t>
  </si>
  <si>
    <t>Matched keypoints: 146</t>
  </si>
  <si>
    <t>time of detection: 102.831</t>
  </si>
  <si>
    <t>time of description: 90.2435</t>
  </si>
  <si>
    <t>time of matching: 1.05441</t>
  </si>
  <si>
    <t>time of detection: 102.245</t>
  </si>
  <si>
    <t>time of description: 92.004</t>
  </si>
  <si>
    <t>time of matching: 1.06404</t>
  </si>
  <si>
    <t>time of detection: 116.777</t>
  </si>
  <si>
    <t>time of description: 337.973</t>
  </si>
  <si>
    <t>time of detection: 111.307</t>
  </si>
  <si>
    <t>time of description: 337.926</t>
  </si>
  <si>
    <t>time of matching: 0.871452</t>
  </si>
  <si>
    <t>time of detection: 108.57</t>
  </si>
  <si>
    <t>time of description: 335.299</t>
  </si>
  <si>
    <t>time of matching: 0.911336</t>
  </si>
  <si>
    <t>time of detection: 108.99</t>
  </si>
  <si>
    <t>time of description: 341.263</t>
  </si>
  <si>
    <t>time of matching: 0.854824</t>
  </si>
  <si>
    <t>time of detection: 110.391</t>
  </si>
  <si>
    <t>time of description: 328.38</t>
  </si>
  <si>
    <t>time of matching: 0.828554</t>
  </si>
  <si>
    <t>time of detection: 106.704</t>
  </si>
  <si>
    <t>time of description: 341.391</t>
  </si>
  <si>
    <t>time of matching: 0.864782</t>
  </si>
  <si>
    <t>Matched keypoints: 130</t>
  </si>
  <si>
    <t>time of detection: 107.037</t>
  </si>
  <si>
    <t>time of description: 334.452</t>
  </si>
  <si>
    <t>time of matching: 1.20638</t>
  </si>
  <si>
    <t>time of detection: 108.603</t>
  </si>
  <si>
    <t>time of description: 341.287</t>
  </si>
  <si>
    <t>time of matching: 0.94613</t>
  </si>
  <si>
    <t>Matched keypoints: 141</t>
  </si>
  <si>
    <t>time of detection: 107.545</t>
  </si>
  <si>
    <t>time of description: 335.995</t>
  </si>
  <si>
    <t>time of matching: 1.25773</t>
  </si>
  <si>
    <t>Matched keypoints: 144</t>
  </si>
  <si>
    <t>time of description: 329.357</t>
  </si>
  <si>
    <t>time of matching: 1.18129</t>
  </si>
  <si>
    <t>Matched keypoints: 140</t>
  </si>
  <si>
    <t>time of detection: 1.28694</t>
  </si>
  <si>
    <t>time of description: 2.62803</t>
  </si>
  <si>
    <t>time of detection: 1.06461</t>
  </si>
  <si>
    <t>time of description: 1.40305</t>
  </si>
  <si>
    <t>time of matching: 0.858059</t>
  </si>
  <si>
    <t>Matched keypoints: 118</t>
  </si>
  <si>
    <t>time of detection: 1.12735</t>
  </si>
  <si>
    <t>time of description: 1.70664</t>
  </si>
  <si>
    <t>time of matching: 2.41171</t>
  </si>
  <si>
    <t>time of detection: 1.46642</t>
  </si>
  <si>
    <t>time of description: 1.89367</t>
  </si>
  <si>
    <t>time of matching: 0.794592</t>
  </si>
  <si>
    <t>Matched keypoints: 113</t>
  </si>
  <si>
    <t>time of detection: 0.945488</t>
  </si>
  <si>
    <t>time of description: 1.434</t>
  </si>
  <si>
    <t>time of matching: 0.823462</t>
  </si>
  <si>
    <t>time of detection: 0.946538</t>
  </si>
  <si>
    <t>time of description: 1.1691</t>
  </si>
  <si>
    <t>time of matching: 0.729364</t>
  </si>
  <si>
    <t>time of detection: 1.23883</t>
  </si>
  <si>
    <t>time of description: 1.18461</t>
  </si>
  <si>
    <t>time of matching: 0.752839</t>
  </si>
  <si>
    <t>time of detection: 1.00532</t>
  </si>
  <si>
    <t>time of description: 1.16707</t>
  </si>
  <si>
    <t>time of matching: 1.41596</t>
  </si>
  <si>
    <t>time of detection: 1.04754</t>
  </si>
  <si>
    <t>time of description: 1.09971</t>
  </si>
  <si>
    <t>time of matching: 0.696386</t>
  </si>
  <si>
    <t>time of detection: 0.988585</t>
  </si>
  <si>
    <t>time of description: 1.38973</t>
  </si>
  <si>
    <t>time of matching: 0.677819</t>
  </si>
  <si>
    <t>time of detection: 383.432</t>
  </si>
  <si>
    <t>time of description: 15.0849</t>
  </si>
  <si>
    <t>time of detection: 366.574</t>
  </si>
  <si>
    <t>time of description: 5.18564</t>
  </si>
  <si>
    <t>time of matching: 5.47242</t>
  </si>
  <si>
    <t>time of detection: 368.598</t>
  </si>
  <si>
    <t>time of description: 6.9516</t>
  </si>
  <si>
    <t>time of matching: 1.96971</t>
  </si>
  <si>
    <t>Matched keypoints: 166</t>
  </si>
  <si>
    <t>time of detection: 365.429</t>
  </si>
  <si>
    <t>time of description: 6.96859</t>
  </si>
  <si>
    <t>time of matching: 1.89399</t>
  </si>
  <si>
    <t>time of detection: 366.331</t>
  </si>
  <si>
    <t>time of description: 5.74771</t>
  </si>
  <si>
    <t>time of matching: 1.94231</t>
  </si>
  <si>
    <t>Matched keypoints: 160</t>
  </si>
  <si>
    <t>time of detection: 365.556</t>
  </si>
  <si>
    <t>time of description: 6.35883</t>
  </si>
  <si>
    <t>time of matching: 1.93494</t>
  </si>
  <si>
    <t>time of detection: 364.987</t>
  </si>
  <si>
    <t>time of description: 6.25604</t>
  </si>
  <si>
    <t>time of matching: 1.93482</t>
  </si>
  <si>
    <t>Matched keypoints: 180</t>
  </si>
  <si>
    <t>time of detection: 366.37</t>
  </si>
  <si>
    <t>time of description: 6.80009</t>
  </si>
  <si>
    <t>time of matching: 1.89594</t>
  </si>
  <si>
    <t>Matched keypoints: 164</t>
  </si>
  <si>
    <t>time of detection: 365.229</t>
  </si>
  <si>
    <t>time of description: 6.6405</t>
  </si>
  <si>
    <t>time of matching: 1.7106</t>
  </si>
  <si>
    <t>time of detection: 370.936</t>
  </si>
  <si>
    <t>time of description: 8.22254</t>
  </si>
  <si>
    <t>time of matching: 1.6239</t>
  </si>
  <si>
    <t>Matched keypoints: 170</t>
  </si>
  <si>
    <t>time of detection: 18.1173</t>
  </si>
  <si>
    <t>time of description: 6.26783</t>
  </si>
  <si>
    <t>time of detection: 10.3253</t>
  </si>
  <si>
    <t>time of description: 5.15297</t>
  </si>
  <si>
    <t>time of matching: 0.486779</t>
  </si>
  <si>
    <t>Matched keypoints: 66</t>
  </si>
  <si>
    <t>time of detection: 8.73977</t>
  </si>
  <si>
    <t>time of description: 7.4093</t>
  </si>
  <si>
    <t>time of matching: 0.421964</t>
  </si>
  <si>
    <t>Matched keypoints: 68</t>
  </si>
  <si>
    <t>time of detection: 7.90118</t>
  </si>
  <si>
    <t>time of description: 7.11977</t>
  </si>
  <si>
    <t>time of matching: 0.467735</t>
  </si>
  <si>
    <t>Matched keypoints: 70</t>
  </si>
  <si>
    <t>time of detection: 7.89847</t>
  </si>
  <si>
    <t>time of description: 7.62219</t>
  </si>
  <si>
    <t>time of matching: 0.488367</t>
  </si>
  <si>
    <t>Matched keypoints: 84</t>
  </si>
  <si>
    <t>time of detection: 8.44587</t>
  </si>
  <si>
    <t>time of description: 6.92545</t>
  </si>
  <si>
    <t>time of matching: 0.527077</t>
  </si>
  <si>
    <t>time of detection: 7.83739</t>
  </si>
  <si>
    <t>time of description: 7.17659</t>
  </si>
  <si>
    <t>time of matching: 0.597537</t>
  </si>
  <si>
    <t>time of detection: 7.7006</t>
  </si>
  <si>
    <t>time of description: 6.5211</t>
  </si>
  <si>
    <t>time of matching: 0.577984</t>
  </si>
  <si>
    <t>time of detection: 7.80199</t>
  </si>
  <si>
    <t>time of description: 7.21665</t>
  </si>
  <si>
    <t>time of matching: 0.616933</t>
  </si>
  <si>
    <t>time of detection: 8.90441</t>
  </si>
  <si>
    <t>time of description: 6.34345</t>
  </si>
  <si>
    <t>time of matching: 0.76776</t>
  </si>
  <si>
    <t>Matched keypoints: 89</t>
  </si>
  <si>
    <t>time of detection: 115.215</t>
  </si>
  <si>
    <t>time of description: 3.31884</t>
  </si>
  <si>
    <t>time of detection: 107.965</t>
  </si>
  <si>
    <t>time of description: 3.61989</t>
  </si>
  <si>
    <t>time of matching: 0.809523</t>
  </si>
  <si>
    <t>time of detection: 110.881</t>
  </si>
  <si>
    <t>time of description: 3.94477</t>
  </si>
  <si>
    <t>time of matching: 0.819858</t>
  </si>
  <si>
    <t>time of detection: 107.291</t>
  </si>
  <si>
    <t>time of description: 2.35197</t>
  </si>
  <si>
    <t>time of matching: 0.783795</t>
  </si>
  <si>
    <t>Matched keypoints: 125</t>
  </si>
  <si>
    <t>time of detection: 110.185</t>
  </si>
  <si>
    <t>time of description: 2.40301</t>
  </si>
  <si>
    <t>time of matching: 0.780914</t>
  </si>
  <si>
    <t>time of detection: 107.999</t>
  </si>
  <si>
    <t>time of description: 2.96095</t>
  </si>
  <si>
    <t>time of matching: 0.824594</t>
  </si>
  <si>
    <t>time of detection: 106.597</t>
  </si>
  <si>
    <t>time of description: 3.28918</t>
  </si>
  <si>
    <t>time of matching: 0.814527</t>
  </si>
  <si>
    <t>time of detection: 107.208</t>
  </si>
  <si>
    <t>time of description: 3.09979</t>
  </si>
  <si>
    <t>time of matching: 0.963161</t>
  </si>
  <si>
    <t>time of detection: 106.998</t>
  </si>
  <si>
    <t>time of description: 3.02697</t>
  </si>
  <si>
    <t>time of matching: 0.919649</t>
  </si>
  <si>
    <t>time of detection: 108.723</t>
  </si>
  <si>
    <t>time of description: 3.89045</t>
  </si>
  <si>
    <t>time of matching: 0.911367</t>
  </si>
  <si>
    <t>Matched keypoints: 143</t>
  </si>
  <si>
    <t>time of detection: 184.574</t>
  </si>
  <si>
    <t>keypoints on the preceding vehicle: 137</t>
  </si>
  <si>
    <t>time of description: 124.67</t>
  </si>
  <si>
    <t>time of detection: 136.688</t>
  </si>
  <si>
    <t>keypoints on the preceding vehicle: 131</t>
  </si>
  <si>
    <t>time of description: 97.5485</t>
  </si>
  <si>
    <t>time of matching: 0.985874</t>
  </si>
  <si>
    <t>Matched keypoints: 81</t>
  </si>
  <si>
    <t>time of detection: 155.113</t>
  </si>
  <si>
    <t>keypoints on the preceding vehicle: 121</t>
  </si>
  <si>
    <t>time of description: 101.444</t>
  </si>
  <si>
    <t>time of matching: 0.933354</t>
  </si>
  <si>
    <t>time of detection: 137.529</t>
  </si>
  <si>
    <t>keypoints on the preceding vehicle: 135</t>
  </si>
  <si>
    <t>time of description: 102.801</t>
  </si>
  <si>
    <t>time of matching: 0.885753</t>
  </si>
  <si>
    <t>time of detection: 146.503</t>
  </si>
  <si>
    <t>keypoints on the preceding vehicle: 134</t>
  </si>
  <si>
    <t>time of description: 100.818</t>
  </si>
  <si>
    <t>time of matching: 1.00233</t>
  </si>
  <si>
    <t>Matched keypoints: 91</t>
  </si>
  <si>
    <t>time of detection: 136.148</t>
  </si>
  <si>
    <t>time of description: 98.0218</t>
  </si>
  <si>
    <t>time of matching: 1.02865</t>
  </si>
  <si>
    <t>time of detection: 136.649</t>
  </si>
  <si>
    <t>keypoints on the preceding vehicle: 136</t>
  </si>
  <si>
    <t>time of description: 96.8322</t>
  </si>
  <si>
    <t>time of matching: 1.04945</t>
  </si>
  <si>
    <t>Matched keypoints: 80</t>
  </si>
  <si>
    <t>time of detection: 135.736</t>
  </si>
  <si>
    <t>keypoints on the preceding vehicle: 147</t>
  </si>
  <si>
    <t>time of description: 98.0981</t>
  </si>
  <si>
    <t>time of matching: 1.05558</t>
  </si>
  <si>
    <t>time of detection: 135.557</t>
  </si>
  <si>
    <t>keypoints on the preceding vehicle: 156</t>
  </si>
  <si>
    <t>time of description: 98.9082</t>
  </si>
  <si>
    <t>time of matching: 1.17654</t>
  </si>
  <si>
    <t>time of detection: 135.544</t>
  </si>
  <si>
    <t>time of description: 98.3626</t>
  </si>
  <si>
    <t>time of matching: 1.11249</t>
  </si>
  <si>
    <r>
      <t>(3) In Task MP.7, 8, 9, I use BF matcher instead of FLANN because BF matcher with KNN (descriptor distance ratio=0.8) is assigned</t>
    </r>
    <r>
      <rPr>
        <b/>
        <sz val="10"/>
        <color rgb="FF000000"/>
        <rFont val="Arial"/>
      </rPr>
      <t xml:space="preserve"> to </t>
    </r>
    <r>
      <rPr>
        <b/>
        <sz val="10"/>
        <color rgb="FF000000"/>
        <rFont val="Arial"/>
        <family val="2"/>
      </rPr>
      <t>be u</t>
    </r>
    <r>
      <rPr>
        <b/>
        <sz val="10"/>
        <color rgb="FF000000"/>
        <rFont val="Arial"/>
      </rPr>
      <t>se</t>
    </r>
    <r>
      <rPr>
        <b/>
        <sz val="10"/>
        <color rgb="FF000000"/>
        <rFont val="Arial"/>
        <family val="2"/>
      </rPr>
      <t>d</t>
    </r>
    <r>
      <rPr>
        <b/>
        <sz val="10"/>
        <color rgb="FF000000"/>
        <rFont val="Arial"/>
      </rPr>
      <t xml:space="preserve"> in MP.8.</t>
    </r>
    <phoneticPr fontId="13"/>
  </si>
  <si>
    <r>
      <t xml:space="preserve">     I'd like to save time in MP.7, 9, so I use BF matcher. It's allowed by mentor</t>
    </r>
    <r>
      <rPr>
        <b/>
        <sz val="10"/>
        <color rgb="FF000000"/>
        <rFont val="Arial"/>
        <family val="2"/>
      </rPr>
      <t xml:space="preserve"> as below</t>
    </r>
    <r>
      <rPr>
        <b/>
        <sz val="10"/>
        <color rgb="FF000000"/>
        <rFont val="Arial"/>
      </rPr>
      <t>.</t>
    </r>
    <phoneticPr fontId="13"/>
  </si>
  <si>
    <t>Descriptor
Type</t>
    <phoneticPr fontId="13"/>
  </si>
  <si>
    <t>Selector
Type *</t>
    <phoneticPr fontId="13"/>
  </si>
  <si>
    <t>Standard
deviation</t>
    <phoneticPr fontId="13"/>
  </si>
  <si>
    <t xml:space="preserve">    (Use DES_HOG only for this combination because DES_BINARY is faster)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</si>
</sst>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u/>
      <sz val="10"/>
      <color rgb="FF1155CC"/>
      <name val="Arial"/>
    </font>
    <font>
      <b/>
      <u/>
      <sz val="10"/>
      <color rgb="FF0000FF"/>
      <name val="Arial"/>
    </font>
    <font>
      <sz val="10"/>
      <name val="Arial"/>
    </font>
    <font>
      <b/>
      <u/>
      <sz val="10"/>
      <color theme="1"/>
      <name val="Arial"/>
    </font>
    <font>
      <sz val="10"/>
      <color rgb="FF000000"/>
      <name val="Arial"/>
    </font>
    <font>
      <b/>
      <u/>
      <sz val="10"/>
      <color theme="1"/>
      <name val="Arial"/>
    </font>
    <font>
      <sz val="6"/>
      <name val="ＭＳ Ｐゴシック"/>
      <family val="3"/>
      <charset val="128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14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11" fillId="2" borderId="1" xfId="0" applyFont="1" applyFill="1" applyBorder="1" applyAlignment="1">
      <alignment horizontal="center" vertical="center"/>
    </xf>
    <xf numFmtId="0" fontId="9" fillId="0" borderId="5" xfId="0" applyFont="1" applyBorder="1"/>
    <xf numFmtId="0" fontId="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 number of</a:t>
            </a:r>
            <a:r>
              <a:rPr lang="en-US" altLang="ja-JP" baseline="0"/>
              <a:t> keypoints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Result!$A$22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Result!$F$22:$O$22</c:f>
              <c:numCache>
                <c:formatCode>General</c:formatCode>
                <c:ptCount val="10"/>
                <c:pt idx="0">
                  <c:v>149</c:v>
                </c:pt>
                <c:pt idx="1">
                  <c:v>152</c:v>
                </c:pt>
                <c:pt idx="2">
                  <c:v>152</c:v>
                </c:pt>
                <c:pt idx="3">
                  <c:v>157</c:v>
                </c:pt>
                <c:pt idx="4">
                  <c:v>149</c:v>
                </c:pt>
                <c:pt idx="5">
                  <c:v>150</c:v>
                </c:pt>
                <c:pt idx="6">
                  <c:v>157</c:v>
                </c:pt>
                <c:pt idx="7">
                  <c:v>152</c:v>
                </c:pt>
                <c:pt idx="8">
                  <c:v>139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5-43E3-A4AB-C62225B35316}"/>
            </c:ext>
          </c:extLst>
        </c:ser>
        <c:ser>
          <c:idx val="1"/>
          <c:order val="1"/>
          <c:tx>
            <c:strRef>
              <c:f>Result!$A$23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Result!$F$23:$O$23</c:f>
              <c:numCache>
                <c:formatCode>General</c:formatCode>
                <c:ptCount val="10"/>
                <c:pt idx="0">
                  <c:v>254</c:v>
                </c:pt>
                <c:pt idx="1">
                  <c:v>274</c:v>
                </c:pt>
                <c:pt idx="2">
                  <c:v>276</c:v>
                </c:pt>
                <c:pt idx="3">
                  <c:v>275</c:v>
                </c:pt>
                <c:pt idx="4">
                  <c:v>293</c:v>
                </c:pt>
                <c:pt idx="5">
                  <c:v>275</c:v>
                </c:pt>
                <c:pt idx="6">
                  <c:v>289</c:v>
                </c:pt>
                <c:pt idx="7">
                  <c:v>268</c:v>
                </c:pt>
                <c:pt idx="8">
                  <c:v>260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5-43E3-A4AB-C62225B35316}"/>
            </c:ext>
          </c:extLst>
        </c:ser>
        <c:ser>
          <c:idx val="2"/>
          <c:order val="2"/>
          <c:tx>
            <c:strRef>
              <c:f>Result!$A$24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Result!$F$24:$O$24</c:f>
              <c:numCache>
                <c:formatCode>General</c:formatCode>
                <c:ptCount val="10"/>
                <c:pt idx="0">
                  <c:v>91</c:v>
                </c:pt>
                <c:pt idx="1">
                  <c:v>101</c:v>
                </c:pt>
                <c:pt idx="2">
                  <c:v>106</c:v>
                </c:pt>
                <c:pt idx="3">
                  <c:v>113</c:v>
                </c:pt>
                <c:pt idx="4">
                  <c:v>109</c:v>
                </c:pt>
                <c:pt idx="5">
                  <c:v>124</c:v>
                </c:pt>
                <c:pt idx="6">
                  <c:v>128</c:v>
                </c:pt>
                <c:pt idx="7">
                  <c:v>127</c:v>
                </c:pt>
                <c:pt idx="8">
                  <c:v>124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5-43E3-A4AB-C62225B35316}"/>
            </c:ext>
          </c:extLst>
        </c:ser>
        <c:ser>
          <c:idx val="3"/>
          <c:order val="3"/>
          <c:tx>
            <c:strRef>
              <c:f>Result!$A$25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Result!$F$25:$O$25</c:f>
              <c:numCache>
                <c:formatCode>General</c:formatCode>
                <c:ptCount val="10"/>
                <c:pt idx="0">
                  <c:v>162</c:v>
                </c:pt>
                <c:pt idx="1">
                  <c:v>157</c:v>
                </c:pt>
                <c:pt idx="2">
                  <c:v>159</c:v>
                </c:pt>
                <c:pt idx="3">
                  <c:v>154</c:v>
                </c:pt>
                <c:pt idx="4">
                  <c:v>162</c:v>
                </c:pt>
                <c:pt idx="5">
                  <c:v>163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5-43E3-A4AB-C62225B35316}"/>
            </c:ext>
          </c:extLst>
        </c:ser>
        <c:ser>
          <c:idx val="4"/>
          <c:order val="4"/>
          <c:tx>
            <c:strRef>
              <c:f>Result!$A$26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Result!$F$26:$O$26</c:f>
              <c:numCache>
                <c:formatCode>General</c:formatCode>
                <c:ptCount val="10"/>
                <c:pt idx="0">
                  <c:v>137</c:v>
                </c:pt>
                <c:pt idx="1">
                  <c:v>131</c:v>
                </c:pt>
                <c:pt idx="2">
                  <c:v>121</c:v>
                </c:pt>
                <c:pt idx="3">
                  <c:v>135</c:v>
                </c:pt>
                <c:pt idx="4">
                  <c:v>134</c:v>
                </c:pt>
                <c:pt idx="5">
                  <c:v>139</c:v>
                </c:pt>
                <c:pt idx="6">
                  <c:v>136</c:v>
                </c:pt>
                <c:pt idx="7">
                  <c:v>147</c:v>
                </c:pt>
                <c:pt idx="8">
                  <c:v>156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5-43E3-A4AB-C62225B3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430591"/>
        <c:axId val="746431007"/>
      </c:barChart>
      <c:catAx>
        <c:axId val="74643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431007"/>
        <c:crosses val="autoZero"/>
        <c:auto val="1"/>
        <c:lblAlgn val="ctr"/>
        <c:lblOffset val="100"/>
        <c:noMultiLvlLbl val="0"/>
      </c:catAx>
      <c:valAx>
        <c:axId val="7464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4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415925</xdr:colOff>
      <xdr:row>13</xdr:row>
      <xdr:rowOff>85725</xdr:rowOff>
    </xdr:from>
    <xdr:to>
      <xdr:col>21</xdr:col>
      <xdr:colOff>949325</xdr:colOff>
      <xdr:row>27</xdr:row>
      <xdr:rowOff>73025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ST_AKAZE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FT_FREA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FT_AKAZE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FT_BRIS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ST_SIF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RISK_AKAZE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RISK_SIF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B_AKAZE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B_SIF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AKAZE_SIF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FT_BRIEF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FT_OR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T_AKAZE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FT_FREAK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FT_AKAZE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FT_BRISK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T_SIF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SK_AKAZ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SK_SIF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B_AKAZ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B_SIF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AZE_SIF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FT_BRIEF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FT_OR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nowledge.udacity.com/questions/717830" TargetMode="External"/><Relationship Id="rId2" Type="http://schemas.openxmlformats.org/officeDocument/2006/relationships/hyperlink" Target="https://knowledge.udacity.com/questions/163998" TargetMode="External"/><Relationship Id="rId1" Type="http://schemas.openxmlformats.org/officeDocument/2006/relationships/hyperlink" Target="https://knowledge.udacity.com/questions/323235" TargetMode="External"/><Relationship Id="rId4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33"/>
  <sheetViews>
    <sheetView tabSelected="1" workbookViewId="0">
      <selection activeCell="P12" sqref="P12"/>
    </sheetView>
  </sheetViews>
  <sheetFormatPr defaultColWidth="14.453125" defaultRowHeight="15.75" customHeight="1" x14ac:dyDescent="0.25"/>
  <cols>
    <col min="1" max="1" width="10.81640625" customWidth="1"/>
    <col min="3" max="5" width="10.08984375" customWidth="1"/>
    <col min="6" max="17" width="10.1796875" customWidth="1"/>
  </cols>
  <sheetData>
    <row r="1" spans="1:10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5"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5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5">
      <c r="A6" s="5" t="s">
        <v>3</v>
      </c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5">
      <c r="A7" s="34" t="s">
        <v>705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5">
      <c r="A8" s="6" t="s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5">
      <c r="A9" s="4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5" t="s">
        <v>5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5">
      <c r="A11" s="5" t="s">
        <v>6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5">
      <c r="A12" s="7" t="s">
        <v>7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5">
      <c r="A14" s="34" t="s">
        <v>700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5">
      <c r="A15" s="34" t="s">
        <v>701</v>
      </c>
      <c r="B15" s="2"/>
      <c r="C15" s="2"/>
      <c r="D15" s="2"/>
      <c r="E15" s="2"/>
      <c r="F15" s="2"/>
      <c r="G15" s="2"/>
      <c r="H15" s="8"/>
      <c r="I15" s="2"/>
      <c r="J15" s="2"/>
    </row>
    <row r="16" spans="1:10" ht="15.75" customHeight="1" x14ac:dyDescent="0.25">
      <c r="A16" s="6" t="s">
        <v>8</v>
      </c>
      <c r="B16" s="2"/>
      <c r="C16" s="2"/>
      <c r="D16" s="2"/>
      <c r="E16" s="2"/>
      <c r="F16" s="2"/>
      <c r="G16" s="2"/>
      <c r="H16" s="2"/>
      <c r="I16" s="2"/>
      <c r="J16" s="2"/>
    </row>
    <row r="17" spans="1:17" ht="15.75" customHeight="1" x14ac:dyDescent="0.25">
      <c r="A17" s="4"/>
      <c r="B17" s="2"/>
      <c r="C17" s="2"/>
      <c r="D17" s="2"/>
      <c r="E17" s="2"/>
      <c r="F17" s="2"/>
      <c r="G17" s="2"/>
      <c r="H17" s="2"/>
      <c r="I17" s="2"/>
      <c r="J17" s="2"/>
    </row>
    <row r="18" spans="1:17" ht="15.75" customHeight="1" x14ac:dyDescent="0.25">
      <c r="A18" s="4" t="s">
        <v>9</v>
      </c>
      <c r="B18" s="2"/>
      <c r="C18" s="2"/>
      <c r="D18" s="2"/>
      <c r="E18" s="2"/>
      <c r="F18" s="2"/>
      <c r="G18" s="2"/>
      <c r="H18" s="2"/>
      <c r="I18" s="2"/>
      <c r="J18" s="2"/>
    </row>
    <row r="19" spans="1:17" ht="15.75" customHeight="1" x14ac:dyDescent="0.25">
      <c r="A19" s="9" t="s">
        <v>10</v>
      </c>
      <c r="B19" s="2"/>
      <c r="C19" s="2"/>
      <c r="D19" s="2"/>
      <c r="E19" s="10" t="s">
        <v>11</v>
      </c>
      <c r="F19" s="2"/>
      <c r="G19" s="2"/>
      <c r="H19" s="2"/>
      <c r="I19" s="2"/>
      <c r="J19" s="2"/>
    </row>
    <row r="20" spans="1:17" ht="15.75" customHeight="1" x14ac:dyDescent="0.25">
      <c r="A20" s="40" t="s">
        <v>12</v>
      </c>
      <c r="B20" s="40" t="s">
        <v>13</v>
      </c>
      <c r="C20" s="40" t="s">
        <v>14</v>
      </c>
      <c r="D20" s="41" t="s">
        <v>702</v>
      </c>
      <c r="E20" s="41" t="s">
        <v>703</v>
      </c>
      <c r="F20" s="35" t="s">
        <v>15</v>
      </c>
      <c r="G20" s="36"/>
      <c r="H20" s="36"/>
      <c r="I20" s="36"/>
      <c r="J20" s="36"/>
      <c r="K20" s="36"/>
      <c r="L20" s="36"/>
      <c r="M20" s="36"/>
      <c r="N20" s="36"/>
      <c r="O20" s="37"/>
      <c r="P20" s="40" t="s">
        <v>16</v>
      </c>
      <c r="Q20" s="41" t="s">
        <v>704</v>
      </c>
    </row>
    <row r="21" spans="1:17" ht="15.75" customHeight="1" x14ac:dyDescent="0.25">
      <c r="A21" s="39"/>
      <c r="B21" s="39"/>
      <c r="C21" s="39"/>
      <c r="D21" s="39"/>
      <c r="E21" s="39"/>
      <c r="F21" s="11">
        <v>1</v>
      </c>
      <c r="G21" s="11">
        <v>2</v>
      </c>
      <c r="H21" s="11">
        <v>3</v>
      </c>
      <c r="I21" s="11">
        <v>4</v>
      </c>
      <c r="J21" s="11">
        <v>5</v>
      </c>
      <c r="K21" s="11">
        <v>6</v>
      </c>
      <c r="L21" s="11">
        <v>7</v>
      </c>
      <c r="M21" s="11">
        <v>8</v>
      </c>
      <c r="N21" s="11">
        <v>9</v>
      </c>
      <c r="O21" s="11">
        <v>10</v>
      </c>
      <c r="P21" s="39"/>
      <c r="Q21" s="39"/>
    </row>
    <row r="22" spans="1:17" ht="15.75" customHeight="1" x14ac:dyDescent="0.25">
      <c r="A22" s="12" t="s">
        <v>17</v>
      </c>
      <c r="B22" s="12" t="s">
        <v>18</v>
      </c>
      <c r="C22" s="12" t="s">
        <v>19</v>
      </c>
      <c r="D22" s="12" t="s">
        <v>20</v>
      </c>
      <c r="E22" s="12" t="s">
        <v>21</v>
      </c>
      <c r="F22" s="12">
        <f ca="1">FAST_ORB!C3</f>
        <v>149</v>
      </c>
      <c r="G22" s="12">
        <f ca="1">FAST_ORB!C7</f>
        <v>152</v>
      </c>
      <c r="H22" s="12">
        <f ca="1">FAST_ORB!C13</f>
        <v>152</v>
      </c>
      <c r="I22" s="12">
        <f ca="1">FAST_ORB!C19</f>
        <v>157</v>
      </c>
      <c r="J22" s="12">
        <f ca="1">FAST_ORB!C25</f>
        <v>149</v>
      </c>
      <c r="K22" s="12">
        <f ca="1">FAST_ORB!C31</f>
        <v>150</v>
      </c>
      <c r="L22" s="12">
        <f ca="1">FAST_ORB!C37</f>
        <v>157</v>
      </c>
      <c r="M22" s="12">
        <f ca="1">FAST_ORB!C43</f>
        <v>152</v>
      </c>
      <c r="N22" s="12">
        <f ca="1">FAST_ORB!C49</f>
        <v>139</v>
      </c>
      <c r="O22" s="12">
        <f ca="1">FAST_ORB!C55</f>
        <v>144</v>
      </c>
      <c r="P22" s="13">
        <f t="shared" ref="P22:P26" ca="1" si="0">AVERAGE(F22:O22)</f>
        <v>150.1</v>
      </c>
      <c r="Q22" s="13">
        <f t="shared" ref="Q22:Q26" ca="1" si="1">STDEV(F22:O22)</f>
        <v>5.4660568765589863</v>
      </c>
    </row>
    <row r="23" spans="1:17" ht="15.75" customHeight="1" x14ac:dyDescent="0.25">
      <c r="A23" s="12" t="s">
        <v>22</v>
      </c>
      <c r="B23" s="12" t="s">
        <v>18</v>
      </c>
      <c r="C23" s="12" t="s">
        <v>19</v>
      </c>
      <c r="D23" s="12" t="s">
        <v>20</v>
      </c>
      <c r="E23" s="12" t="s">
        <v>21</v>
      </c>
      <c r="F23" s="12">
        <f ca="1">BRISK_ORB!C3</f>
        <v>254</v>
      </c>
      <c r="G23" s="12">
        <f ca="1">BRISK_ORB!C7</f>
        <v>274</v>
      </c>
      <c r="H23" s="12">
        <f ca="1">BRISK_ORB!C13</f>
        <v>276</v>
      </c>
      <c r="I23" s="12">
        <f ca="1">BRISK_ORB!C19</f>
        <v>275</v>
      </c>
      <c r="J23" s="12">
        <f ca="1">BRISK_ORB!C25</f>
        <v>293</v>
      </c>
      <c r="K23" s="12">
        <f ca="1">BRISK_ORB!C31</f>
        <v>275</v>
      </c>
      <c r="L23" s="12">
        <f ca="1">BRISK_ORB!C37</f>
        <v>289</v>
      </c>
      <c r="M23" s="12">
        <f ca="1">BRISK_ORB!C43</f>
        <v>268</v>
      </c>
      <c r="N23" s="12">
        <f ca="1">BRISK_ORB!C49</f>
        <v>260</v>
      </c>
      <c r="O23" s="12">
        <f ca="1">BRISK_ORB!C55</f>
        <v>250</v>
      </c>
      <c r="P23" s="13">
        <f t="shared" ca="1" si="0"/>
        <v>271.39999999999998</v>
      </c>
      <c r="Q23" s="13">
        <f t="shared" ca="1" si="1"/>
        <v>13.874036503083337</v>
      </c>
    </row>
    <row r="24" spans="1:17" ht="15.75" customHeight="1" x14ac:dyDescent="0.25">
      <c r="A24" s="12" t="s">
        <v>18</v>
      </c>
      <c r="B24" s="12" t="s">
        <v>18</v>
      </c>
      <c r="C24" s="12" t="s">
        <v>19</v>
      </c>
      <c r="D24" s="12" t="s">
        <v>20</v>
      </c>
      <c r="E24" s="12" t="s">
        <v>21</v>
      </c>
      <c r="F24" s="12">
        <f ca="1">ORB_ORB!C3</f>
        <v>91</v>
      </c>
      <c r="G24" s="12">
        <f ca="1">ORB_ORB!C7</f>
        <v>101</v>
      </c>
      <c r="H24" s="12">
        <f ca="1">ORB_ORB!C13</f>
        <v>106</v>
      </c>
      <c r="I24" s="12">
        <f ca="1">ORB_ORB!C19</f>
        <v>113</v>
      </c>
      <c r="J24" s="12">
        <f ca="1">ORB_ORB!C25</f>
        <v>109</v>
      </c>
      <c r="K24" s="12">
        <f ca="1">ORB_ORB!C31</f>
        <v>124</v>
      </c>
      <c r="L24" s="12">
        <f ca="1">ORB_ORB!C37</f>
        <v>128</v>
      </c>
      <c r="M24" s="12">
        <f ca="1">ORB_ORB!C43</f>
        <v>127</v>
      </c>
      <c r="N24" s="12">
        <f ca="1">ORB_ORB!C49</f>
        <v>124</v>
      </c>
      <c r="O24" s="12">
        <f ca="1">ORB_ORB!C55</f>
        <v>125</v>
      </c>
      <c r="P24" s="13">
        <f t="shared" ca="1" si="0"/>
        <v>114.8</v>
      </c>
      <c r="Q24" s="13">
        <f t="shared" ca="1" si="1"/>
        <v>12.769755936065</v>
      </c>
    </row>
    <row r="25" spans="1:17" ht="15.75" customHeight="1" x14ac:dyDescent="0.25">
      <c r="A25" s="12" t="s">
        <v>23</v>
      </c>
      <c r="B25" s="12" t="s">
        <v>18</v>
      </c>
      <c r="C25" s="12" t="s">
        <v>19</v>
      </c>
      <c r="D25" s="12" t="s">
        <v>20</v>
      </c>
      <c r="E25" s="12" t="s">
        <v>21</v>
      </c>
      <c r="F25" s="12">
        <f ca="1">AKAZE_ORB!C3</f>
        <v>162</v>
      </c>
      <c r="G25" s="12">
        <f ca="1">AKAZE_ORB!C7</f>
        <v>157</v>
      </c>
      <c r="H25" s="12">
        <f ca="1">AKAZE_ORB!C13</f>
        <v>159</v>
      </c>
      <c r="I25" s="12">
        <f ca="1">AKAZE_ORB!C19</f>
        <v>154</v>
      </c>
      <c r="J25" s="12">
        <f ca="1">AKAZE_ORB!C25</f>
        <v>162</v>
      </c>
      <c r="K25" s="12">
        <f ca="1">AKAZE_ORB!C31</f>
        <v>163</v>
      </c>
      <c r="L25" s="12">
        <f ca="1">AKAZE_ORB!C37</f>
        <v>173</v>
      </c>
      <c r="M25" s="12">
        <f ca="1">AKAZE_ORB!C43</f>
        <v>175</v>
      </c>
      <c r="N25" s="12">
        <f ca="1">AKAZE_ORB!C49</f>
        <v>175</v>
      </c>
      <c r="O25" s="12">
        <f ca="1">AKAZE_ORB!C55</f>
        <v>175</v>
      </c>
      <c r="P25" s="13">
        <f t="shared" ca="1" si="0"/>
        <v>165.5</v>
      </c>
      <c r="Q25" s="13">
        <f t="shared" ca="1" si="1"/>
        <v>8.1955272354294983</v>
      </c>
    </row>
    <row r="26" spans="1:17" ht="15.75" customHeight="1" x14ac:dyDescent="0.25">
      <c r="A26" s="12" t="s">
        <v>24</v>
      </c>
      <c r="B26" s="12" t="s">
        <v>24</v>
      </c>
      <c r="C26" s="12" t="s">
        <v>19</v>
      </c>
      <c r="D26" s="14" t="s">
        <v>25</v>
      </c>
      <c r="E26" s="12" t="s">
        <v>21</v>
      </c>
      <c r="F26" s="12">
        <f ca="1">SIFT_SIFT!C3</f>
        <v>137</v>
      </c>
      <c r="G26" s="12">
        <f ca="1">SIFT_SIFT!C7</f>
        <v>131</v>
      </c>
      <c r="H26" s="12">
        <f ca="1">SIFT_SIFT!C13</f>
        <v>121</v>
      </c>
      <c r="I26" s="12">
        <f ca="1">SIFT_SIFT!C19</f>
        <v>135</v>
      </c>
      <c r="J26" s="12">
        <f ca="1">SIFT_SIFT!C25</f>
        <v>134</v>
      </c>
      <c r="K26" s="12">
        <f ca="1">SIFT_SIFT!C31</f>
        <v>139</v>
      </c>
      <c r="L26" s="12">
        <f ca="1">SIFT_SIFT!C37</f>
        <v>136</v>
      </c>
      <c r="M26" s="12">
        <f ca="1">SIFT_SIFT!C43</f>
        <v>147</v>
      </c>
      <c r="N26" s="12">
        <f ca="1">SIFT_SIFT!C49</f>
        <v>156</v>
      </c>
      <c r="O26" s="12">
        <f ca="1">SIFT_SIFT!C55</f>
        <v>135</v>
      </c>
      <c r="P26" s="13">
        <f t="shared" ca="1" si="0"/>
        <v>137.1</v>
      </c>
      <c r="Q26" s="13">
        <f t="shared" ca="1" si="1"/>
        <v>9.2790085677296368</v>
      </c>
    </row>
    <row r="27" spans="1:17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17" ht="15.75" customHeight="1" x14ac:dyDescent="0.25">
      <c r="A28" s="16" t="s"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17" ht="15.75" customHeight="1" x14ac:dyDescent="0.25">
      <c r="A29" s="17" t="s">
        <v>27</v>
      </c>
      <c r="B29" s="15"/>
      <c r="C29" s="15"/>
      <c r="D29" s="15"/>
      <c r="E29" s="10" t="s">
        <v>11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ht="15.75" customHeight="1" x14ac:dyDescent="0.25">
      <c r="A30" s="38" t="s">
        <v>12</v>
      </c>
      <c r="B30" s="40" t="s">
        <v>13</v>
      </c>
      <c r="C30" s="40" t="s">
        <v>14</v>
      </c>
      <c r="D30" s="41" t="s">
        <v>702</v>
      </c>
      <c r="E30" s="41" t="s">
        <v>703</v>
      </c>
      <c r="F30" s="35" t="s">
        <v>15</v>
      </c>
      <c r="G30" s="36"/>
      <c r="H30" s="36"/>
      <c r="I30" s="36"/>
      <c r="J30" s="36"/>
      <c r="K30" s="36"/>
      <c r="L30" s="36"/>
      <c r="M30" s="36"/>
      <c r="N30" s="36"/>
      <c r="O30" s="37"/>
      <c r="P30" s="40" t="s">
        <v>16</v>
      </c>
      <c r="Q30" s="41" t="s">
        <v>704</v>
      </c>
    </row>
    <row r="31" spans="1:17" ht="15.75" customHeight="1" x14ac:dyDescent="0.25">
      <c r="A31" s="39"/>
      <c r="B31" s="39"/>
      <c r="C31" s="39"/>
      <c r="D31" s="39"/>
      <c r="E31" s="39"/>
      <c r="F31" s="11">
        <v>1</v>
      </c>
      <c r="G31" s="11">
        <v>2</v>
      </c>
      <c r="H31" s="11">
        <v>3</v>
      </c>
      <c r="I31" s="11">
        <v>4</v>
      </c>
      <c r="J31" s="11">
        <v>5</v>
      </c>
      <c r="K31" s="11">
        <v>6</v>
      </c>
      <c r="L31" s="11">
        <v>7</v>
      </c>
      <c r="M31" s="11">
        <v>8</v>
      </c>
      <c r="N31" s="11">
        <v>9</v>
      </c>
      <c r="O31" s="11">
        <v>10</v>
      </c>
      <c r="P31" s="39"/>
      <c r="Q31" s="39"/>
    </row>
    <row r="32" spans="1:17" ht="15.75" customHeight="1" x14ac:dyDescent="0.25">
      <c r="A32" s="42" t="s">
        <v>17</v>
      </c>
      <c r="B32" s="43" t="s">
        <v>28</v>
      </c>
      <c r="C32" s="43" t="s">
        <v>19</v>
      </c>
      <c r="D32" s="43" t="s">
        <v>20</v>
      </c>
      <c r="E32" s="43" t="s">
        <v>21</v>
      </c>
      <c r="F32" s="46">
        <v>0</v>
      </c>
      <c r="G32" s="43">
        <f ca="1">FAST_BRIEF!C10</f>
        <v>119</v>
      </c>
      <c r="H32" s="43">
        <f ca="1">FAST_BRIEF!C16</f>
        <v>129</v>
      </c>
      <c r="I32" s="43">
        <f ca="1">FAST_BRIEF!C22</f>
        <v>119</v>
      </c>
      <c r="J32" s="43">
        <f ca="1">FAST_BRIEF!C28</f>
        <v>126</v>
      </c>
      <c r="K32" s="43">
        <f ca="1">FAST_BRIEF!C34</f>
        <v>109</v>
      </c>
      <c r="L32" s="43">
        <f ca="1">FAST_BRIEF!C40</f>
        <v>123</v>
      </c>
      <c r="M32" s="43">
        <f ca="1">FAST_BRIEF!C46</f>
        <v>131</v>
      </c>
      <c r="N32" s="43">
        <f ca="1">FAST_BRIEF!C52</f>
        <v>124</v>
      </c>
      <c r="O32" s="43">
        <f ca="1">FAST_BRIEF!C58</f>
        <v>119</v>
      </c>
      <c r="P32" s="43">
        <f t="shared" ref="P32:P61" ca="1" si="2">AVERAGE(G32:O32)</f>
        <v>122.11111111111111</v>
      </c>
      <c r="Q32" s="43">
        <f t="shared" ref="Q32:Q61" ca="1" si="3">STDEV(G32:O32)</f>
        <v>6.5849154217128039</v>
      </c>
    </row>
    <row r="33" spans="1:17" ht="15.75" customHeight="1" x14ac:dyDescent="0.25">
      <c r="A33" s="42" t="s">
        <v>17</v>
      </c>
      <c r="B33" s="43" t="s">
        <v>18</v>
      </c>
      <c r="C33" s="43" t="s">
        <v>19</v>
      </c>
      <c r="D33" s="43" t="s">
        <v>20</v>
      </c>
      <c r="E33" s="43" t="s">
        <v>21</v>
      </c>
      <c r="F33" s="46">
        <v>0</v>
      </c>
      <c r="G33" s="43">
        <f ca="1">FAST_ORB!C10</f>
        <v>118</v>
      </c>
      <c r="H33" s="43">
        <f ca="1">FAST_ORB!C16</f>
        <v>123</v>
      </c>
      <c r="I33" s="43">
        <f ca="1">FAST_ORB!C22</f>
        <v>113</v>
      </c>
      <c r="J33" s="43">
        <f ca="1">FAST_ORB!C28</f>
        <v>126</v>
      </c>
      <c r="K33" s="43">
        <f ca="1">FAST_ORB!C34</f>
        <v>107</v>
      </c>
      <c r="L33" s="43">
        <f ca="1">FAST_ORB!C40</f>
        <v>122</v>
      </c>
      <c r="M33" s="43">
        <f ca="1">FAST_ORB!C46</f>
        <v>123</v>
      </c>
      <c r="N33" s="43">
        <f ca="1">FAST_ORB!C52</f>
        <v>123</v>
      </c>
      <c r="O33" s="43">
        <f ca="1">FAST_ORB!C58</f>
        <v>119</v>
      </c>
      <c r="P33" s="43">
        <f t="shared" ca="1" si="2"/>
        <v>119.33333333333333</v>
      </c>
      <c r="Q33" s="43">
        <f t="shared" ca="1" si="3"/>
        <v>5.9791303715506983</v>
      </c>
    </row>
    <row r="34" spans="1:17" ht="15.75" customHeight="1" x14ac:dyDescent="0.25">
      <c r="A34" s="42" t="s">
        <v>17</v>
      </c>
      <c r="B34" s="43" t="s">
        <v>29</v>
      </c>
      <c r="C34" s="43" t="s">
        <v>19</v>
      </c>
      <c r="D34" s="43" t="s">
        <v>20</v>
      </c>
      <c r="E34" s="43" t="s">
        <v>21</v>
      </c>
      <c r="F34" s="46">
        <v>0</v>
      </c>
      <c r="G34" s="43">
        <f ca="1">FAST_FREAK!C10</f>
        <v>98</v>
      </c>
      <c r="H34" s="43">
        <f ca="1">FAST_FREAK!C16</f>
        <v>99</v>
      </c>
      <c r="I34" s="43">
        <f ca="1">FAST_FREAK!C22</f>
        <v>92</v>
      </c>
      <c r="J34" s="43">
        <f ca="1">FAST_FREAK!C28</f>
        <v>98</v>
      </c>
      <c r="K34" s="43">
        <f ca="1">FAST_FREAK!C34</f>
        <v>86</v>
      </c>
      <c r="L34" s="43">
        <f ca="1">FAST_FREAK!C40</f>
        <v>99</v>
      </c>
      <c r="M34" s="43">
        <f ca="1">FAST_FREAK!C46</f>
        <v>104</v>
      </c>
      <c r="N34" s="43">
        <f ca="1">FAST_FREAK!C52</f>
        <v>101</v>
      </c>
      <c r="O34" s="43">
        <f ca="1">FAST_FREAK!C58</f>
        <v>105</v>
      </c>
      <c r="P34" s="43">
        <f t="shared" ca="1" si="2"/>
        <v>98</v>
      </c>
      <c r="Q34" s="43">
        <f t="shared" ca="1" si="3"/>
        <v>5.873670062235365</v>
      </c>
    </row>
    <row r="35" spans="1:17" ht="15.75" customHeight="1" x14ac:dyDescent="0.25">
      <c r="A35" s="22" t="s">
        <v>17</v>
      </c>
      <c r="B35" s="20" t="s">
        <v>23</v>
      </c>
      <c r="C35" s="20" t="s">
        <v>19</v>
      </c>
      <c r="D35" s="20" t="s">
        <v>20</v>
      </c>
      <c r="E35" s="20" t="s">
        <v>21</v>
      </c>
      <c r="F35" s="47">
        <v>0</v>
      </c>
      <c r="G35" s="20" t="e">
        <f>[1]FAST_AKAZE!C10</f>
        <v>#REF!</v>
      </c>
      <c r="H35" s="20" t="e">
        <f>[1]FAST_AKAZE!C16</f>
        <v>#REF!</v>
      </c>
      <c r="I35" s="20" t="e">
        <f>[1]FAST_AKAZE!C22</f>
        <v>#REF!</v>
      </c>
      <c r="J35" s="20" t="e">
        <f>[1]FAST_AKAZE!C28</f>
        <v>#REF!</v>
      </c>
      <c r="K35" s="20" t="e">
        <f>[1]FAST_AKAZE!C34</f>
        <v>#REF!</v>
      </c>
      <c r="L35" s="20" t="e">
        <f>[1]FAST_AKAZE!C40</f>
        <v>#REF!</v>
      </c>
      <c r="M35" s="20" t="e">
        <f>[1]FAST_AKAZE!C46</f>
        <v>#REF!</v>
      </c>
      <c r="N35" s="20" t="e">
        <f>[1]FAST_AKAZE!C52</f>
        <v>#REF!</v>
      </c>
      <c r="O35" s="20" t="e">
        <f>[1]FAST_AKAZE!C58</f>
        <v>#REF!</v>
      </c>
      <c r="P35" s="23" t="e">
        <f t="shared" si="2"/>
        <v>#REF!</v>
      </c>
      <c r="Q35" s="23" t="e">
        <f t="shared" si="3"/>
        <v>#REF!</v>
      </c>
    </row>
    <row r="36" spans="1:17" ht="15.75" customHeight="1" x14ac:dyDescent="0.25">
      <c r="A36" s="22" t="s">
        <v>17</v>
      </c>
      <c r="B36" s="20" t="s">
        <v>24</v>
      </c>
      <c r="C36" s="20" t="s">
        <v>19</v>
      </c>
      <c r="D36" s="20" t="s">
        <v>20</v>
      </c>
      <c r="E36" s="20" t="s">
        <v>21</v>
      </c>
      <c r="F36" s="20">
        <v>0</v>
      </c>
      <c r="G36" s="20" t="e">
        <f>[2]FAST_SIFT!C10</f>
        <v>#REF!</v>
      </c>
      <c r="H36" s="20" t="e">
        <f>[2]FAST_SIFT!C16</f>
        <v>#REF!</v>
      </c>
      <c r="I36" s="20" t="e">
        <f>[2]FAST_SIFT!C22</f>
        <v>#REF!</v>
      </c>
      <c r="J36" s="20" t="e">
        <f>[2]FAST_SIFT!C28</f>
        <v>#REF!</v>
      </c>
      <c r="K36" s="20" t="e">
        <f>[2]FAST_SIFT!C34</f>
        <v>#REF!</v>
      </c>
      <c r="L36" s="20" t="e">
        <f>[2]FAST_SIFT!C40</f>
        <v>#REF!</v>
      </c>
      <c r="M36" s="20" t="e">
        <f>[2]FAST_SIFT!C46</f>
        <v>#REF!</v>
      </c>
      <c r="N36" s="20" t="e">
        <f>[2]FAST_SIFT!C52</f>
        <v>#REF!</v>
      </c>
      <c r="O36" s="20" t="e">
        <f>[2]FAST_SIFT!C58</f>
        <v>#REF!</v>
      </c>
      <c r="P36" s="23" t="e">
        <f t="shared" si="2"/>
        <v>#REF!</v>
      </c>
      <c r="Q36" s="23" t="e">
        <f t="shared" si="3"/>
        <v>#REF!</v>
      </c>
    </row>
    <row r="37" spans="1:17" ht="15.75" customHeight="1" x14ac:dyDescent="0.25">
      <c r="A37" s="22" t="s">
        <v>17</v>
      </c>
      <c r="B37" s="12" t="s">
        <v>22</v>
      </c>
      <c r="C37" s="12" t="s">
        <v>19</v>
      </c>
      <c r="D37" s="12" t="s">
        <v>20</v>
      </c>
      <c r="E37" s="12" t="s">
        <v>21</v>
      </c>
      <c r="F37" s="20">
        <v>0</v>
      </c>
      <c r="G37" s="12">
        <f ca="1">FAST_BRISK!C10</f>
        <v>97</v>
      </c>
      <c r="H37" s="12">
        <f ca="1">FAST_BRISK!C16</f>
        <v>104</v>
      </c>
      <c r="I37" s="12">
        <f ca="1">FAST_BRISK!C22</f>
        <v>102</v>
      </c>
      <c r="J37" s="12">
        <f ca="1">FAST_BRISK!C28</f>
        <v>98</v>
      </c>
      <c r="K37" s="12">
        <f ca="1">FAST_BRISK!C34</f>
        <v>85</v>
      </c>
      <c r="L37" s="12">
        <f ca="1">FAST_BRISK!C40</f>
        <v>107</v>
      </c>
      <c r="M37" s="12">
        <f ca="1">FAST_BRISK!C46</f>
        <v>108</v>
      </c>
      <c r="N37" s="12">
        <f ca="1">FAST_BRISK!C52</f>
        <v>100</v>
      </c>
      <c r="O37" s="12">
        <f ca="1">FAST_BRISK!C58</f>
        <v>100</v>
      </c>
      <c r="P37" s="13">
        <f t="shared" ca="1" si="2"/>
        <v>100.11111111111111</v>
      </c>
      <c r="Q37" s="13">
        <f t="shared" ca="1" si="3"/>
        <v>6.8088994052718324</v>
      </c>
    </row>
    <row r="38" spans="1:17" ht="15.75" customHeight="1" x14ac:dyDescent="0.25">
      <c r="A38" s="22" t="s">
        <v>22</v>
      </c>
      <c r="B38" s="12" t="s">
        <v>28</v>
      </c>
      <c r="C38" s="12" t="s">
        <v>19</v>
      </c>
      <c r="D38" s="12" t="s">
        <v>20</v>
      </c>
      <c r="E38" s="12" t="s">
        <v>21</v>
      </c>
      <c r="F38" s="20">
        <v>0</v>
      </c>
      <c r="G38" s="12">
        <f ca="1">BRISK_BRIEF!C10</f>
        <v>172</v>
      </c>
      <c r="H38" s="12">
        <f ca="1">BRISK_BRIEF!C16</f>
        <v>194</v>
      </c>
      <c r="I38" s="12">
        <f ca="1">BRISK_BRIEF!C22</f>
        <v>181</v>
      </c>
      <c r="J38" s="12">
        <f ca="1">BRISK_BRIEF!C28</f>
        <v>176</v>
      </c>
      <c r="K38" s="12">
        <f ca="1">BRISK_BRIEF!C34</f>
        <v>181</v>
      </c>
      <c r="L38" s="12">
        <f ca="1">BRISK_BRIEF!C40</f>
        <v>192</v>
      </c>
      <c r="M38" s="12">
        <f ca="1">BRISK_BRIEF!C46</f>
        <v>207</v>
      </c>
      <c r="N38" s="12">
        <f ca="1">BRISK_BRIEF!C52</f>
        <v>185</v>
      </c>
      <c r="O38" s="12">
        <f ca="1">BRISK_BRIEF!C58</f>
        <v>178</v>
      </c>
      <c r="P38" s="13">
        <f t="shared" ca="1" si="2"/>
        <v>185.11111111111111</v>
      </c>
      <c r="Q38" s="13">
        <f t="shared" ca="1" si="3"/>
        <v>10.867893591267404</v>
      </c>
    </row>
    <row r="39" spans="1:17" ht="15.75" customHeight="1" x14ac:dyDescent="0.25">
      <c r="A39" s="22" t="s">
        <v>22</v>
      </c>
      <c r="B39" s="12" t="s">
        <v>18</v>
      </c>
      <c r="C39" s="12" t="s">
        <v>19</v>
      </c>
      <c r="D39" s="12" t="s">
        <v>20</v>
      </c>
      <c r="E39" s="12" t="s">
        <v>21</v>
      </c>
      <c r="F39" s="20">
        <v>0</v>
      </c>
      <c r="G39" s="12">
        <f ca="1">BRISK_ORB!C10</f>
        <v>154</v>
      </c>
      <c r="H39" s="12">
        <f ca="1">BRISK_ORB!C16</f>
        <v>166</v>
      </c>
      <c r="I39" s="12">
        <f ca="1">BRISK_ORB!C22</f>
        <v>154</v>
      </c>
      <c r="J39" s="12">
        <f ca="1">BRISK_ORB!C28</f>
        <v>160</v>
      </c>
      <c r="K39" s="12">
        <f ca="1">BRISK_ORB!C34</f>
        <v>156</v>
      </c>
      <c r="L39" s="12">
        <f ca="1">BRISK_ORB!C40</f>
        <v>180</v>
      </c>
      <c r="M39" s="12">
        <f ca="1">BRISK_ORB!C46</f>
        <v>164</v>
      </c>
      <c r="N39" s="12">
        <f ca="1">BRISK_ORB!C52</f>
        <v>169</v>
      </c>
      <c r="O39" s="12">
        <f ca="1">BRISK_ORB!C58</f>
        <v>170</v>
      </c>
      <c r="P39" s="13">
        <f t="shared" ca="1" si="2"/>
        <v>163.66666666666666</v>
      </c>
      <c r="Q39" s="13">
        <f t="shared" ca="1" si="3"/>
        <v>8.6602540378443855</v>
      </c>
    </row>
    <row r="40" spans="1:17" ht="12.5" x14ac:dyDescent="0.25">
      <c r="A40" s="22" t="s">
        <v>22</v>
      </c>
      <c r="B40" s="12" t="s">
        <v>29</v>
      </c>
      <c r="C40" s="12" t="s">
        <v>19</v>
      </c>
      <c r="D40" s="12" t="s">
        <v>20</v>
      </c>
      <c r="E40" s="12" t="s">
        <v>21</v>
      </c>
      <c r="F40" s="20">
        <v>0</v>
      </c>
      <c r="G40" s="12">
        <f ca="1">BRISK_FREAK!C10</f>
        <v>154</v>
      </c>
      <c r="H40" s="12">
        <f ca="1">BRISK_FREAK!C16</f>
        <v>173</v>
      </c>
      <c r="I40" s="12">
        <f ca="1">BRISK_FREAK!C22</f>
        <v>153</v>
      </c>
      <c r="J40" s="12">
        <f ca="1">BRISK_FREAK!C28</f>
        <v>168</v>
      </c>
      <c r="K40" s="12">
        <f ca="1">BRISK_FREAK!C34</f>
        <v>158</v>
      </c>
      <c r="L40" s="12">
        <f ca="1">BRISK_FREAK!C40</f>
        <v>181</v>
      </c>
      <c r="M40" s="12">
        <f ca="1">BRISK_FREAK!C46</f>
        <v>169</v>
      </c>
      <c r="N40" s="12">
        <f ca="1">BRISK_FREAK!C52</f>
        <v>175</v>
      </c>
      <c r="O40" s="12">
        <f ca="1">BRISK_FREAK!C58</f>
        <v>165</v>
      </c>
      <c r="P40" s="13">
        <f t="shared" ca="1" si="2"/>
        <v>166.22222222222223</v>
      </c>
      <c r="Q40" s="13">
        <f t="shared" ca="1" si="3"/>
        <v>9.6537269717163881</v>
      </c>
    </row>
    <row r="41" spans="1:17" ht="12.5" x14ac:dyDescent="0.25">
      <c r="A41" s="22" t="s">
        <v>22</v>
      </c>
      <c r="B41" s="20" t="s">
        <v>23</v>
      </c>
      <c r="C41" s="20" t="s">
        <v>19</v>
      </c>
      <c r="D41" s="20" t="s">
        <v>20</v>
      </c>
      <c r="E41" s="20" t="s">
        <v>21</v>
      </c>
      <c r="F41" s="20">
        <v>0</v>
      </c>
      <c r="G41" s="20" t="e">
        <f>[3]BRISK_AKAZE!C10</f>
        <v>#REF!</v>
      </c>
      <c r="H41" s="20" t="e">
        <f>[3]BRISK_AKAZE!C16</f>
        <v>#REF!</v>
      </c>
      <c r="I41" s="20" t="e">
        <f>[3]BRISK_AKAZE!C22</f>
        <v>#REF!</v>
      </c>
      <c r="J41" s="20" t="e">
        <f>[3]BRISK_AKAZE!C28</f>
        <v>#REF!</v>
      </c>
      <c r="K41" s="20" t="e">
        <f>[3]BRISK_AKAZE!C34</f>
        <v>#REF!</v>
      </c>
      <c r="L41" s="20" t="e">
        <f>[3]BRISK_AKAZE!C40</f>
        <v>#REF!</v>
      </c>
      <c r="M41" s="20" t="e">
        <f>[3]BRISK_AKAZE!C46</f>
        <v>#REF!</v>
      </c>
      <c r="N41" s="20" t="e">
        <f>[3]BRISK_AKAZE!C52</f>
        <v>#REF!</v>
      </c>
      <c r="O41" s="20" t="e">
        <f>[3]BRISK_AKAZE!C58</f>
        <v>#REF!</v>
      </c>
      <c r="P41" s="23" t="e">
        <f t="shared" si="2"/>
        <v>#REF!</v>
      </c>
      <c r="Q41" s="23" t="e">
        <f t="shared" si="3"/>
        <v>#REF!</v>
      </c>
    </row>
    <row r="42" spans="1:17" ht="12.5" x14ac:dyDescent="0.25">
      <c r="A42" s="22" t="s">
        <v>22</v>
      </c>
      <c r="B42" s="20" t="s">
        <v>24</v>
      </c>
      <c r="C42" s="20" t="s">
        <v>19</v>
      </c>
      <c r="D42" s="20" t="s">
        <v>20</v>
      </c>
      <c r="E42" s="20" t="s">
        <v>21</v>
      </c>
      <c r="F42" s="20">
        <v>0</v>
      </c>
      <c r="G42" s="20" t="e">
        <f>[4]BRISK_SIFT!C10</f>
        <v>#REF!</v>
      </c>
      <c r="H42" s="20" t="e">
        <f>[4]BRISK_SIFT!C16</f>
        <v>#REF!</v>
      </c>
      <c r="I42" s="20" t="e">
        <f>[4]BRISK_SIFT!C22</f>
        <v>#REF!</v>
      </c>
      <c r="J42" s="20" t="e">
        <f>[4]BRISK_SIFT!C28</f>
        <v>#REF!</v>
      </c>
      <c r="K42" s="20" t="e">
        <f>[4]BRISK_SIFT!C34</f>
        <v>#REF!</v>
      </c>
      <c r="L42" s="20" t="e">
        <f>[4]BRISK_SIFT!C40</f>
        <v>#REF!</v>
      </c>
      <c r="M42" s="20" t="e">
        <f>[4]BRISK_SIFT!C46</f>
        <v>#REF!</v>
      </c>
      <c r="N42" s="20" t="e">
        <f>[4]BRISK_SIFT!C52</f>
        <v>#REF!</v>
      </c>
      <c r="O42" s="20" t="e">
        <f>[4]BRISK_SIFT!C58</f>
        <v>#REF!</v>
      </c>
      <c r="P42" s="23" t="e">
        <f t="shared" si="2"/>
        <v>#REF!</v>
      </c>
      <c r="Q42" s="23" t="e">
        <f t="shared" si="3"/>
        <v>#REF!</v>
      </c>
    </row>
    <row r="43" spans="1:17" ht="12.5" x14ac:dyDescent="0.25">
      <c r="A43" s="22" t="s">
        <v>22</v>
      </c>
      <c r="B43" s="12" t="s">
        <v>22</v>
      </c>
      <c r="C43" s="12" t="s">
        <v>19</v>
      </c>
      <c r="D43" s="12" t="s">
        <v>20</v>
      </c>
      <c r="E43" s="12" t="s">
        <v>21</v>
      </c>
      <c r="F43" s="20">
        <v>0</v>
      </c>
      <c r="G43" s="43">
        <f ca="1">BRISK_BRISK!C10</f>
        <v>167</v>
      </c>
      <c r="H43" s="43">
        <f ca="1">BRISK_BRISK!C16</f>
        <v>168</v>
      </c>
      <c r="I43" s="43">
        <f ca="1">BRISK_BRISK!C22</f>
        <v>156</v>
      </c>
      <c r="J43" s="43">
        <f ca="1">BRISK_BRISK!C28</f>
        <v>169</v>
      </c>
      <c r="K43" s="43">
        <f ca="1">BRISK_BRISK!C34</f>
        <v>172</v>
      </c>
      <c r="L43" s="43">
        <f ca="1">BRISK_BRISK!C40</f>
        <v>184</v>
      </c>
      <c r="M43" s="43">
        <f ca="1">BRISK_BRISK!C46</f>
        <v>173</v>
      </c>
      <c r="N43" s="43">
        <f ca="1">BRISK_BRISK!C52</f>
        <v>167</v>
      </c>
      <c r="O43" s="43">
        <f ca="1">BRISK_BRISK!C58</f>
        <v>183</v>
      </c>
      <c r="P43" s="43">
        <f t="shared" ca="1" si="2"/>
        <v>171</v>
      </c>
      <c r="Q43" s="43">
        <f t="shared" ca="1" si="3"/>
        <v>8.5732140997411239</v>
      </c>
    </row>
    <row r="44" spans="1:17" ht="12.5" x14ac:dyDescent="0.25">
      <c r="A44" s="42" t="s">
        <v>18</v>
      </c>
      <c r="B44" s="43" t="s">
        <v>28</v>
      </c>
      <c r="C44" s="43" t="s">
        <v>19</v>
      </c>
      <c r="D44" s="43" t="s">
        <v>20</v>
      </c>
      <c r="E44" s="43" t="s">
        <v>21</v>
      </c>
      <c r="F44" s="20">
        <v>0</v>
      </c>
      <c r="G44" s="43">
        <f ca="1">ORB_BRIEF!C10</f>
        <v>49</v>
      </c>
      <c r="H44" s="43">
        <f ca="1">ORB_BRIEF!C16</f>
        <v>42</v>
      </c>
      <c r="I44" s="43">
        <f ca="1">ORB_BRIEF!C22</f>
        <v>44</v>
      </c>
      <c r="J44" s="43">
        <f ca="1">ORB_BRIEF!C28</f>
        <v>58</v>
      </c>
      <c r="K44" s="43">
        <f ca="1">ORB_BRIEF!C34</f>
        <v>53</v>
      </c>
      <c r="L44" s="43">
        <f ca="1">ORB_BRIEF!C40</f>
        <v>75</v>
      </c>
      <c r="M44" s="43">
        <f ca="1">ORB_BRIEF!C46</f>
        <v>65</v>
      </c>
      <c r="N44" s="43">
        <f ca="1">ORB_BRIEF!C52</f>
        <v>82</v>
      </c>
      <c r="O44" s="43">
        <f ca="1">ORB_BRIEF!C58</f>
        <v>65</v>
      </c>
      <c r="P44" s="43">
        <f t="shared" ca="1" si="2"/>
        <v>59.222222222222221</v>
      </c>
      <c r="Q44" s="43">
        <f t="shared" ca="1" si="3"/>
        <v>13.727506854649331</v>
      </c>
    </row>
    <row r="45" spans="1:17" ht="12.5" x14ac:dyDescent="0.25">
      <c r="A45" s="42" t="s">
        <v>18</v>
      </c>
      <c r="B45" s="43" t="s">
        <v>18</v>
      </c>
      <c r="C45" s="43" t="s">
        <v>19</v>
      </c>
      <c r="D45" s="43" t="s">
        <v>20</v>
      </c>
      <c r="E45" s="43" t="s">
        <v>21</v>
      </c>
      <c r="F45" s="20">
        <v>0</v>
      </c>
      <c r="G45" s="43">
        <f ca="1">ORB_ORB!C10</f>
        <v>66</v>
      </c>
      <c r="H45" s="43">
        <f ca="1">ORB_ORB!C16</f>
        <v>68</v>
      </c>
      <c r="I45" s="43">
        <f ca="1">ORB_ORB!C22</f>
        <v>70</v>
      </c>
      <c r="J45" s="43">
        <f ca="1">ORB_ORB!C28</f>
        <v>84</v>
      </c>
      <c r="K45" s="43">
        <f ca="1">ORB_ORB!C34</f>
        <v>90</v>
      </c>
      <c r="L45" s="43">
        <f ca="1">ORB_ORB!C40</f>
        <v>98</v>
      </c>
      <c r="M45" s="43">
        <f ca="1">ORB_ORB!C46</f>
        <v>90</v>
      </c>
      <c r="N45" s="43">
        <f ca="1">ORB_ORB!C52</f>
        <v>90</v>
      </c>
      <c r="O45" s="43">
        <f ca="1">ORB_ORB!C58</f>
        <v>89</v>
      </c>
      <c r="P45" s="43">
        <f t="shared" ca="1" si="2"/>
        <v>82.777777777777771</v>
      </c>
      <c r="Q45" s="43">
        <f t="shared" ca="1" si="3"/>
        <v>11.680943645290149</v>
      </c>
    </row>
    <row r="46" spans="1:17" ht="12.5" x14ac:dyDescent="0.25">
      <c r="A46" s="22" t="s">
        <v>18</v>
      </c>
      <c r="B46" s="12" t="s">
        <v>29</v>
      </c>
      <c r="C46" s="12" t="s">
        <v>19</v>
      </c>
      <c r="D46" s="12" t="s">
        <v>20</v>
      </c>
      <c r="E46" s="12" t="s">
        <v>21</v>
      </c>
      <c r="F46" s="20">
        <v>0</v>
      </c>
      <c r="G46" s="43">
        <f ca="1">ORB_FREAK!C10</f>
        <v>41</v>
      </c>
      <c r="H46" s="43">
        <f ca="1">ORB_FREAK!C16</f>
        <v>36</v>
      </c>
      <c r="I46" s="43">
        <f ca="1">ORB_FREAK!C22</f>
        <v>44</v>
      </c>
      <c r="J46" s="43">
        <f ca="1">ORB_FREAK!C28</f>
        <v>47</v>
      </c>
      <c r="K46" s="43">
        <f ca="1">ORB_FREAK!C34</f>
        <v>44</v>
      </c>
      <c r="L46" s="43">
        <f ca="1">ORB_FREAK!C40</f>
        <v>51</v>
      </c>
      <c r="M46" s="43">
        <f ca="1">ORB_FREAK!C46</f>
        <v>52</v>
      </c>
      <c r="N46" s="43">
        <f ca="1">ORB_FREAK!C52</f>
        <v>47</v>
      </c>
      <c r="O46" s="43">
        <f ca="1">ORB_FREAK!C58</f>
        <v>54</v>
      </c>
      <c r="P46" s="43">
        <f t="shared" ca="1" si="2"/>
        <v>46.222222222222221</v>
      </c>
      <c r="Q46" s="43">
        <f t="shared" ca="1" si="3"/>
        <v>5.6960024968783456</v>
      </c>
    </row>
    <row r="47" spans="1:17" ht="12.5" x14ac:dyDescent="0.25">
      <c r="A47" s="22" t="s">
        <v>18</v>
      </c>
      <c r="B47" s="20" t="s">
        <v>23</v>
      </c>
      <c r="C47" s="20" t="s">
        <v>19</v>
      </c>
      <c r="D47" s="20" t="s">
        <v>20</v>
      </c>
      <c r="E47" s="20" t="s">
        <v>21</v>
      </c>
      <c r="F47" s="20">
        <v>0</v>
      </c>
      <c r="G47" s="20" t="e">
        <f>[5]ORB_AKAZE!C10</f>
        <v>#REF!</v>
      </c>
      <c r="H47" s="20" t="e">
        <f>[5]ORB_AKAZE!C16</f>
        <v>#REF!</v>
      </c>
      <c r="I47" s="20" t="e">
        <f>[5]ORB_AKAZE!C22</f>
        <v>#REF!</v>
      </c>
      <c r="J47" s="20" t="e">
        <f>[5]ORB_AKAZE!C28</f>
        <v>#REF!</v>
      </c>
      <c r="K47" s="20" t="e">
        <f>[5]ORB_AKAZE!C34</f>
        <v>#REF!</v>
      </c>
      <c r="L47" s="20" t="e">
        <f>[5]ORB_AKAZE!C40</f>
        <v>#REF!</v>
      </c>
      <c r="M47" s="20" t="e">
        <f>[5]ORB_AKAZE!C46</f>
        <v>#REF!</v>
      </c>
      <c r="N47" s="20" t="e">
        <f>[5]ORB_AKAZE!C52</f>
        <v>#REF!</v>
      </c>
      <c r="O47" s="20" t="e">
        <f>[5]ORB_AKAZE!C58</f>
        <v>#REF!</v>
      </c>
      <c r="P47" s="23" t="e">
        <f t="shared" si="2"/>
        <v>#REF!</v>
      </c>
      <c r="Q47" s="23" t="e">
        <f t="shared" si="3"/>
        <v>#REF!</v>
      </c>
    </row>
    <row r="48" spans="1:17" ht="12.5" x14ac:dyDescent="0.25">
      <c r="A48" s="22" t="s">
        <v>18</v>
      </c>
      <c r="B48" s="20" t="s">
        <v>24</v>
      </c>
      <c r="C48" s="20" t="s">
        <v>19</v>
      </c>
      <c r="D48" s="20" t="s">
        <v>20</v>
      </c>
      <c r="E48" s="20" t="s">
        <v>21</v>
      </c>
      <c r="F48" s="20">
        <v>0</v>
      </c>
      <c r="G48" s="20" t="e">
        <f>[6]ORB_SIFT!C10</f>
        <v>#REF!</v>
      </c>
      <c r="H48" s="20" t="e">
        <f>[6]ORB_SIFT!C16</f>
        <v>#REF!</v>
      </c>
      <c r="I48" s="20" t="e">
        <f>[6]ORB_SIFT!C22</f>
        <v>#REF!</v>
      </c>
      <c r="J48" s="20" t="e">
        <f>[6]ORB_SIFT!C28</f>
        <v>#REF!</v>
      </c>
      <c r="K48" s="20" t="e">
        <f>[6]ORB_SIFT!C34</f>
        <v>#REF!</v>
      </c>
      <c r="L48" s="20" t="e">
        <f>[6]ORB_SIFT!C40</f>
        <v>#REF!</v>
      </c>
      <c r="M48" s="20" t="e">
        <f>[6]ORB_SIFT!C46</f>
        <v>#REF!</v>
      </c>
      <c r="N48" s="20" t="e">
        <f>[6]ORB_SIFT!C52</f>
        <v>#REF!</v>
      </c>
      <c r="O48" s="20" t="e">
        <f>[6]ORB_SIFT!C58</f>
        <v>#REF!</v>
      </c>
      <c r="P48" s="23" t="e">
        <f t="shared" si="2"/>
        <v>#REF!</v>
      </c>
      <c r="Q48" s="23" t="e">
        <f t="shared" si="3"/>
        <v>#REF!</v>
      </c>
    </row>
    <row r="49" spans="1:17" ht="12.5" x14ac:dyDescent="0.25">
      <c r="A49" s="22" t="s">
        <v>18</v>
      </c>
      <c r="B49" s="12" t="s">
        <v>22</v>
      </c>
      <c r="C49" s="12" t="s">
        <v>19</v>
      </c>
      <c r="D49" s="12" t="s">
        <v>20</v>
      </c>
      <c r="E49" s="12" t="s">
        <v>21</v>
      </c>
      <c r="F49" s="20">
        <v>0</v>
      </c>
      <c r="G49" s="12">
        <f ca="1">ORB_BRISK!C10</f>
        <v>73</v>
      </c>
      <c r="H49" s="12">
        <f ca="1">ORB_BRISK!C16</f>
        <v>73</v>
      </c>
      <c r="I49" s="12">
        <f ca="1">ORB_BRISK!C22</f>
        <v>78</v>
      </c>
      <c r="J49" s="12">
        <f ca="1">ORB_BRISK!C28</f>
        <v>85</v>
      </c>
      <c r="K49" s="12">
        <f ca="1">ORB_BRISK!C34</f>
        <v>79</v>
      </c>
      <c r="L49" s="12">
        <f ca="1">ORB_BRISK!C40</f>
        <v>88</v>
      </c>
      <c r="M49" s="12">
        <f ca="1">ORB_BRISK!C46</f>
        <v>87</v>
      </c>
      <c r="N49" s="12">
        <f ca="1">ORB_BRISK!C52</f>
        <v>87</v>
      </c>
      <c r="O49" s="12">
        <f ca="1">ORB_BRISK!C58</f>
        <v>90</v>
      </c>
      <c r="P49" s="13">
        <f t="shared" ca="1" si="2"/>
        <v>82.222222222222229</v>
      </c>
      <c r="Q49" s="13">
        <f t="shared" ca="1" si="3"/>
        <v>6.5722480510434513</v>
      </c>
    </row>
    <row r="50" spans="1:17" ht="12.5" x14ac:dyDescent="0.25">
      <c r="A50" s="22" t="s">
        <v>23</v>
      </c>
      <c r="B50" s="12" t="s">
        <v>28</v>
      </c>
      <c r="C50" s="12" t="s">
        <v>19</v>
      </c>
      <c r="D50" s="12" t="s">
        <v>20</v>
      </c>
      <c r="E50" s="12" t="s">
        <v>21</v>
      </c>
      <c r="F50" s="20">
        <v>0</v>
      </c>
      <c r="G50" s="12">
        <f ca="1">AKAZE_BRIEF!C10</f>
        <v>136</v>
      </c>
      <c r="H50" s="12">
        <f ca="1">AKAZE_BRIEF!C16</f>
        <v>132</v>
      </c>
      <c r="I50" s="12">
        <f ca="1">AKAZE_BRIEF!C22</f>
        <v>129</v>
      </c>
      <c r="J50" s="12">
        <f ca="1">AKAZE_BRIEF!C28</f>
        <v>132</v>
      </c>
      <c r="K50" s="12">
        <f ca="1">AKAZE_BRIEF!C34</f>
        <v>135</v>
      </c>
      <c r="L50" s="12">
        <f ca="1">AKAZE_BRIEF!C40</f>
        <v>145</v>
      </c>
      <c r="M50" s="12">
        <f ca="1">AKAZE_BRIEF!C46</f>
        <v>149</v>
      </c>
      <c r="N50" s="12">
        <f ca="1">AKAZE_BRIEF!C52</f>
        <v>148</v>
      </c>
      <c r="O50" s="12">
        <f ca="1">AKAZE_BRIEF!C58</f>
        <v>151</v>
      </c>
      <c r="P50" s="13">
        <f t="shared" ca="1" si="2"/>
        <v>139.66666666666666</v>
      </c>
      <c r="Q50" s="13">
        <f t="shared" ca="1" si="3"/>
        <v>8.5146931829632013</v>
      </c>
    </row>
    <row r="51" spans="1:17" ht="12.5" x14ac:dyDescent="0.25">
      <c r="A51" s="22" t="s">
        <v>23</v>
      </c>
      <c r="B51" s="12" t="s">
        <v>18</v>
      </c>
      <c r="C51" s="12" t="s">
        <v>19</v>
      </c>
      <c r="D51" s="12" t="s">
        <v>20</v>
      </c>
      <c r="E51" s="12" t="s">
        <v>21</v>
      </c>
      <c r="F51" s="20">
        <v>0</v>
      </c>
      <c r="G51" s="12">
        <f ca="1">AKAZE_ORB!C10</f>
        <v>127</v>
      </c>
      <c r="H51" s="12">
        <f ca="1">AKAZE_ORB!C16</f>
        <v>127</v>
      </c>
      <c r="I51" s="12">
        <f ca="1">AKAZE_ORB!C22</f>
        <v>125</v>
      </c>
      <c r="J51" s="12">
        <f ca="1">AKAZE_ORB!C28</f>
        <v>119</v>
      </c>
      <c r="K51" s="12">
        <f ca="1">AKAZE_ORB!C34</f>
        <v>129</v>
      </c>
      <c r="L51" s="12">
        <f ca="1">AKAZE_ORB!C40</f>
        <v>130</v>
      </c>
      <c r="M51" s="12">
        <f ca="1">AKAZE_ORB!C46</f>
        <v>135</v>
      </c>
      <c r="N51" s="12">
        <f ca="1">AKAZE_ORB!C52</f>
        <v>136</v>
      </c>
      <c r="O51" s="12">
        <f ca="1">AKAZE_ORB!C58</f>
        <v>143</v>
      </c>
      <c r="P51" s="13">
        <f t="shared" ca="1" si="2"/>
        <v>130.11111111111111</v>
      </c>
      <c r="Q51" s="13">
        <f t="shared" ca="1" si="3"/>
        <v>7.0257463027859979</v>
      </c>
    </row>
    <row r="52" spans="1:17" ht="12.5" x14ac:dyDescent="0.25">
      <c r="A52" s="22" t="s">
        <v>23</v>
      </c>
      <c r="B52" s="12" t="s">
        <v>29</v>
      </c>
      <c r="C52" s="12" t="s">
        <v>19</v>
      </c>
      <c r="D52" s="12" t="s">
        <v>20</v>
      </c>
      <c r="E52" s="12" t="s">
        <v>21</v>
      </c>
      <c r="F52" s="20">
        <v>0</v>
      </c>
      <c r="G52" s="12">
        <f ca="1">AKAZE_FREAK!C10</f>
        <v>123</v>
      </c>
      <c r="H52" s="12">
        <f ca="1">AKAZE_FREAK!C16</f>
        <v>127</v>
      </c>
      <c r="I52" s="12">
        <f ca="1">AKAZE_FREAK!C22</f>
        <v>128</v>
      </c>
      <c r="J52" s="12">
        <f ca="1">AKAZE_FREAK!C28</f>
        <v>122</v>
      </c>
      <c r="K52" s="12">
        <f ca="1">AKAZE_FREAK!C34</f>
        <v>123</v>
      </c>
      <c r="L52" s="12">
        <f ca="1">AKAZE_FREAK!C40</f>
        <v>133</v>
      </c>
      <c r="M52" s="12">
        <f ca="1">AKAZE_FREAK!C46</f>
        <v>145</v>
      </c>
      <c r="N52" s="12">
        <f ca="1">AKAZE_FREAK!C52</f>
        <v>145</v>
      </c>
      <c r="O52" s="12">
        <f ca="1">AKAZE_FREAK!C58</f>
        <v>135</v>
      </c>
      <c r="P52" s="13">
        <f t="shared" ca="1" si="2"/>
        <v>131.22222222222223</v>
      </c>
      <c r="Q52" s="13">
        <f t="shared" ca="1" si="3"/>
        <v>8.983008652141244</v>
      </c>
    </row>
    <row r="53" spans="1:17" ht="12.5" x14ac:dyDescent="0.25">
      <c r="A53" s="22" t="s">
        <v>23</v>
      </c>
      <c r="B53" s="12" t="s">
        <v>23</v>
      </c>
      <c r="C53" s="12" t="s">
        <v>19</v>
      </c>
      <c r="D53" s="12" t="s">
        <v>20</v>
      </c>
      <c r="E53" s="12" t="s">
        <v>21</v>
      </c>
      <c r="F53" s="20">
        <v>0</v>
      </c>
      <c r="G53" s="12">
        <f ca="1">AKAZE_AKAZE!C10</f>
        <v>134</v>
      </c>
      <c r="H53" s="12">
        <f ca="1">AKAZE_AKAZE!C16</f>
        <v>137</v>
      </c>
      <c r="I53" s="12">
        <f ca="1">AKAZE_AKAZE!C22</f>
        <v>131</v>
      </c>
      <c r="J53" s="12">
        <f ca="1">AKAZE_AKAZE!C28</f>
        <v>127</v>
      </c>
      <c r="K53" s="12">
        <f ca="1">AKAZE_AKAZE!C34</f>
        <v>128</v>
      </c>
      <c r="L53" s="12">
        <f ca="1">AKAZE_AKAZE!C40</f>
        <v>145</v>
      </c>
      <c r="M53" s="12">
        <f ca="1">AKAZE_AKAZE!C46</f>
        <v>146</v>
      </c>
      <c r="N53" s="12">
        <f ca="1">AKAZE_AKAZE!C52</f>
        <v>149</v>
      </c>
      <c r="O53" s="12">
        <f ca="1">AKAZE_AKAZE!C58</f>
        <v>148</v>
      </c>
      <c r="P53" s="13">
        <f t="shared" ca="1" si="2"/>
        <v>138.33333333333334</v>
      </c>
      <c r="Q53" s="13">
        <f t="shared" ca="1" si="3"/>
        <v>8.8034084308295046</v>
      </c>
    </row>
    <row r="54" spans="1:17" ht="12.5" x14ac:dyDescent="0.25">
      <c r="A54" s="22" t="s">
        <v>23</v>
      </c>
      <c r="B54" s="20" t="s">
        <v>24</v>
      </c>
      <c r="C54" s="20" t="s">
        <v>19</v>
      </c>
      <c r="D54" s="20" t="s">
        <v>20</v>
      </c>
      <c r="E54" s="20" t="s">
        <v>21</v>
      </c>
      <c r="F54" s="20">
        <v>0</v>
      </c>
      <c r="G54" s="20" t="e">
        <f>[7]AKAZE_SIFT!C10</f>
        <v>#REF!</v>
      </c>
      <c r="H54" s="20" t="e">
        <f>[7]AKAZE_SIFT!C16</f>
        <v>#REF!</v>
      </c>
      <c r="I54" s="20" t="e">
        <f>[7]AKAZE_SIFT!C22</f>
        <v>#REF!</v>
      </c>
      <c r="J54" s="20" t="e">
        <f>[7]AKAZE_SIFT!C28</f>
        <v>#REF!</v>
      </c>
      <c r="K54" s="20" t="e">
        <f>[7]AKAZE_SIFT!C34</f>
        <v>#REF!</v>
      </c>
      <c r="L54" s="20" t="e">
        <f>[7]AKAZE_SIFT!C40</f>
        <v>#REF!</v>
      </c>
      <c r="M54" s="20" t="e">
        <f>[7]AKAZE_SIFT!C46</f>
        <v>#REF!</v>
      </c>
      <c r="N54" s="20" t="e">
        <f>[7]AKAZE_SIFT!C52</f>
        <v>#REF!</v>
      </c>
      <c r="O54" s="20" t="e">
        <f>[7]AKAZE_SIFT!C58</f>
        <v>#REF!</v>
      </c>
      <c r="P54" s="23" t="e">
        <f t="shared" si="2"/>
        <v>#REF!</v>
      </c>
      <c r="Q54" s="23" t="e">
        <f t="shared" si="3"/>
        <v>#REF!</v>
      </c>
    </row>
    <row r="55" spans="1:17" ht="12.5" x14ac:dyDescent="0.25">
      <c r="A55" s="22" t="s">
        <v>23</v>
      </c>
      <c r="B55" s="12" t="s">
        <v>22</v>
      </c>
      <c r="C55" s="12" t="s">
        <v>19</v>
      </c>
      <c r="D55" s="12" t="s">
        <v>20</v>
      </c>
      <c r="E55" s="12" t="s">
        <v>21</v>
      </c>
      <c r="F55" s="20">
        <v>0</v>
      </c>
      <c r="G55" s="12">
        <f ca="1">AKAZE_BRISK!C10</f>
        <v>133</v>
      </c>
      <c r="H55" s="12">
        <f ca="1">AKAZE_BRISK!C16</f>
        <v>123</v>
      </c>
      <c r="I55" s="12">
        <f ca="1">AKAZE_BRISK!C22</f>
        <v>128</v>
      </c>
      <c r="J55" s="12">
        <f ca="1">AKAZE_BRISK!C28</f>
        <v>129</v>
      </c>
      <c r="K55" s="12">
        <f ca="1">AKAZE_BRISK!C34</f>
        <v>130</v>
      </c>
      <c r="L55" s="12">
        <f ca="1">AKAZE_BRISK!C40</f>
        <v>131</v>
      </c>
      <c r="M55" s="12">
        <f ca="1">AKAZE_BRISK!C46</f>
        <v>141</v>
      </c>
      <c r="N55" s="12">
        <f ca="1">AKAZE_BRISK!C52</f>
        <v>144</v>
      </c>
      <c r="O55" s="12">
        <f ca="1">AKAZE_BRISK!C58</f>
        <v>140</v>
      </c>
      <c r="P55" s="13">
        <f t="shared" ca="1" si="2"/>
        <v>133.22222222222223</v>
      </c>
      <c r="Q55" s="13">
        <f t="shared" ca="1" si="3"/>
        <v>6.9602043392736999</v>
      </c>
    </row>
    <row r="56" spans="1:17" ht="12.5" x14ac:dyDescent="0.25">
      <c r="A56" s="22" t="s">
        <v>24</v>
      </c>
      <c r="B56" s="20" t="s">
        <v>28</v>
      </c>
      <c r="C56" s="20" t="s">
        <v>19</v>
      </c>
      <c r="D56" s="20" t="s">
        <v>25</v>
      </c>
      <c r="E56" s="20" t="s">
        <v>21</v>
      </c>
      <c r="F56" s="20">
        <v>0</v>
      </c>
      <c r="G56" s="20" t="e">
        <f>[8]SIFT_BRIEF!C10</f>
        <v>#REF!</v>
      </c>
      <c r="H56" s="20" t="e">
        <f>[8]SIFT_BRIEF!C16</f>
        <v>#REF!</v>
      </c>
      <c r="I56" s="20" t="e">
        <f>[8]SIFT_BRIEF!C22</f>
        <v>#REF!</v>
      </c>
      <c r="J56" s="20" t="e">
        <f>[8]SIFT_BRIEF!C28</f>
        <v>#REF!</v>
      </c>
      <c r="K56" s="20" t="e">
        <f>[8]SIFT_BRIEF!C34</f>
        <v>#REF!</v>
      </c>
      <c r="L56" s="20" t="e">
        <f>[8]SIFT_BRIEF!C40</f>
        <v>#REF!</v>
      </c>
      <c r="M56" s="20" t="e">
        <f>[8]SIFT_BRIEF!C46</f>
        <v>#REF!</v>
      </c>
      <c r="N56" s="20" t="e">
        <f>[8]SIFT_BRIEF!C52</f>
        <v>#REF!</v>
      </c>
      <c r="O56" s="20" t="e">
        <f>[8]SIFT_BRIEF!C58</f>
        <v>#REF!</v>
      </c>
      <c r="P56" s="23" t="e">
        <f t="shared" si="2"/>
        <v>#REF!</v>
      </c>
      <c r="Q56" s="23" t="e">
        <f t="shared" si="3"/>
        <v>#REF!</v>
      </c>
    </row>
    <row r="57" spans="1:17" ht="12.5" x14ac:dyDescent="0.25">
      <c r="A57" s="22" t="s">
        <v>24</v>
      </c>
      <c r="B57" s="20" t="s">
        <v>18</v>
      </c>
      <c r="C57" s="20" t="s">
        <v>19</v>
      </c>
      <c r="D57" s="20" t="s">
        <v>25</v>
      </c>
      <c r="E57" s="20" t="s">
        <v>21</v>
      </c>
      <c r="F57" s="20">
        <v>0</v>
      </c>
      <c r="G57" s="20" t="e">
        <f>[9]SIFT_ORB!C10</f>
        <v>#REF!</v>
      </c>
      <c r="H57" s="20" t="e">
        <f>[9]SIFT_ORB!C16</f>
        <v>#REF!</v>
      </c>
      <c r="I57" s="20" t="e">
        <f>[9]SIFT_ORB!C22</f>
        <v>#REF!</v>
      </c>
      <c r="J57" s="20" t="e">
        <f>[9]SIFT_ORB!C28</f>
        <v>#REF!</v>
      </c>
      <c r="K57" s="20" t="e">
        <f>[9]SIFT_ORB!C34</f>
        <v>#REF!</v>
      </c>
      <c r="L57" s="20" t="e">
        <f>[9]SIFT_ORB!C40</f>
        <v>#REF!</v>
      </c>
      <c r="M57" s="20" t="e">
        <f>[9]SIFT_ORB!C46</f>
        <v>#REF!</v>
      </c>
      <c r="N57" s="20" t="e">
        <f>[9]SIFT_ORB!C52</f>
        <v>#REF!</v>
      </c>
      <c r="O57" s="20" t="e">
        <f>[9]SIFT_ORB!C58</f>
        <v>#REF!</v>
      </c>
      <c r="P57" s="23" t="e">
        <f t="shared" si="2"/>
        <v>#REF!</v>
      </c>
      <c r="Q57" s="23" t="e">
        <f t="shared" si="3"/>
        <v>#REF!</v>
      </c>
    </row>
    <row r="58" spans="1:17" ht="12.5" x14ac:dyDescent="0.25">
      <c r="A58" s="22" t="s">
        <v>24</v>
      </c>
      <c r="B58" s="20" t="s">
        <v>29</v>
      </c>
      <c r="C58" s="20" t="s">
        <v>19</v>
      </c>
      <c r="D58" s="20" t="s">
        <v>25</v>
      </c>
      <c r="E58" s="20" t="s">
        <v>21</v>
      </c>
      <c r="F58" s="20">
        <v>0</v>
      </c>
      <c r="G58" s="20" t="e">
        <f>[10]SIFT_FREAK!C10</f>
        <v>#REF!</v>
      </c>
      <c r="H58" s="20" t="e">
        <f>[10]SIFT_FREAK!C16</f>
        <v>#REF!</v>
      </c>
      <c r="I58" s="20" t="e">
        <f>[10]SIFT_FREAK!C22</f>
        <v>#REF!</v>
      </c>
      <c r="J58" s="20" t="e">
        <f>[10]SIFT_FREAK!C28</f>
        <v>#REF!</v>
      </c>
      <c r="K58" s="20" t="e">
        <f>[10]SIFT_FREAK!C34</f>
        <v>#REF!</v>
      </c>
      <c r="L58" s="20" t="e">
        <f>[10]SIFT_FREAK!C40</f>
        <v>#REF!</v>
      </c>
      <c r="M58" s="20" t="e">
        <f>[10]SIFT_FREAK!C46</f>
        <v>#REF!</v>
      </c>
      <c r="N58" s="20" t="e">
        <f>[10]SIFT_FREAK!C52</f>
        <v>#REF!</v>
      </c>
      <c r="O58" s="20" t="e">
        <f>[10]SIFT_FREAK!C58</f>
        <v>#REF!</v>
      </c>
      <c r="P58" s="23" t="e">
        <f t="shared" si="2"/>
        <v>#REF!</v>
      </c>
      <c r="Q58" s="23" t="e">
        <f t="shared" si="3"/>
        <v>#REF!</v>
      </c>
    </row>
    <row r="59" spans="1:17" ht="12.5" x14ac:dyDescent="0.25">
      <c r="A59" s="22" t="s">
        <v>24</v>
      </c>
      <c r="B59" s="20" t="s">
        <v>23</v>
      </c>
      <c r="C59" s="20" t="s">
        <v>19</v>
      </c>
      <c r="D59" s="20" t="s">
        <v>25</v>
      </c>
      <c r="E59" s="20" t="s">
        <v>21</v>
      </c>
      <c r="F59" s="20">
        <v>0</v>
      </c>
      <c r="G59" s="20" t="e">
        <f>[11]SIFT_AKAZE!C10</f>
        <v>#REF!</v>
      </c>
      <c r="H59" s="20" t="e">
        <f>[11]SIFT_AKAZE!C16</f>
        <v>#REF!</v>
      </c>
      <c r="I59" s="20" t="e">
        <f>[11]SIFT_AKAZE!C22</f>
        <v>#REF!</v>
      </c>
      <c r="J59" s="20" t="e">
        <f>[11]SIFT_AKAZE!C28</f>
        <v>#REF!</v>
      </c>
      <c r="K59" s="20" t="e">
        <f>[11]SIFT_AKAZE!C34</f>
        <v>#REF!</v>
      </c>
      <c r="L59" s="20" t="e">
        <f>[11]SIFT_AKAZE!C40</f>
        <v>#REF!</v>
      </c>
      <c r="M59" s="20" t="e">
        <f>[11]SIFT_AKAZE!C46</f>
        <v>#REF!</v>
      </c>
      <c r="N59" s="20" t="e">
        <f>[11]SIFT_AKAZE!C52</f>
        <v>#REF!</v>
      </c>
      <c r="O59" s="20" t="e">
        <f>[11]SIFT_AKAZE!C58</f>
        <v>#REF!</v>
      </c>
      <c r="P59" s="23" t="e">
        <f t="shared" si="2"/>
        <v>#REF!</v>
      </c>
      <c r="Q59" s="23" t="e">
        <f t="shared" si="3"/>
        <v>#REF!</v>
      </c>
    </row>
    <row r="60" spans="1:17" ht="12.5" x14ac:dyDescent="0.25">
      <c r="A60" s="22" t="s">
        <v>24</v>
      </c>
      <c r="B60" s="12" t="s">
        <v>24</v>
      </c>
      <c r="C60" s="12" t="s">
        <v>19</v>
      </c>
      <c r="D60" s="14" t="s">
        <v>25</v>
      </c>
      <c r="E60" s="12" t="s">
        <v>21</v>
      </c>
      <c r="F60" s="20">
        <v>0</v>
      </c>
      <c r="G60" s="12">
        <f ca="1">SIFT_SIFT!C10</f>
        <v>81</v>
      </c>
      <c r="H60" s="12">
        <f ca="1">SIFT_SIFT!C16</f>
        <v>78</v>
      </c>
      <c r="I60" s="12">
        <f ca="1">SIFT_SIFT!C22</f>
        <v>82</v>
      </c>
      <c r="J60" s="12">
        <f ca="1">SIFT_SIFT!C28</f>
        <v>91</v>
      </c>
      <c r="K60" s="12">
        <f ca="1">SIFT_SIFT!C34</f>
        <v>89</v>
      </c>
      <c r="L60" s="12">
        <f ca="1">SIFT_SIFT!C40</f>
        <v>80</v>
      </c>
      <c r="M60" s="12">
        <f ca="1">SIFT_SIFT!C46</f>
        <v>82</v>
      </c>
      <c r="N60" s="12">
        <f ca="1">SIFT_SIFT!C52</f>
        <v>99</v>
      </c>
      <c r="O60" s="12">
        <f ca="1">SIFT_SIFT!C58</f>
        <v>100</v>
      </c>
      <c r="P60" s="13">
        <f t="shared" ca="1" si="2"/>
        <v>86.888888888888886</v>
      </c>
      <c r="Q60" s="13">
        <f t="shared" ca="1" si="3"/>
        <v>8.2831824265261176</v>
      </c>
    </row>
    <row r="61" spans="1:17" ht="12.5" x14ac:dyDescent="0.25">
      <c r="A61" s="49" t="s">
        <v>24</v>
      </c>
      <c r="B61" s="48" t="s">
        <v>22</v>
      </c>
      <c r="C61" s="20" t="s">
        <v>19</v>
      </c>
      <c r="D61" s="20" t="s">
        <v>25</v>
      </c>
      <c r="E61" s="20" t="s">
        <v>21</v>
      </c>
      <c r="F61" s="20">
        <v>0</v>
      </c>
      <c r="G61" s="20" t="e">
        <f>[12]SIFT_BRISK!C10</f>
        <v>#REF!</v>
      </c>
      <c r="H61" s="20" t="e">
        <f>[12]SIFT_BRISK!C16</f>
        <v>#REF!</v>
      </c>
      <c r="I61" s="20" t="e">
        <f>[12]SIFT_BRISK!C22</f>
        <v>#REF!</v>
      </c>
      <c r="J61" s="20" t="e">
        <f>[12]SIFT_BRISK!C28</f>
        <v>#REF!</v>
      </c>
      <c r="K61" s="20" t="e">
        <f>[12]SIFT_BRISK!C34</f>
        <v>#REF!</v>
      </c>
      <c r="L61" s="20" t="e">
        <f>[12]SIFT_BRISK!C40</f>
        <v>#REF!</v>
      </c>
      <c r="M61" s="20" t="e">
        <f>[12]SIFT_BRISK!C46</f>
        <v>#REF!</v>
      </c>
      <c r="N61" s="20" t="e">
        <f>[12]SIFT_BRISK!C52</f>
        <v>#REF!</v>
      </c>
      <c r="O61" s="20" t="e">
        <f>[12]SIFT_BRISK!C58</f>
        <v>#REF!</v>
      </c>
      <c r="P61" s="23" t="e">
        <f t="shared" si="2"/>
        <v>#REF!</v>
      </c>
      <c r="Q61" s="23" t="e">
        <f t="shared" si="3"/>
        <v>#REF!</v>
      </c>
    </row>
    <row r="62" spans="1:17" ht="13" x14ac:dyDescent="0.25">
      <c r="A62" s="2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ht="13" x14ac:dyDescent="0.25">
      <c r="A63" s="16" t="s">
        <v>30</v>
      </c>
      <c r="B63" s="2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ht="13" x14ac:dyDescent="0.25">
      <c r="A64" s="17" t="s">
        <v>31</v>
      </c>
      <c r="B64" s="15"/>
      <c r="C64" s="15"/>
      <c r="D64" s="15"/>
      <c r="E64" s="10" t="s">
        <v>11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ht="12.5" x14ac:dyDescent="0.25">
      <c r="A65" s="38" t="s">
        <v>12</v>
      </c>
      <c r="B65" s="40" t="s">
        <v>13</v>
      </c>
      <c r="C65" s="40" t="s">
        <v>14</v>
      </c>
      <c r="D65" s="41" t="s">
        <v>702</v>
      </c>
      <c r="E65" s="41" t="s">
        <v>703</v>
      </c>
      <c r="F65" s="35" t="s">
        <v>15</v>
      </c>
      <c r="G65" s="36"/>
      <c r="H65" s="36"/>
      <c r="I65" s="36"/>
      <c r="J65" s="36"/>
      <c r="K65" s="36"/>
      <c r="L65" s="36"/>
      <c r="M65" s="36"/>
      <c r="N65" s="36"/>
      <c r="O65" s="37"/>
      <c r="P65" s="40" t="s">
        <v>16</v>
      </c>
      <c r="Q65" s="41" t="s">
        <v>704</v>
      </c>
    </row>
    <row r="66" spans="1:17" ht="12.5" x14ac:dyDescent="0.25">
      <c r="A66" s="39"/>
      <c r="B66" s="39"/>
      <c r="C66" s="39"/>
      <c r="D66" s="39"/>
      <c r="E66" s="39"/>
      <c r="F66" s="11">
        <v>1</v>
      </c>
      <c r="G66" s="11">
        <v>2</v>
      </c>
      <c r="H66" s="11">
        <v>3</v>
      </c>
      <c r="I66" s="11">
        <v>4</v>
      </c>
      <c r="J66" s="11">
        <v>5</v>
      </c>
      <c r="K66" s="11">
        <v>6</v>
      </c>
      <c r="L66" s="11">
        <v>7</v>
      </c>
      <c r="M66" s="11">
        <v>8</v>
      </c>
      <c r="N66" s="11">
        <v>9</v>
      </c>
      <c r="O66" s="11">
        <v>10</v>
      </c>
      <c r="P66" s="39"/>
      <c r="Q66" s="39"/>
    </row>
    <row r="67" spans="1:17" ht="12.5" x14ac:dyDescent="0.25">
      <c r="A67" s="18" t="s">
        <v>17</v>
      </c>
      <c r="B67" s="19" t="s">
        <v>28</v>
      </c>
      <c r="C67" s="19" t="s">
        <v>19</v>
      </c>
      <c r="D67" s="19" t="s">
        <v>20</v>
      </c>
      <c r="E67" s="19" t="s">
        <v>21</v>
      </c>
      <c r="F67" s="19">
        <f ca="1">FAST_BRIEF!C2</f>
        <v>4.4721099999999998</v>
      </c>
      <c r="G67" s="19">
        <f ca="1">FAST_BRIEF!C6</f>
        <v>1.0168900000000001</v>
      </c>
      <c r="H67" s="19">
        <f ca="1">FAST_BRIEF!C12</f>
        <v>0.97707900000000003</v>
      </c>
      <c r="I67" s="19">
        <f ca="1">FAST_BRIEF!C18</f>
        <v>1.0507500000000001</v>
      </c>
      <c r="J67" s="19">
        <f ca="1">FAST_BRIEF!C24</f>
        <v>0.92291500000000004</v>
      </c>
      <c r="K67" s="19">
        <f ca="1">FAST_BRIEF!C30</f>
        <v>1.0260899999999999</v>
      </c>
      <c r="L67" s="19">
        <f ca="1">FAST_BRIEF!C36</f>
        <v>0.91257500000000003</v>
      </c>
      <c r="M67" s="19">
        <f ca="1">FAST_BRIEF!C42</f>
        <v>1.0182599999999999</v>
      </c>
      <c r="N67" s="19">
        <f ca="1">FAST_BRIEF!C48</f>
        <v>1.00407</v>
      </c>
      <c r="O67" s="19">
        <f ca="1">FAST_BRIEF!C54</f>
        <v>0.99012999999999995</v>
      </c>
      <c r="P67" s="21">
        <f t="shared" ref="P67:P96" ca="1" si="4">AVERAGE(F67:O67)</f>
        <v>1.3390869000000001</v>
      </c>
      <c r="Q67" s="21">
        <f t="shared" ref="Q67:Q96" ca="1" si="5">STDEV(F67:O67)</f>
        <v>1.1017081750513558</v>
      </c>
    </row>
    <row r="68" spans="1:17" ht="12.5" x14ac:dyDescent="0.25">
      <c r="A68" s="18" t="s">
        <v>17</v>
      </c>
      <c r="B68" s="19" t="s">
        <v>18</v>
      </c>
      <c r="C68" s="19" t="s">
        <v>19</v>
      </c>
      <c r="D68" s="19" t="s">
        <v>20</v>
      </c>
      <c r="E68" s="19" t="s">
        <v>21</v>
      </c>
      <c r="F68" s="19">
        <f ca="1">FAST_ORB!C2</f>
        <v>1.28694</v>
      </c>
      <c r="G68" s="19">
        <f ca="1">FAST_ORB!C6</f>
        <v>1.0646100000000001</v>
      </c>
      <c r="H68" s="19">
        <f ca="1">FAST_ORB!C12</f>
        <v>1.1273500000000001</v>
      </c>
      <c r="I68" s="19">
        <f ca="1">FAST_ORB!C18</f>
        <v>1.4664200000000001</v>
      </c>
      <c r="J68" s="26">
        <f ca="1">FAST_ORB!C24</f>
        <v>0.945488</v>
      </c>
      <c r="K68" s="19">
        <f ca="1">FAST_ORB!C30</f>
        <v>0.94653799999999999</v>
      </c>
      <c r="L68" s="19">
        <f ca="1">FAST_ORB!C36</f>
        <v>1.2388300000000001</v>
      </c>
      <c r="M68" s="19">
        <f ca="1">FAST_ORB!C42</f>
        <v>1.00532</v>
      </c>
      <c r="N68" s="19">
        <f ca="1">FAST_ORB!C48</f>
        <v>1.0475399999999999</v>
      </c>
      <c r="O68" s="19">
        <f ca="1">FAST_ORB!C54</f>
        <v>0.98858500000000005</v>
      </c>
      <c r="P68" s="21">
        <f t="shared" ca="1" si="4"/>
        <v>1.1117621</v>
      </c>
      <c r="Q68" s="21">
        <f t="shared" ca="1" si="5"/>
        <v>0.17018132595979293</v>
      </c>
    </row>
    <row r="69" spans="1:17" ht="12.5" x14ac:dyDescent="0.25">
      <c r="A69" s="44" t="s">
        <v>17</v>
      </c>
      <c r="B69" s="45" t="s">
        <v>29</v>
      </c>
      <c r="C69" s="45" t="s">
        <v>19</v>
      </c>
      <c r="D69" s="45" t="s">
        <v>20</v>
      </c>
      <c r="E69" s="45" t="s">
        <v>21</v>
      </c>
      <c r="F69" s="45">
        <f ca="1">FAST_FREAK!C2</f>
        <v>1.1113999999999999</v>
      </c>
      <c r="G69" s="45">
        <f ca="1">FAST_FREAK!C6</f>
        <v>1.0651600000000001</v>
      </c>
      <c r="H69" s="45">
        <f ca="1">FAST_FREAK!C12</f>
        <v>0.972302</v>
      </c>
      <c r="I69" s="45">
        <f ca="1">FAST_FREAK!C18</f>
        <v>1.0726</v>
      </c>
      <c r="J69" s="45">
        <f ca="1">FAST_FREAK!C24</f>
        <v>0.93640100000000004</v>
      </c>
      <c r="K69" s="45">
        <f ca="1">FAST_FREAK!C30</f>
        <v>1.0692699999999999</v>
      </c>
      <c r="L69" s="45">
        <f ca="1">FAST_FREAK!C36</f>
        <v>1.0175799999999999</v>
      </c>
      <c r="M69" s="45">
        <f ca="1">FAST_FREAK!C42</f>
        <v>0.92373099999999997</v>
      </c>
      <c r="N69" s="45">
        <f ca="1">FAST_FREAK!C48</f>
        <v>1.01566</v>
      </c>
      <c r="O69" s="45">
        <f ca="1">FAST_FREAK!C54</f>
        <v>0.89861000000000002</v>
      </c>
      <c r="P69" s="45">
        <f t="shared" ca="1" si="4"/>
        <v>1.0082713999999999</v>
      </c>
      <c r="Q69" s="45">
        <f t="shared" ca="1" si="5"/>
        <v>7.265130907010553E-2</v>
      </c>
    </row>
    <row r="70" spans="1:17" ht="12.5" x14ac:dyDescent="0.25">
      <c r="A70" s="22" t="s">
        <v>17</v>
      </c>
      <c r="B70" s="20" t="s">
        <v>23</v>
      </c>
      <c r="C70" s="20" t="s">
        <v>19</v>
      </c>
      <c r="D70" s="20" t="s">
        <v>20</v>
      </c>
      <c r="E70" s="20" t="s">
        <v>21</v>
      </c>
      <c r="F70" s="20" t="e">
        <f>[1]FAST_AKAZE!C2</f>
        <v>#REF!</v>
      </c>
      <c r="G70" s="20" t="e">
        <f>[1]FAST_AKAZE!C6</f>
        <v>#REF!</v>
      </c>
      <c r="H70" s="20" t="e">
        <f>[1]FAST_AKAZE!C12</f>
        <v>#REF!</v>
      </c>
      <c r="I70" s="20" t="e">
        <f>[1]FAST_AKAZE!C18</f>
        <v>#REF!</v>
      </c>
      <c r="J70" s="20" t="e">
        <f>[1]FAST_AKAZE!C24</f>
        <v>#REF!</v>
      </c>
      <c r="K70" s="20" t="e">
        <f>[1]FAST_AKAZE!C30</f>
        <v>#REF!</v>
      </c>
      <c r="L70" s="20" t="e">
        <f>[1]FAST_AKAZE!C36</f>
        <v>#REF!</v>
      </c>
      <c r="M70" s="20" t="e">
        <f>[1]FAST_AKAZE!C42</f>
        <v>#REF!</v>
      </c>
      <c r="N70" s="20" t="e">
        <f>[1]FAST_AKAZE!C48</f>
        <v>#REF!</v>
      </c>
      <c r="O70" s="20" t="e">
        <f>[1]FAST_AKAZE!C54</f>
        <v>#REF!</v>
      </c>
      <c r="P70" s="23" t="e">
        <f t="shared" si="4"/>
        <v>#REF!</v>
      </c>
      <c r="Q70" s="23" t="e">
        <f t="shared" si="5"/>
        <v>#REF!</v>
      </c>
    </row>
    <row r="71" spans="1:17" ht="12.5" x14ac:dyDescent="0.25">
      <c r="A71" s="22" t="s">
        <v>17</v>
      </c>
      <c r="B71" s="20" t="s">
        <v>24</v>
      </c>
      <c r="C71" s="20" t="s">
        <v>19</v>
      </c>
      <c r="D71" s="20" t="s">
        <v>20</v>
      </c>
      <c r="E71" s="20" t="s">
        <v>21</v>
      </c>
      <c r="F71" s="20" t="e">
        <f>[2]FAST_SIFT!C2</f>
        <v>#REF!</v>
      </c>
      <c r="G71" s="20" t="e">
        <f>[2]FAST_SIFT!C6</f>
        <v>#REF!</v>
      </c>
      <c r="H71" s="20" t="e">
        <f>[2]FAST_SIFT!C12</f>
        <v>#REF!</v>
      </c>
      <c r="I71" s="20" t="e">
        <f>[2]FAST_SIFT!C18</f>
        <v>#REF!</v>
      </c>
      <c r="J71" s="20" t="e">
        <f>[2]FAST_SIFT!C24</f>
        <v>#REF!</v>
      </c>
      <c r="K71" s="20" t="e">
        <f>[2]FAST_SIFT!C30</f>
        <v>#REF!</v>
      </c>
      <c r="L71" s="20" t="e">
        <f>[2]FAST_SIFT!C36</f>
        <v>#REF!</v>
      </c>
      <c r="M71" s="20" t="e">
        <f>[2]FAST_SIFT!C42</f>
        <v>#REF!</v>
      </c>
      <c r="N71" s="20" t="e">
        <f>[2]FAST_SIFT!C48</f>
        <v>#REF!</v>
      </c>
      <c r="O71" s="20" t="e">
        <f>[2]FAST_SIFT!C54</f>
        <v>#REF!</v>
      </c>
      <c r="P71" s="23" t="e">
        <f t="shared" si="4"/>
        <v>#REF!</v>
      </c>
      <c r="Q71" s="23" t="e">
        <f t="shared" si="5"/>
        <v>#REF!</v>
      </c>
    </row>
    <row r="72" spans="1:17" ht="12.5" x14ac:dyDescent="0.25">
      <c r="A72" s="22" t="s">
        <v>17</v>
      </c>
      <c r="B72" s="12" t="s">
        <v>22</v>
      </c>
      <c r="C72" s="12" t="s">
        <v>19</v>
      </c>
      <c r="D72" s="12" t="s">
        <v>20</v>
      </c>
      <c r="E72" s="12" t="s">
        <v>21</v>
      </c>
      <c r="F72" s="12">
        <f ca="1">FAST_BRISK!C2</f>
        <v>1.1034900000000001</v>
      </c>
      <c r="G72" s="12">
        <f ca="1">FAST_BRISK!C6</f>
        <v>1.23143</v>
      </c>
      <c r="H72" s="12">
        <f ca="1">FAST_BRISK!C12</f>
        <v>1.03925</v>
      </c>
      <c r="I72" s="12">
        <f ca="1">FAST_BRISK!C18</f>
        <v>1.03417</v>
      </c>
      <c r="J72" s="12">
        <f ca="1">FAST_BRISK!C24</f>
        <v>0.92069500000000004</v>
      </c>
      <c r="K72" s="12">
        <f ca="1">FAST_BRISK!C30</f>
        <v>1.0154399999999999</v>
      </c>
      <c r="L72" s="12">
        <f ca="1">FAST_BRISK!C36</f>
        <v>1.0137400000000001</v>
      </c>
      <c r="M72" s="12">
        <f ca="1">FAST_BRISK!C42</f>
        <v>1.0025500000000001</v>
      </c>
      <c r="N72" s="12">
        <f ca="1">FAST_BRISK!C48</f>
        <v>0.88971800000000001</v>
      </c>
      <c r="O72" s="12">
        <f ca="1">FAST_BRISK!C54</f>
        <v>0.94604200000000005</v>
      </c>
      <c r="P72" s="13">
        <f t="shared" ca="1" si="4"/>
        <v>1.0196525000000001</v>
      </c>
      <c r="Q72" s="13">
        <f t="shared" ca="1" si="5"/>
        <v>9.7132510206132547E-2</v>
      </c>
    </row>
    <row r="73" spans="1:17" ht="12.5" x14ac:dyDescent="0.25">
      <c r="A73" s="22" t="s">
        <v>22</v>
      </c>
      <c r="B73" s="12" t="s">
        <v>28</v>
      </c>
      <c r="C73" s="12" t="s">
        <v>19</v>
      </c>
      <c r="D73" s="12" t="s">
        <v>20</v>
      </c>
      <c r="E73" s="12" t="s">
        <v>21</v>
      </c>
      <c r="F73" s="12">
        <f ca="1">BRISK_BRIEF!C2</f>
        <v>376.738</v>
      </c>
      <c r="G73" s="12">
        <f ca="1">BRISK_BRIEF!C6</f>
        <v>373.25</v>
      </c>
      <c r="H73" s="12">
        <f ca="1">BRISK_BRIEF!C12</f>
        <v>381.34</v>
      </c>
      <c r="I73" s="12">
        <f ca="1">BRISK_BRIEF!C18</f>
        <v>369.202</v>
      </c>
      <c r="J73" s="12">
        <f ca="1">BRISK_BRIEF!C24</f>
        <v>372.31200000000001</v>
      </c>
      <c r="K73" s="12">
        <f ca="1">BRISK_BRIEF!C30</f>
        <v>374.21800000000002</v>
      </c>
      <c r="L73" s="12">
        <f ca="1">BRISK_BRIEF!C36</f>
        <v>369.61399999999998</v>
      </c>
      <c r="M73" s="12">
        <f ca="1">BRISK_BRIEF!C42</f>
        <v>377.23599999999999</v>
      </c>
      <c r="N73" s="12">
        <f ca="1">BRISK_BRIEF!C48</f>
        <v>367.411</v>
      </c>
      <c r="O73" s="12">
        <f ca="1">BRISK_BRIEF!C54</f>
        <v>369.096</v>
      </c>
      <c r="P73" s="13">
        <f t="shared" ca="1" si="4"/>
        <v>373.04169999999999</v>
      </c>
      <c r="Q73" s="13">
        <f t="shared" ca="1" si="5"/>
        <v>4.4201791831453026</v>
      </c>
    </row>
    <row r="74" spans="1:17" ht="12.5" x14ac:dyDescent="0.25">
      <c r="A74" s="22" t="s">
        <v>22</v>
      </c>
      <c r="B74" s="12" t="s">
        <v>18</v>
      </c>
      <c r="C74" s="12" t="s">
        <v>19</v>
      </c>
      <c r="D74" s="12" t="s">
        <v>20</v>
      </c>
      <c r="E74" s="12" t="s">
        <v>21</v>
      </c>
      <c r="F74" s="12">
        <f ca="1">BRISK_ORB!C2</f>
        <v>383.43200000000002</v>
      </c>
      <c r="G74" s="12">
        <f ca="1">BRISK_ORB!C6</f>
        <v>366.57400000000001</v>
      </c>
      <c r="H74" s="12">
        <f ca="1">BRISK_ORB!C12</f>
        <v>368.59800000000001</v>
      </c>
      <c r="I74" s="12">
        <f ca="1">BRISK_ORB!C18</f>
        <v>365.42899999999997</v>
      </c>
      <c r="J74" s="12">
        <f ca="1">BRISK_ORB!C24</f>
        <v>366.33100000000002</v>
      </c>
      <c r="K74" s="12">
        <f ca="1">BRISK_ORB!C30</f>
        <v>365.55599999999998</v>
      </c>
      <c r="L74" s="12">
        <f ca="1">BRISK_ORB!C36</f>
        <v>364.98700000000002</v>
      </c>
      <c r="M74" s="12">
        <f ca="1">BRISK_ORB!C42</f>
        <v>366.37</v>
      </c>
      <c r="N74" s="12">
        <f ca="1">BRISK_ORB!C48</f>
        <v>365.22899999999998</v>
      </c>
      <c r="O74" s="12">
        <f ca="1">BRISK_ORB!C54</f>
        <v>370.93599999999998</v>
      </c>
      <c r="P74" s="13">
        <f t="shared" ca="1" si="4"/>
        <v>368.3442</v>
      </c>
      <c r="Q74" s="13">
        <f t="shared" ca="1" si="5"/>
        <v>5.6051098869196574</v>
      </c>
    </row>
    <row r="75" spans="1:17" ht="12.5" x14ac:dyDescent="0.25">
      <c r="A75" s="22" t="s">
        <v>22</v>
      </c>
      <c r="B75" s="12" t="s">
        <v>29</v>
      </c>
      <c r="C75" s="12" t="s">
        <v>19</v>
      </c>
      <c r="D75" s="12" t="s">
        <v>20</v>
      </c>
      <c r="E75" s="12" t="s">
        <v>21</v>
      </c>
      <c r="F75" s="12">
        <f ca="1">BRISK_FREAK!C2</f>
        <v>379.32299999999998</v>
      </c>
      <c r="G75" s="12">
        <f ca="1">BRISK_FREAK!C6</f>
        <v>369.45100000000002</v>
      </c>
      <c r="H75" s="12">
        <f ca="1">BRISK_FREAK!C12</f>
        <v>380.81299999999999</v>
      </c>
      <c r="I75" s="12">
        <f ca="1">BRISK_FREAK!C18</f>
        <v>371.38</v>
      </c>
      <c r="J75" s="12">
        <f ca="1">BRISK_FREAK!C24</f>
        <v>372.69600000000003</v>
      </c>
      <c r="K75" s="12">
        <f ca="1">BRISK_FREAK!C30</f>
        <v>375.73700000000002</v>
      </c>
      <c r="L75" s="12">
        <f ca="1">BRISK_FREAK!C36</f>
        <v>379.80700000000002</v>
      </c>
      <c r="M75" s="12">
        <f ca="1">BRISK_FREAK!C42</f>
        <v>364.60500000000002</v>
      </c>
      <c r="N75" s="12">
        <f ca="1">BRISK_FREAK!C48</f>
        <v>370.22399999999999</v>
      </c>
      <c r="O75" s="12">
        <f ca="1">BRISK_FREAK!C54</f>
        <v>375.15499999999997</v>
      </c>
      <c r="P75" s="13">
        <f t="shared" ca="1" si="4"/>
        <v>373.91910000000007</v>
      </c>
      <c r="Q75" s="13">
        <f t="shared" ca="1" si="5"/>
        <v>5.212599169320419</v>
      </c>
    </row>
    <row r="76" spans="1:17" ht="12.5" x14ac:dyDescent="0.25">
      <c r="A76" s="22" t="s">
        <v>22</v>
      </c>
      <c r="B76" s="20" t="s">
        <v>23</v>
      </c>
      <c r="C76" s="20" t="s">
        <v>19</v>
      </c>
      <c r="D76" s="20" t="s">
        <v>20</v>
      </c>
      <c r="E76" s="20" t="s">
        <v>21</v>
      </c>
      <c r="F76" s="20" t="e">
        <f>[3]BRISK_AKAZE!C2</f>
        <v>#REF!</v>
      </c>
      <c r="G76" s="20" t="e">
        <f>[3]BRISK_AKAZE!C6</f>
        <v>#REF!</v>
      </c>
      <c r="H76" s="20" t="e">
        <f>[3]BRISK_AKAZE!C12</f>
        <v>#REF!</v>
      </c>
      <c r="I76" s="20" t="e">
        <f>[3]BRISK_AKAZE!C18</f>
        <v>#REF!</v>
      </c>
      <c r="J76" s="20" t="e">
        <f>[3]BRISK_AKAZE!C24</f>
        <v>#REF!</v>
      </c>
      <c r="K76" s="20" t="e">
        <f>[3]BRISK_AKAZE!C30</f>
        <v>#REF!</v>
      </c>
      <c r="L76" s="20" t="e">
        <f>[3]BRISK_AKAZE!C36</f>
        <v>#REF!</v>
      </c>
      <c r="M76" s="20" t="e">
        <f>[3]BRISK_AKAZE!C42</f>
        <v>#REF!</v>
      </c>
      <c r="N76" s="20" t="e">
        <f>[3]BRISK_AKAZE!C48</f>
        <v>#REF!</v>
      </c>
      <c r="O76" s="20" t="e">
        <f>[3]BRISK_AKAZE!C54</f>
        <v>#REF!</v>
      </c>
      <c r="P76" s="23" t="e">
        <f t="shared" si="4"/>
        <v>#REF!</v>
      </c>
      <c r="Q76" s="23" t="e">
        <f t="shared" si="5"/>
        <v>#REF!</v>
      </c>
    </row>
    <row r="77" spans="1:17" ht="12.5" x14ac:dyDescent="0.25">
      <c r="A77" s="22" t="s">
        <v>22</v>
      </c>
      <c r="B77" s="20" t="s">
        <v>24</v>
      </c>
      <c r="C77" s="20" t="s">
        <v>19</v>
      </c>
      <c r="D77" s="20" t="s">
        <v>20</v>
      </c>
      <c r="E77" s="20" t="s">
        <v>21</v>
      </c>
      <c r="F77" s="20" t="e">
        <f>[4]BRISK_SIFT!C2</f>
        <v>#REF!</v>
      </c>
      <c r="G77" s="20" t="e">
        <f>[4]BRISK_SIFT!C6</f>
        <v>#REF!</v>
      </c>
      <c r="H77" s="20" t="e">
        <f>[4]BRISK_SIFT!C12</f>
        <v>#REF!</v>
      </c>
      <c r="I77" s="20" t="e">
        <f>[4]BRISK_SIFT!C18</f>
        <v>#REF!</v>
      </c>
      <c r="J77" s="20" t="e">
        <f>[4]BRISK_SIFT!C24</f>
        <v>#REF!</v>
      </c>
      <c r="K77" s="20" t="e">
        <f>[4]BRISK_SIFT!C30</f>
        <v>#REF!</v>
      </c>
      <c r="L77" s="20" t="e">
        <f>[4]BRISK_SIFT!C36</f>
        <v>#REF!</v>
      </c>
      <c r="M77" s="20" t="e">
        <f>[4]BRISK_SIFT!C42</f>
        <v>#REF!</v>
      </c>
      <c r="N77" s="20" t="e">
        <f>[4]BRISK_SIFT!C48</f>
        <v>#REF!</v>
      </c>
      <c r="O77" s="20" t="e">
        <f>[4]BRISK_SIFT!C54</f>
        <v>#REF!</v>
      </c>
      <c r="P77" s="23" t="e">
        <f t="shared" si="4"/>
        <v>#REF!</v>
      </c>
      <c r="Q77" s="23" t="e">
        <f t="shared" si="5"/>
        <v>#REF!</v>
      </c>
    </row>
    <row r="78" spans="1:17" ht="12.5" x14ac:dyDescent="0.25">
      <c r="A78" s="22" t="s">
        <v>22</v>
      </c>
      <c r="B78" s="12" t="s">
        <v>22</v>
      </c>
      <c r="C78" s="12" t="s">
        <v>19</v>
      </c>
      <c r="D78" s="12" t="s">
        <v>20</v>
      </c>
      <c r="E78" s="12" t="s">
        <v>21</v>
      </c>
      <c r="F78" s="12">
        <f ca="1">BRISK_BRISK!C2</f>
        <v>372.38</v>
      </c>
      <c r="G78" s="12">
        <f ca="1">BRISK_BRISK!C6</f>
        <v>374.93200000000002</v>
      </c>
      <c r="H78" s="12">
        <f ca="1">BRISK_BRISK!C12</f>
        <v>380.70800000000003</v>
      </c>
      <c r="I78" s="12">
        <f ca="1">BRISK_BRISK!C18</f>
        <v>372.00599999999997</v>
      </c>
      <c r="J78" s="12">
        <f ca="1">BRISK_BRISK!C24</f>
        <v>374.08100000000002</v>
      </c>
      <c r="K78" s="12">
        <f ca="1">BRISK_BRISK!C30</f>
        <v>376.75400000000002</v>
      </c>
      <c r="L78" s="12">
        <f ca="1">BRISK_BRISK!C36</f>
        <v>377.75200000000001</v>
      </c>
      <c r="M78" s="12">
        <f ca="1">BRISK_BRISK!C42</f>
        <v>372.65699999999998</v>
      </c>
      <c r="N78" s="12">
        <f ca="1">BRISK_BRISK!C48</f>
        <v>371.28500000000003</v>
      </c>
      <c r="O78" s="12">
        <f ca="1">BRISK_BRISK!C54</f>
        <v>369.65899999999999</v>
      </c>
      <c r="P78" s="13">
        <f t="shared" ca="1" si="4"/>
        <v>374.22140000000002</v>
      </c>
      <c r="Q78" s="13">
        <f t="shared" ca="1" si="5"/>
        <v>3.3609502690624842</v>
      </c>
    </row>
    <row r="79" spans="1:17" ht="12.5" x14ac:dyDescent="0.25">
      <c r="A79" s="42" t="s">
        <v>18</v>
      </c>
      <c r="B79" s="43" t="s">
        <v>28</v>
      </c>
      <c r="C79" s="43" t="s">
        <v>19</v>
      </c>
      <c r="D79" s="43" t="s">
        <v>20</v>
      </c>
      <c r="E79" s="43" t="s">
        <v>21</v>
      </c>
      <c r="F79" s="43">
        <f ca="1">ORB_BRIEF!C2</f>
        <v>16.636399999999998</v>
      </c>
      <c r="G79" s="43">
        <f ca="1">ORB_BRIEF!C6</f>
        <v>9.1305499999999995</v>
      </c>
      <c r="H79" s="43">
        <f ca="1">ORB_BRIEF!C12</f>
        <v>8.8758700000000008</v>
      </c>
      <c r="I79" s="43">
        <f ca="1">ORB_BRIEF!C18</f>
        <v>7.86707</v>
      </c>
      <c r="J79" s="43">
        <f ca="1">ORB_BRIEF!C24</f>
        <v>8.2759199999999993</v>
      </c>
      <c r="K79" s="43">
        <f ca="1">ORB_BRIEF!C30</f>
        <v>7.7989600000000001</v>
      </c>
      <c r="L79" s="43">
        <f ca="1">ORB_BRIEF!C36</f>
        <v>8.3280600000000007</v>
      </c>
      <c r="M79" s="43">
        <f ca="1">ORB_BRIEF!C42</f>
        <v>7.7618499999999999</v>
      </c>
      <c r="N79" s="43">
        <f ca="1">ORB_BRIEF!C48</f>
        <v>8.7557399999999994</v>
      </c>
      <c r="O79" s="43">
        <f ca="1">ORB_BRIEF!C54</f>
        <v>7.8980899999999998</v>
      </c>
      <c r="P79" s="43">
        <f t="shared" ca="1" si="4"/>
        <v>9.1328509999999987</v>
      </c>
      <c r="Q79" s="43">
        <f t="shared" ca="1" si="5"/>
        <v>2.6807807596562889</v>
      </c>
    </row>
    <row r="80" spans="1:17" ht="12.5" x14ac:dyDescent="0.25">
      <c r="A80" s="42" t="s">
        <v>18</v>
      </c>
      <c r="B80" s="43" t="s">
        <v>18</v>
      </c>
      <c r="C80" s="43" t="s">
        <v>19</v>
      </c>
      <c r="D80" s="43" t="s">
        <v>20</v>
      </c>
      <c r="E80" s="43" t="s">
        <v>21</v>
      </c>
      <c r="F80" s="43">
        <f ca="1">ORB_ORB!C2</f>
        <v>18.1173</v>
      </c>
      <c r="G80" s="43">
        <f ca="1">ORB_ORB!C6</f>
        <v>10.3253</v>
      </c>
      <c r="H80" s="43">
        <f ca="1">ORB_ORB!C12</f>
        <v>8.73977</v>
      </c>
      <c r="I80" s="43">
        <f ca="1">ORB_ORB!C18</f>
        <v>7.9011800000000001</v>
      </c>
      <c r="J80" s="43">
        <f ca="1">ORB_ORB!C24</f>
        <v>7.8984699999999997</v>
      </c>
      <c r="K80" s="43">
        <f ca="1">ORB_ORB!C30</f>
        <v>8.4458699999999993</v>
      </c>
      <c r="L80" s="43">
        <f ca="1">ORB_ORB!C36</f>
        <v>7.8373900000000001</v>
      </c>
      <c r="M80" s="43">
        <f ca="1">ORB_ORB!C42</f>
        <v>7.7005999999999997</v>
      </c>
      <c r="N80" s="43">
        <f ca="1">ORB_ORB!C48</f>
        <v>7.80199</v>
      </c>
      <c r="O80" s="43">
        <f ca="1">ORB_ORB!C54</f>
        <v>8.9044100000000004</v>
      </c>
      <c r="P80" s="43">
        <f t="shared" ca="1" si="4"/>
        <v>9.3672280000000008</v>
      </c>
      <c r="Q80" s="43">
        <f t="shared" ca="1" si="5"/>
        <v>3.1765291429406264</v>
      </c>
    </row>
    <row r="81" spans="1:17" ht="12.5" x14ac:dyDescent="0.25">
      <c r="A81" s="22" t="s">
        <v>18</v>
      </c>
      <c r="B81" s="12" t="s">
        <v>29</v>
      </c>
      <c r="C81" s="12" t="s">
        <v>19</v>
      </c>
      <c r="D81" s="12" t="s">
        <v>20</v>
      </c>
      <c r="E81" s="12" t="s">
        <v>21</v>
      </c>
      <c r="F81" s="12">
        <f ca="1">ORB_FREAK!C2</f>
        <v>11.609299999999999</v>
      </c>
      <c r="G81" s="12">
        <f ca="1">ORB_FREAK!C6</f>
        <v>10.119899999999999</v>
      </c>
      <c r="H81" s="12">
        <f ca="1">ORB_FREAK!C12</f>
        <v>8.2926699999999993</v>
      </c>
      <c r="I81" s="12">
        <f ca="1">ORB_FREAK!C18</f>
        <v>7.7692500000000004</v>
      </c>
      <c r="J81" s="12">
        <f ca="1">ORB_FREAK!C24</f>
        <v>7.9624899999999998</v>
      </c>
      <c r="K81" s="12">
        <f ca="1">ORB_FREAK!C30</f>
        <v>7.8126600000000002</v>
      </c>
      <c r="L81" s="12">
        <f ca="1">ORB_FREAK!C36</f>
        <v>7.9558</v>
      </c>
      <c r="M81" s="12">
        <f ca="1">ORB_FREAK!C42</f>
        <v>7.8606999999999996</v>
      </c>
      <c r="N81" s="12">
        <f ca="1">ORB_FREAK!C48</f>
        <v>7.82951</v>
      </c>
      <c r="O81" s="12">
        <f ca="1">ORB_FREAK!C54</f>
        <v>8.47363</v>
      </c>
      <c r="P81" s="13">
        <f t="shared" ca="1" si="4"/>
        <v>8.5685909999999996</v>
      </c>
      <c r="Q81" s="13">
        <f t="shared" ca="1" si="5"/>
        <v>1.2796796544139897</v>
      </c>
    </row>
    <row r="82" spans="1:17" ht="12.5" x14ac:dyDescent="0.25">
      <c r="A82" s="22" t="s">
        <v>18</v>
      </c>
      <c r="B82" s="20" t="s">
        <v>23</v>
      </c>
      <c r="C82" s="20" t="s">
        <v>19</v>
      </c>
      <c r="D82" s="20" t="s">
        <v>20</v>
      </c>
      <c r="E82" s="20" t="s">
        <v>21</v>
      </c>
      <c r="F82" s="20" t="e">
        <f>[5]ORB_AKAZE!C2</f>
        <v>#REF!</v>
      </c>
      <c r="G82" s="20" t="e">
        <f>[5]ORB_AKAZE!C6</f>
        <v>#REF!</v>
      </c>
      <c r="H82" s="20" t="e">
        <f>[5]ORB_AKAZE!C12</f>
        <v>#REF!</v>
      </c>
      <c r="I82" s="20" t="e">
        <f>[5]ORB_AKAZE!C18</f>
        <v>#REF!</v>
      </c>
      <c r="J82" s="20" t="e">
        <f>[5]ORB_AKAZE!C24</f>
        <v>#REF!</v>
      </c>
      <c r="K82" s="20" t="e">
        <f>[5]ORB_AKAZE!C30</f>
        <v>#REF!</v>
      </c>
      <c r="L82" s="20" t="e">
        <f>[5]ORB_AKAZE!C36</f>
        <v>#REF!</v>
      </c>
      <c r="M82" s="20" t="e">
        <f>[5]ORB_AKAZE!C42</f>
        <v>#REF!</v>
      </c>
      <c r="N82" s="20" t="e">
        <f>[5]ORB_AKAZE!C48</f>
        <v>#REF!</v>
      </c>
      <c r="O82" s="20" t="e">
        <f>[5]ORB_AKAZE!C54</f>
        <v>#REF!</v>
      </c>
      <c r="P82" s="23" t="e">
        <f t="shared" si="4"/>
        <v>#REF!</v>
      </c>
      <c r="Q82" s="23" t="e">
        <f t="shared" si="5"/>
        <v>#REF!</v>
      </c>
    </row>
    <row r="83" spans="1:17" ht="12.5" x14ac:dyDescent="0.25">
      <c r="A83" s="22" t="s">
        <v>18</v>
      </c>
      <c r="B83" s="20" t="s">
        <v>24</v>
      </c>
      <c r="C83" s="20" t="s">
        <v>19</v>
      </c>
      <c r="D83" s="20" t="s">
        <v>20</v>
      </c>
      <c r="E83" s="20" t="s">
        <v>21</v>
      </c>
      <c r="F83" s="20" t="e">
        <f>[6]ORB_SIFT!C2</f>
        <v>#REF!</v>
      </c>
      <c r="G83" s="20" t="e">
        <f>[6]ORB_SIFT!C6</f>
        <v>#REF!</v>
      </c>
      <c r="H83" s="20" t="e">
        <f>[6]ORB_SIFT!C12</f>
        <v>#REF!</v>
      </c>
      <c r="I83" s="20" t="e">
        <f>[6]ORB_SIFT!C18</f>
        <v>#REF!</v>
      </c>
      <c r="J83" s="20" t="e">
        <f>[6]ORB_SIFT!C24</f>
        <v>#REF!</v>
      </c>
      <c r="K83" s="20" t="e">
        <f>[6]ORB_SIFT!C30</f>
        <v>#REF!</v>
      </c>
      <c r="L83" s="20" t="e">
        <f>[6]ORB_SIFT!C36</f>
        <v>#REF!</v>
      </c>
      <c r="M83" s="20" t="e">
        <f>[6]ORB_SIFT!C42</f>
        <v>#REF!</v>
      </c>
      <c r="N83" s="20" t="e">
        <f>[6]ORB_SIFT!C48</f>
        <v>#REF!</v>
      </c>
      <c r="O83" s="20" t="e">
        <f>[6]ORB_SIFT!C54</f>
        <v>#REF!</v>
      </c>
      <c r="P83" s="23" t="e">
        <f t="shared" si="4"/>
        <v>#REF!</v>
      </c>
      <c r="Q83" s="23" t="e">
        <f t="shared" si="5"/>
        <v>#REF!</v>
      </c>
    </row>
    <row r="84" spans="1:17" ht="12.5" x14ac:dyDescent="0.25">
      <c r="A84" s="22" t="s">
        <v>18</v>
      </c>
      <c r="B84" s="12" t="s">
        <v>22</v>
      </c>
      <c r="C84" s="12" t="s">
        <v>19</v>
      </c>
      <c r="D84" s="12" t="s">
        <v>20</v>
      </c>
      <c r="E84" s="12" t="s">
        <v>21</v>
      </c>
      <c r="F84" s="12">
        <f ca="1">ORB_BRISK!C2</f>
        <v>13.1043</v>
      </c>
      <c r="G84" s="12">
        <f ca="1">ORB_BRISK!C6</f>
        <v>9.4893900000000002</v>
      </c>
      <c r="H84" s="12">
        <f ca="1">ORB_BRISK!C12</f>
        <v>8.90733</v>
      </c>
      <c r="I84" s="12">
        <f ca="1">ORB_BRISK!C18</f>
        <v>7.7269199999999998</v>
      </c>
      <c r="J84" s="12">
        <f ca="1">ORB_BRISK!C24</f>
        <v>8.0894899999999996</v>
      </c>
      <c r="K84" s="12">
        <f ca="1">ORB_BRISK!C30</f>
        <v>7.9133300000000002</v>
      </c>
      <c r="L84" s="12">
        <f ca="1">ORB_BRISK!C36</f>
        <v>7.8618699999999997</v>
      </c>
      <c r="M84" s="12">
        <f ca="1">ORB_BRISK!C42</f>
        <v>7.8419299999999996</v>
      </c>
      <c r="N84" s="12">
        <f ca="1">ORB_BRISK!C48</f>
        <v>8.05518</v>
      </c>
      <c r="O84" s="12">
        <f ca="1">ORB_BRISK!C54</f>
        <v>8.1331500000000005</v>
      </c>
      <c r="P84" s="13">
        <f t="shared" ca="1" si="4"/>
        <v>8.7122890000000019</v>
      </c>
      <c r="Q84" s="13">
        <f t="shared" ca="1" si="5"/>
        <v>1.6389964818581249</v>
      </c>
    </row>
    <row r="85" spans="1:17" ht="12.5" x14ac:dyDescent="0.25">
      <c r="A85" s="22" t="s">
        <v>23</v>
      </c>
      <c r="B85" s="12" t="s">
        <v>28</v>
      </c>
      <c r="C85" s="12" t="s">
        <v>19</v>
      </c>
      <c r="D85" s="12" t="s">
        <v>20</v>
      </c>
      <c r="E85" s="12" t="s">
        <v>21</v>
      </c>
      <c r="F85" s="12">
        <f ca="1">AKAZE_BRIEF!C2</f>
        <v>122.121</v>
      </c>
      <c r="G85" s="12">
        <f ca="1">AKAZE_BRIEF!C6</f>
        <v>109.79900000000001</v>
      </c>
      <c r="H85" s="12">
        <f ca="1">AKAZE_BRIEF!C12</f>
        <v>110.65900000000001</v>
      </c>
      <c r="I85" s="12">
        <f ca="1">AKAZE_BRIEF!C18</f>
        <v>106.991</v>
      </c>
      <c r="J85" s="12">
        <f ca="1">AKAZE_BRIEF!C24</f>
        <v>105.48</v>
      </c>
      <c r="K85" s="12">
        <f ca="1">AKAZE_BRIEF!C30</f>
        <v>106.59399999999999</v>
      </c>
      <c r="L85" s="12">
        <f ca="1">AKAZE_BRIEF!C36</f>
        <v>106.36199999999999</v>
      </c>
      <c r="M85" s="12">
        <f ca="1">AKAZE_BRIEF!C42</f>
        <v>113.354</v>
      </c>
      <c r="N85" s="12">
        <f ca="1">AKAZE_BRIEF!C48</f>
        <v>109.325</v>
      </c>
      <c r="O85" s="12">
        <f ca="1">AKAZE_BRIEF!C54</f>
        <v>107.77800000000001</v>
      </c>
      <c r="P85" s="13">
        <f t="shared" ca="1" si="4"/>
        <v>109.8463</v>
      </c>
      <c r="Q85" s="13">
        <f t="shared" ca="1" si="5"/>
        <v>4.9229583709617346</v>
      </c>
    </row>
    <row r="86" spans="1:17" ht="12.5" x14ac:dyDescent="0.25">
      <c r="A86" s="22" t="s">
        <v>23</v>
      </c>
      <c r="B86" s="12" t="s">
        <v>18</v>
      </c>
      <c r="C86" s="12" t="s">
        <v>19</v>
      </c>
      <c r="D86" s="12" t="s">
        <v>20</v>
      </c>
      <c r="E86" s="12" t="s">
        <v>21</v>
      </c>
      <c r="F86" s="12">
        <f ca="1">AKAZE_ORB!C2</f>
        <v>115.215</v>
      </c>
      <c r="G86" s="12">
        <f ca="1">AKAZE_ORB!C6</f>
        <v>107.965</v>
      </c>
      <c r="H86" s="12">
        <f ca="1">AKAZE_ORB!C12</f>
        <v>110.881</v>
      </c>
      <c r="I86" s="12">
        <f ca="1">AKAZE_ORB!C18</f>
        <v>107.291</v>
      </c>
      <c r="J86" s="12">
        <f ca="1">AKAZE_ORB!C24</f>
        <v>110.185</v>
      </c>
      <c r="K86" s="12">
        <f ca="1">AKAZE_ORB!C30</f>
        <v>107.999</v>
      </c>
      <c r="L86" s="12">
        <f ca="1">AKAZE_ORB!C36</f>
        <v>106.59699999999999</v>
      </c>
      <c r="M86" s="12">
        <f ca="1">AKAZE_ORB!C42</f>
        <v>107.208</v>
      </c>
      <c r="N86" s="12">
        <f ca="1">AKAZE_ORB!C48</f>
        <v>106.998</v>
      </c>
      <c r="O86" s="12">
        <f ca="1">AKAZE_ORB!C54</f>
        <v>108.723</v>
      </c>
      <c r="P86" s="13">
        <f t="shared" ca="1" si="4"/>
        <v>108.90620000000001</v>
      </c>
      <c r="Q86" s="13">
        <f t="shared" ca="1" si="5"/>
        <v>2.615019430563037</v>
      </c>
    </row>
    <row r="87" spans="1:17" ht="12.5" x14ac:dyDescent="0.25">
      <c r="A87" s="22" t="s">
        <v>23</v>
      </c>
      <c r="B87" s="12" t="s">
        <v>29</v>
      </c>
      <c r="C87" s="12" t="s">
        <v>19</v>
      </c>
      <c r="D87" s="12" t="s">
        <v>20</v>
      </c>
      <c r="E87" s="12" t="s">
        <v>21</v>
      </c>
      <c r="F87" s="12">
        <f ca="1">AKAZE_FREAK!C2</f>
        <v>110.733</v>
      </c>
      <c r="G87" s="12">
        <f ca="1">AKAZE_FREAK!C6</f>
        <v>104.694</v>
      </c>
      <c r="H87" s="12">
        <f ca="1">AKAZE_FREAK!C12</f>
        <v>111.798</v>
      </c>
      <c r="I87" s="12">
        <f ca="1">AKAZE_FREAK!C18</f>
        <v>104.65600000000001</v>
      </c>
      <c r="J87" s="12">
        <f ca="1">AKAZE_FREAK!C24</f>
        <v>102.417</v>
      </c>
      <c r="K87" s="12">
        <f ca="1">AKAZE_FREAK!C30</f>
        <v>105.018</v>
      </c>
      <c r="L87" s="12">
        <f ca="1">AKAZE_FREAK!C36</f>
        <v>111.747</v>
      </c>
      <c r="M87" s="12">
        <f ca="1">AKAZE_FREAK!C42</f>
        <v>102.166</v>
      </c>
      <c r="N87" s="12">
        <f ca="1">AKAZE_FREAK!C48</f>
        <v>99.458699999999993</v>
      </c>
      <c r="O87" s="12">
        <f ca="1">AKAZE_FREAK!C54</f>
        <v>104.349</v>
      </c>
      <c r="P87" s="13">
        <f t="shared" ca="1" si="4"/>
        <v>105.70367000000002</v>
      </c>
      <c r="Q87" s="13">
        <f t="shared" ca="1" si="5"/>
        <v>4.2907670254603421</v>
      </c>
    </row>
    <row r="88" spans="1:17" ht="12.5" x14ac:dyDescent="0.25">
      <c r="A88" s="22" t="s">
        <v>23</v>
      </c>
      <c r="B88" s="12" t="s">
        <v>23</v>
      </c>
      <c r="C88" s="12" t="s">
        <v>19</v>
      </c>
      <c r="D88" s="12" t="s">
        <v>20</v>
      </c>
      <c r="E88" s="12" t="s">
        <v>21</v>
      </c>
      <c r="F88" s="12">
        <f ca="1">AKAZE_AKAZE!C2</f>
        <v>112.078</v>
      </c>
      <c r="G88" s="12">
        <f ca="1">AKAZE_AKAZE!C6</f>
        <v>97.374600000000001</v>
      </c>
      <c r="H88" s="12">
        <f ca="1">AKAZE_AKAZE!C12</f>
        <v>106.78400000000001</v>
      </c>
      <c r="I88" s="12">
        <f ca="1">AKAZE_AKAZE!C18</f>
        <v>106.151</v>
      </c>
      <c r="J88" s="12">
        <f ca="1">AKAZE_AKAZE!C24</f>
        <v>104.001</v>
      </c>
      <c r="K88" s="12">
        <f ca="1">AKAZE_AKAZE!C30</f>
        <v>102.742</v>
      </c>
      <c r="L88" s="12">
        <f ca="1">AKAZE_AKAZE!C36</f>
        <v>100.76300000000001</v>
      </c>
      <c r="M88" s="12">
        <f ca="1">AKAZE_AKAZE!C42</f>
        <v>103.04300000000001</v>
      </c>
      <c r="N88" s="12">
        <f ca="1">AKAZE_AKAZE!C48</f>
        <v>102.831</v>
      </c>
      <c r="O88" s="12">
        <f ca="1">AKAZE_AKAZE!C54</f>
        <v>102.245</v>
      </c>
      <c r="P88" s="13">
        <f t="shared" ca="1" si="4"/>
        <v>103.80126</v>
      </c>
      <c r="Q88" s="13">
        <f t="shared" ca="1" si="5"/>
        <v>3.9236555982626422</v>
      </c>
    </row>
    <row r="89" spans="1:17" ht="12.5" x14ac:dyDescent="0.25">
      <c r="A89" s="22" t="s">
        <v>23</v>
      </c>
      <c r="B89" s="20" t="s">
        <v>24</v>
      </c>
      <c r="C89" s="20" t="s">
        <v>19</v>
      </c>
      <c r="D89" s="20" t="s">
        <v>20</v>
      </c>
      <c r="E89" s="20" t="s">
        <v>21</v>
      </c>
      <c r="F89" s="20" t="e">
        <f>[7]AKAZE_SIFT!C2</f>
        <v>#REF!</v>
      </c>
      <c r="G89" s="20" t="e">
        <f>[7]AKAZE_SIFT!C6</f>
        <v>#REF!</v>
      </c>
      <c r="H89" s="20" t="e">
        <f>[7]AKAZE_SIFT!C12</f>
        <v>#REF!</v>
      </c>
      <c r="I89" s="20" t="e">
        <f>[7]AKAZE_SIFT!C18</f>
        <v>#REF!</v>
      </c>
      <c r="J89" s="20" t="e">
        <f>[7]AKAZE_SIFT!C24</f>
        <v>#REF!</v>
      </c>
      <c r="K89" s="20" t="e">
        <f>[7]AKAZE_SIFT!C30</f>
        <v>#REF!</v>
      </c>
      <c r="L89" s="20" t="e">
        <f>[7]AKAZE_SIFT!C36</f>
        <v>#REF!</v>
      </c>
      <c r="M89" s="20" t="e">
        <f>[7]AKAZE_SIFT!C42</f>
        <v>#REF!</v>
      </c>
      <c r="N89" s="20" t="e">
        <f>[7]AKAZE_SIFT!C48</f>
        <v>#REF!</v>
      </c>
      <c r="O89" s="20" t="e">
        <f>[7]AKAZE_SIFT!C54</f>
        <v>#REF!</v>
      </c>
      <c r="P89" s="23" t="e">
        <f t="shared" si="4"/>
        <v>#REF!</v>
      </c>
      <c r="Q89" s="23" t="e">
        <f t="shared" si="5"/>
        <v>#REF!</v>
      </c>
    </row>
    <row r="90" spans="1:17" ht="12.5" x14ac:dyDescent="0.25">
      <c r="A90" s="22" t="s">
        <v>23</v>
      </c>
      <c r="B90" s="12" t="s">
        <v>22</v>
      </c>
      <c r="C90" s="12" t="s">
        <v>19</v>
      </c>
      <c r="D90" s="12" t="s">
        <v>20</v>
      </c>
      <c r="E90" s="12" t="s">
        <v>21</v>
      </c>
      <c r="F90" s="12">
        <f ca="1">AKAZE_BRISK!C2</f>
        <v>116.777</v>
      </c>
      <c r="G90" s="12">
        <f ca="1">AKAZE_BRISK!C6</f>
        <v>111.307</v>
      </c>
      <c r="H90" s="12">
        <f ca="1">AKAZE_BRISK!C12</f>
        <v>108.57</v>
      </c>
      <c r="I90" s="12">
        <f ca="1">AKAZE_BRISK!C18</f>
        <v>108.99</v>
      </c>
      <c r="J90" s="12">
        <f ca="1">AKAZE_BRISK!C24</f>
        <v>110.39100000000001</v>
      </c>
      <c r="K90" s="12">
        <f ca="1">AKAZE_BRISK!C30</f>
        <v>106.70399999999999</v>
      </c>
      <c r="L90" s="12">
        <f ca="1">AKAZE_BRISK!C36</f>
        <v>107.03700000000001</v>
      </c>
      <c r="M90" s="12">
        <f ca="1">AKAZE_BRISK!C42</f>
        <v>108.60299999999999</v>
      </c>
      <c r="N90" s="12">
        <f ca="1">AKAZE_BRISK!C48</f>
        <v>107.545</v>
      </c>
      <c r="O90" s="12">
        <f ca="1">AKAZE_BRISK!C54</f>
        <v>106.151</v>
      </c>
      <c r="P90" s="13">
        <f t="shared" ca="1" si="4"/>
        <v>109.20749999999998</v>
      </c>
      <c r="Q90" s="13">
        <f t="shared" ca="1" si="5"/>
        <v>3.1092999658729914</v>
      </c>
    </row>
    <row r="91" spans="1:17" ht="12.5" x14ac:dyDescent="0.25">
      <c r="A91" s="22" t="s">
        <v>24</v>
      </c>
      <c r="B91" s="20" t="s">
        <v>28</v>
      </c>
      <c r="C91" s="27" t="s">
        <v>19</v>
      </c>
      <c r="D91" s="28" t="s">
        <v>25</v>
      </c>
      <c r="E91" s="28" t="s">
        <v>21</v>
      </c>
      <c r="F91" s="20" t="e">
        <f>[8]SIFT_BRIEF!C2</f>
        <v>#REF!</v>
      </c>
      <c r="G91" s="20" t="e">
        <f>[8]SIFT_BRIEF!C6</f>
        <v>#REF!</v>
      </c>
      <c r="H91" s="20" t="e">
        <f>[8]SIFT_BRIEF!C12</f>
        <v>#REF!</v>
      </c>
      <c r="I91" s="20" t="e">
        <f>[8]SIFT_BRIEF!C18</f>
        <v>#REF!</v>
      </c>
      <c r="J91" s="20" t="e">
        <f>[8]SIFT_BRIEF!C24</f>
        <v>#REF!</v>
      </c>
      <c r="K91" s="20" t="e">
        <f>[8]SIFT_BRIEF!C30</f>
        <v>#REF!</v>
      </c>
      <c r="L91" s="20" t="e">
        <f>[8]SIFT_BRIEF!C36</f>
        <v>#REF!</v>
      </c>
      <c r="M91" s="20" t="e">
        <f>[8]SIFT_BRIEF!C42</f>
        <v>#REF!</v>
      </c>
      <c r="N91" s="20" t="e">
        <f>[8]SIFT_BRIEF!C48</f>
        <v>#REF!</v>
      </c>
      <c r="O91" s="20" t="e">
        <f>[8]SIFT_BRIEF!C54</f>
        <v>#REF!</v>
      </c>
      <c r="P91" s="23" t="e">
        <f t="shared" si="4"/>
        <v>#REF!</v>
      </c>
      <c r="Q91" s="23" t="e">
        <f t="shared" si="5"/>
        <v>#REF!</v>
      </c>
    </row>
    <row r="92" spans="1:17" ht="12.5" x14ac:dyDescent="0.25">
      <c r="A92" s="22" t="s">
        <v>24</v>
      </c>
      <c r="B92" s="20" t="s">
        <v>18</v>
      </c>
      <c r="C92" s="27" t="s">
        <v>19</v>
      </c>
      <c r="D92" s="28" t="s">
        <v>25</v>
      </c>
      <c r="E92" s="28" t="s">
        <v>21</v>
      </c>
      <c r="F92" s="20" t="e">
        <f>[9]SIFT_ORB!C2</f>
        <v>#REF!</v>
      </c>
      <c r="G92" s="20" t="e">
        <f>[9]SIFT_ORB!C6</f>
        <v>#REF!</v>
      </c>
      <c r="H92" s="20" t="e">
        <f>[9]SIFT_ORB!C12</f>
        <v>#REF!</v>
      </c>
      <c r="I92" s="20" t="e">
        <f>[9]SIFT_ORB!C18</f>
        <v>#REF!</v>
      </c>
      <c r="J92" s="20" t="e">
        <f>[9]SIFT_ORB!C24</f>
        <v>#REF!</v>
      </c>
      <c r="K92" s="20" t="e">
        <f>[9]SIFT_ORB!C30</f>
        <v>#REF!</v>
      </c>
      <c r="L92" s="20" t="e">
        <f>[9]SIFT_ORB!C36</f>
        <v>#REF!</v>
      </c>
      <c r="M92" s="20" t="e">
        <f>[9]SIFT_ORB!C42</f>
        <v>#REF!</v>
      </c>
      <c r="N92" s="20" t="e">
        <f>[9]SIFT_ORB!C48</f>
        <v>#REF!</v>
      </c>
      <c r="O92" s="20" t="e">
        <f>[9]SIFT_ORB!C54</f>
        <v>#REF!</v>
      </c>
      <c r="P92" s="23" t="e">
        <f t="shared" si="4"/>
        <v>#REF!</v>
      </c>
      <c r="Q92" s="23" t="e">
        <f t="shared" si="5"/>
        <v>#REF!</v>
      </c>
    </row>
    <row r="93" spans="1:17" ht="12.5" x14ac:dyDescent="0.25">
      <c r="A93" s="22" t="s">
        <v>24</v>
      </c>
      <c r="B93" s="20" t="s">
        <v>29</v>
      </c>
      <c r="C93" s="27" t="s">
        <v>19</v>
      </c>
      <c r="D93" s="28" t="s">
        <v>25</v>
      </c>
      <c r="E93" s="28" t="s">
        <v>21</v>
      </c>
      <c r="F93" s="20" t="e">
        <f>[10]SIFT_FREAK!C2</f>
        <v>#REF!</v>
      </c>
      <c r="G93" s="20" t="e">
        <f>[10]SIFT_FREAK!C6</f>
        <v>#REF!</v>
      </c>
      <c r="H93" s="20" t="e">
        <f>[10]SIFT_FREAK!C12</f>
        <v>#REF!</v>
      </c>
      <c r="I93" s="20" t="e">
        <f>[10]SIFT_FREAK!C18</f>
        <v>#REF!</v>
      </c>
      <c r="J93" s="20" t="e">
        <f>[10]SIFT_FREAK!C24</f>
        <v>#REF!</v>
      </c>
      <c r="K93" s="20" t="e">
        <f>[10]SIFT_FREAK!C30</f>
        <v>#REF!</v>
      </c>
      <c r="L93" s="20" t="e">
        <f>[10]SIFT_FREAK!C36</f>
        <v>#REF!</v>
      </c>
      <c r="M93" s="20" t="e">
        <f>[10]SIFT_FREAK!C42</f>
        <v>#REF!</v>
      </c>
      <c r="N93" s="20" t="e">
        <f>[10]SIFT_FREAK!C48</f>
        <v>#REF!</v>
      </c>
      <c r="O93" s="20" t="e">
        <f>[10]SIFT_FREAK!C54</f>
        <v>#REF!</v>
      </c>
      <c r="P93" s="23" t="e">
        <f t="shared" si="4"/>
        <v>#REF!</v>
      </c>
      <c r="Q93" s="23" t="e">
        <f t="shared" si="5"/>
        <v>#REF!</v>
      </c>
    </row>
    <row r="94" spans="1:17" ht="12.5" x14ac:dyDescent="0.25">
      <c r="A94" s="22" t="s">
        <v>24</v>
      </c>
      <c r="B94" s="20" t="s">
        <v>23</v>
      </c>
      <c r="C94" s="27" t="s">
        <v>19</v>
      </c>
      <c r="D94" s="28" t="s">
        <v>25</v>
      </c>
      <c r="E94" s="28" t="s">
        <v>21</v>
      </c>
      <c r="F94" s="20" t="e">
        <f>[11]SIFT_AKAZE!C2</f>
        <v>#REF!</v>
      </c>
      <c r="G94" s="20" t="e">
        <f>[11]SIFT_AKAZE!C6</f>
        <v>#REF!</v>
      </c>
      <c r="H94" s="20" t="e">
        <f>[11]SIFT_AKAZE!C12</f>
        <v>#REF!</v>
      </c>
      <c r="I94" s="20" t="e">
        <f>[11]SIFT_AKAZE!C18</f>
        <v>#REF!</v>
      </c>
      <c r="J94" s="20" t="e">
        <f>[11]SIFT_AKAZE!C24</f>
        <v>#REF!</v>
      </c>
      <c r="K94" s="20" t="e">
        <f>[11]SIFT_AKAZE!C30</f>
        <v>#REF!</v>
      </c>
      <c r="L94" s="20" t="e">
        <f>[11]SIFT_AKAZE!C36</f>
        <v>#REF!</v>
      </c>
      <c r="M94" s="20" t="e">
        <f>[11]SIFT_AKAZE!C42</f>
        <v>#REF!</v>
      </c>
      <c r="N94" s="20" t="e">
        <f>[11]SIFT_AKAZE!C48</f>
        <v>#REF!</v>
      </c>
      <c r="O94" s="20" t="e">
        <f>[11]SIFT_AKAZE!C54</f>
        <v>#REF!</v>
      </c>
      <c r="P94" s="23" t="e">
        <f t="shared" si="4"/>
        <v>#REF!</v>
      </c>
      <c r="Q94" s="23" t="e">
        <f t="shared" si="5"/>
        <v>#REF!</v>
      </c>
    </row>
    <row r="95" spans="1:17" ht="12.5" x14ac:dyDescent="0.25">
      <c r="A95" s="22" t="s">
        <v>24</v>
      </c>
      <c r="B95" s="12" t="s">
        <v>24</v>
      </c>
      <c r="C95" s="29" t="s">
        <v>19</v>
      </c>
      <c r="D95" s="30" t="s">
        <v>25</v>
      </c>
      <c r="E95" s="31" t="s">
        <v>21</v>
      </c>
      <c r="F95" s="12">
        <f ca="1">SIFT_SIFT!C2</f>
        <v>184.57400000000001</v>
      </c>
      <c r="G95" s="12">
        <f ca="1">SIFT_SIFT!C6</f>
        <v>136.68799999999999</v>
      </c>
      <c r="H95" s="12">
        <f ca="1">SIFT_SIFT!C12</f>
        <v>155.113</v>
      </c>
      <c r="I95" s="12">
        <f ca="1">SIFT_SIFT!C18</f>
        <v>137.529</v>
      </c>
      <c r="J95" s="12">
        <f ca="1">SIFT_SIFT!C24</f>
        <v>146.50299999999999</v>
      </c>
      <c r="K95" s="12">
        <f ca="1">SIFT_SIFT!C30</f>
        <v>136.148</v>
      </c>
      <c r="L95" s="12">
        <f ca="1">SIFT_SIFT!C36</f>
        <v>136.649</v>
      </c>
      <c r="M95" s="12">
        <f ca="1">SIFT_SIFT!C42</f>
        <v>135.73599999999999</v>
      </c>
      <c r="N95" s="12">
        <f ca="1">SIFT_SIFT!C48</f>
        <v>135.55699999999999</v>
      </c>
      <c r="O95" s="12">
        <f ca="1">SIFT_SIFT!C54</f>
        <v>135.54400000000001</v>
      </c>
      <c r="P95" s="13">
        <f t="shared" ca="1" si="4"/>
        <v>144.00410000000002</v>
      </c>
      <c r="Q95" s="13">
        <f t="shared" ca="1" si="5"/>
        <v>15.628056170091973</v>
      </c>
    </row>
    <row r="96" spans="1:17" ht="12.5" x14ac:dyDescent="0.25">
      <c r="A96" s="49" t="s">
        <v>24</v>
      </c>
      <c r="B96" s="48" t="s">
        <v>22</v>
      </c>
      <c r="C96" s="27" t="s">
        <v>19</v>
      </c>
      <c r="D96" s="28" t="s">
        <v>25</v>
      </c>
      <c r="E96" s="28" t="s">
        <v>21</v>
      </c>
      <c r="F96" s="20" t="e">
        <f>[12]SIFT_BRISK!C2</f>
        <v>#REF!</v>
      </c>
      <c r="G96" s="20" t="e">
        <f>[12]SIFT_BRISK!C6</f>
        <v>#REF!</v>
      </c>
      <c r="H96" s="20" t="e">
        <f>[12]SIFT_BRISK!C12</f>
        <v>#REF!</v>
      </c>
      <c r="I96" s="20" t="e">
        <f>[12]SIFT_BRISK!C18</f>
        <v>#REF!</v>
      </c>
      <c r="J96" s="20" t="e">
        <f>[12]SIFT_BRISK!C24</f>
        <v>#REF!</v>
      </c>
      <c r="K96" s="20" t="e">
        <f>[12]SIFT_BRISK!C30</f>
        <v>#REF!</v>
      </c>
      <c r="L96" s="20" t="e">
        <f>[12]SIFT_BRISK!C36</f>
        <v>#REF!</v>
      </c>
      <c r="M96" s="20" t="e">
        <f>[12]SIFT_BRISK!C42</f>
        <v>#REF!</v>
      </c>
      <c r="N96" s="20" t="e">
        <f>[12]SIFT_BRISK!C48</f>
        <v>#REF!</v>
      </c>
      <c r="O96" s="20" t="e">
        <f>[12]SIFT_BRISK!C54</f>
        <v>#REF!</v>
      </c>
      <c r="P96" s="23" t="e">
        <f t="shared" si="4"/>
        <v>#REF!</v>
      </c>
      <c r="Q96" s="23" t="e">
        <f t="shared" si="5"/>
        <v>#REF!</v>
      </c>
    </row>
    <row r="97" spans="1:1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7" ht="13" x14ac:dyDescent="0.25">
      <c r="A98" s="17" t="s">
        <v>32</v>
      </c>
      <c r="B98" s="15"/>
      <c r="C98" s="15"/>
      <c r="D98" s="15"/>
      <c r="E98" s="10" t="s">
        <v>11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ht="12.5" x14ac:dyDescent="0.25">
      <c r="A99" s="38" t="s">
        <v>12</v>
      </c>
      <c r="B99" s="40" t="s">
        <v>13</v>
      </c>
      <c r="C99" s="40" t="s">
        <v>14</v>
      </c>
      <c r="D99" s="41" t="s">
        <v>702</v>
      </c>
      <c r="E99" s="41" t="s">
        <v>703</v>
      </c>
      <c r="F99" s="35" t="s">
        <v>15</v>
      </c>
      <c r="G99" s="36"/>
      <c r="H99" s="36"/>
      <c r="I99" s="36"/>
      <c r="J99" s="36"/>
      <c r="K99" s="36"/>
      <c r="L99" s="36"/>
      <c r="M99" s="36"/>
      <c r="N99" s="36"/>
      <c r="O99" s="37"/>
      <c r="P99" s="40" t="s">
        <v>16</v>
      </c>
      <c r="Q99" s="41" t="s">
        <v>704</v>
      </c>
    </row>
    <row r="100" spans="1:17" ht="12.5" x14ac:dyDescent="0.25">
      <c r="A100" s="39"/>
      <c r="B100" s="39"/>
      <c r="C100" s="39"/>
      <c r="D100" s="39"/>
      <c r="E100" s="39"/>
      <c r="F100" s="11">
        <v>1</v>
      </c>
      <c r="G100" s="11">
        <v>2</v>
      </c>
      <c r="H100" s="11">
        <v>3</v>
      </c>
      <c r="I100" s="11">
        <v>4</v>
      </c>
      <c r="J100" s="11">
        <v>5</v>
      </c>
      <c r="K100" s="11">
        <v>6</v>
      </c>
      <c r="L100" s="11">
        <v>7</v>
      </c>
      <c r="M100" s="11">
        <v>8</v>
      </c>
      <c r="N100" s="11">
        <v>9</v>
      </c>
      <c r="O100" s="11">
        <v>10</v>
      </c>
      <c r="P100" s="39"/>
      <c r="Q100" s="39"/>
    </row>
    <row r="101" spans="1:17" ht="12.5" x14ac:dyDescent="0.25">
      <c r="A101" s="18" t="s">
        <v>17</v>
      </c>
      <c r="B101" s="19" t="s">
        <v>28</v>
      </c>
      <c r="C101" s="19" t="s">
        <v>19</v>
      </c>
      <c r="D101" s="19" t="s">
        <v>20</v>
      </c>
      <c r="E101" s="19" t="s">
        <v>21</v>
      </c>
      <c r="F101" s="19">
        <f ca="1">FAST_BRIEF!C4</f>
        <v>9.3127099999999992</v>
      </c>
      <c r="G101" s="19">
        <f ca="1">FAST_BRIEF!C8</f>
        <v>1.6151599999999999</v>
      </c>
      <c r="H101" s="19">
        <f ca="1">FAST_BRIEF!C14</f>
        <v>1.61252</v>
      </c>
      <c r="I101" s="19">
        <f ca="1">FAST_BRIEF!C20</f>
        <v>0.86805100000000002</v>
      </c>
      <c r="J101" s="19">
        <f ca="1">FAST_BRIEF!C26</f>
        <v>0.79213599999999995</v>
      </c>
      <c r="K101" s="19">
        <f ca="1">FAST_BRIEF!C32</f>
        <v>1.07331</v>
      </c>
      <c r="L101" s="19">
        <f ca="1">FAST_BRIEF!C38</f>
        <v>0.94819600000000004</v>
      </c>
      <c r="M101" s="19">
        <f ca="1">FAST_BRIEF!C44</f>
        <v>0.90450399999999997</v>
      </c>
      <c r="N101" s="19">
        <f ca="1">FAST_BRIEF!C50</f>
        <v>0.79992099999999999</v>
      </c>
      <c r="O101" s="19">
        <f ca="1">FAST_BRIEF!C56</f>
        <v>1.66265</v>
      </c>
      <c r="P101" s="21">
        <f t="shared" ref="P101:P130" ca="1" si="6">AVERAGE(F101:O101)</f>
        <v>1.9589157999999998</v>
      </c>
      <c r="Q101" s="21">
        <f t="shared" ref="Q101:Q130" ca="1" si="7">STDEV(F101:O101)</f>
        <v>2.6080321894650678</v>
      </c>
    </row>
    <row r="102" spans="1:17" ht="12.5" x14ac:dyDescent="0.25">
      <c r="A102" s="18" t="s">
        <v>17</v>
      </c>
      <c r="B102" s="21" t="s">
        <v>18</v>
      </c>
      <c r="C102" s="21" t="s">
        <v>19</v>
      </c>
      <c r="D102" s="21" t="s">
        <v>20</v>
      </c>
      <c r="E102" s="21" t="s">
        <v>21</v>
      </c>
      <c r="F102" s="21">
        <f ca="1">FAST_ORB!C4</f>
        <v>2.6280299999999999</v>
      </c>
      <c r="G102" s="21">
        <f ca="1">FAST_ORB!C8</f>
        <v>1.4030499999999999</v>
      </c>
      <c r="H102" s="21">
        <f ca="1">FAST_ORB!C14</f>
        <v>1.7066399999999999</v>
      </c>
      <c r="I102" s="21">
        <f ca="1">FAST_ORB!C20</f>
        <v>1.89367</v>
      </c>
      <c r="J102" s="26">
        <f ca="1">FAST_ORB!C26</f>
        <v>1.4339999999999999</v>
      </c>
      <c r="K102" s="21">
        <f ca="1">FAST_ORB!C32</f>
        <v>1.1691</v>
      </c>
      <c r="L102" s="21">
        <f ca="1">FAST_ORB!C38</f>
        <v>1.1846099999999999</v>
      </c>
      <c r="M102" s="21">
        <f ca="1">FAST_ORB!C44</f>
        <v>1.1670700000000001</v>
      </c>
      <c r="N102" s="21">
        <f ca="1">FAST_ORB!C50</f>
        <v>1.09971</v>
      </c>
      <c r="O102" s="21">
        <f ca="1">FAST_ORB!C56</f>
        <v>1.3897299999999999</v>
      </c>
      <c r="P102" s="21">
        <f t="shared" ca="1" si="6"/>
        <v>1.5075609999999999</v>
      </c>
      <c r="Q102" s="21">
        <f t="shared" ca="1" si="7"/>
        <v>0.46850958233886025</v>
      </c>
    </row>
    <row r="103" spans="1:17" ht="12.5" x14ac:dyDescent="0.25">
      <c r="A103" s="44" t="s">
        <v>17</v>
      </c>
      <c r="B103" s="45" t="s">
        <v>29</v>
      </c>
      <c r="C103" s="45" t="s">
        <v>19</v>
      </c>
      <c r="D103" s="45" t="s">
        <v>20</v>
      </c>
      <c r="E103" s="45" t="s">
        <v>21</v>
      </c>
      <c r="F103" s="45">
        <f ca="1">FAST_FREAK!C4</f>
        <v>48.945999999999998</v>
      </c>
      <c r="G103" s="45">
        <f ca="1">FAST_FREAK!C8</f>
        <v>46.407200000000003</v>
      </c>
      <c r="H103" s="45">
        <f ca="1">FAST_FREAK!C14</f>
        <v>46.156700000000001</v>
      </c>
      <c r="I103" s="45">
        <f ca="1">FAST_FREAK!C20</f>
        <v>43.717599999999997</v>
      </c>
      <c r="J103" s="45">
        <f ca="1">FAST_FREAK!C26</f>
        <v>45.5244</v>
      </c>
      <c r="K103" s="45">
        <f ca="1">FAST_FREAK!C32</f>
        <v>43.684699999999999</v>
      </c>
      <c r="L103" s="45">
        <f ca="1">FAST_FREAK!C38</f>
        <v>43.3003</v>
      </c>
      <c r="M103" s="45">
        <f ca="1">FAST_FREAK!C44</f>
        <v>43.445</v>
      </c>
      <c r="N103" s="45">
        <f ca="1">FAST_FREAK!C50</f>
        <v>43.216000000000001</v>
      </c>
      <c r="O103" s="45">
        <f ca="1">FAST_FREAK!C56</f>
        <v>42.775300000000001</v>
      </c>
      <c r="P103" s="45">
        <f t="shared" ca="1" si="6"/>
        <v>44.717320000000008</v>
      </c>
      <c r="Q103" s="45">
        <f t="shared" ca="1" si="7"/>
        <v>1.9770492405490447</v>
      </c>
    </row>
    <row r="104" spans="1:17" ht="12.5" x14ac:dyDescent="0.25">
      <c r="A104" s="22" t="s">
        <v>17</v>
      </c>
      <c r="B104" s="20" t="s">
        <v>23</v>
      </c>
      <c r="C104" s="20" t="s">
        <v>19</v>
      </c>
      <c r="D104" s="20" t="s">
        <v>20</v>
      </c>
      <c r="E104" s="20" t="s">
        <v>21</v>
      </c>
      <c r="F104" s="20" t="e">
        <f>[1]FAST_AKAZE!C4</f>
        <v>#REF!</v>
      </c>
      <c r="G104" s="20" t="e">
        <f>[1]FAST_AKAZE!C8</f>
        <v>#REF!</v>
      </c>
      <c r="H104" s="20" t="e">
        <f>[1]FAST_AKAZE!C14</f>
        <v>#REF!</v>
      </c>
      <c r="I104" s="20" t="e">
        <f>[1]FAST_AKAZE!C20</f>
        <v>#REF!</v>
      </c>
      <c r="J104" s="20" t="e">
        <f>[1]FAST_AKAZE!C26</f>
        <v>#REF!</v>
      </c>
      <c r="K104" s="20" t="e">
        <f>[1]FAST_AKAZE!C32</f>
        <v>#REF!</v>
      </c>
      <c r="L104" s="20" t="e">
        <f>[1]FAST_AKAZE!C38</f>
        <v>#REF!</v>
      </c>
      <c r="M104" s="20" t="e">
        <f>[1]FAST_AKAZE!C44</f>
        <v>#REF!</v>
      </c>
      <c r="N104" s="20" t="e">
        <f>[1]FAST_AKAZE!C50</f>
        <v>#REF!</v>
      </c>
      <c r="O104" s="20" t="e">
        <f>[1]FAST_AKAZE!C56</f>
        <v>#REF!</v>
      </c>
      <c r="P104" s="23" t="e">
        <f t="shared" si="6"/>
        <v>#REF!</v>
      </c>
      <c r="Q104" s="23" t="e">
        <f t="shared" si="7"/>
        <v>#REF!</v>
      </c>
    </row>
    <row r="105" spans="1:17" ht="12.5" x14ac:dyDescent="0.25">
      <c r="A105" s="22" t="s">
        <v>17</v>
      </c>
      <c r="B105" s="20" t="s">
        <v>24</v>
      </c>
      <c r="C105" s="20" t="s">
        <v>19</v>
      </c>
      <c r="D105" s="20" t="s">
        <v>20</v>
      </c>
      <c r="E105" s="20" t="s">
        <v>21</v>
      </c>
      <c r="F105" s="20" t="e">
        <f>[2]FAST_SIFT!C4</f>
        <v>#REF!</v>
      </c>
      <c r="G105" s="20" t="e">
        <f>[2]FAST_SIFT!C8</f>
        <v>#REF!</v>
      </c>
      <c r="H105" s="20" t="e">
        <f>[2]FAST_SIFT!C14</f>
        <v>#REF!</v>
      </c>
      <c r="I105" s="20" t="e">
        <f>[2]FAST_SIFT!C20</f>
        <v>#REF!</v>
      </c>
      <c r="J105" s="20" t="e">
        <f>[2]FAST_SIFT!C26</f>
        <v>#REF!</v>
      </c>
      <c r="K105" s="20" t="e">
        <f>[2]FAST_SIFT!C32</f>
        <v>#REF!</v>
      </c>
      <c r="L105" s="20" t="e">
        <f>[2]FAST_SIFT!C38</f>
        <v>#REF!</v>
      </c>
      <c r="M105" s="20" t="e">
        <f>[2]FAST_SIFT!C44</f>
        <v>#REF!</v>
      </c>
      <c r="N105" s="20" t="e">
        <f>[2]FAST_SIFT!C50</f>
        <v>#REF!</v>
      </c>
      <c r="O105" s="20" t="e">
        <f>[2]FAST_SIFT!C56</f>
        <v>#REF!</v>
      </c>
      <c r="P105" s="23" t="e">
        <f t="shared" si="6"/>
        <v>#REF!</v>
      </c>
      <c r="Q105" s="23" t="e">
        <f t="shared" si="7"/>
        <v>#REF!</v>
      </c>
    </row>
    <row r="106" spans="1:17" ht="12.5" x14ac:dyDescent="0.25">
      <c r="A106" s="22" t="s">
        <v>17</v>
      </c>
      <c r="B106" s="12" t="s">
        <v>22</v>
      </c>
      <c r="C106" s="12" t="s">
        <v>19</v>
      </c>
      <c r="D106" s="12" t="s">
        <v>20</v>
      </c>
      <c r="E106" s="12" t="s">
        <v>21</v>
      </c>
      <c r="F106" s="12">
        <f ca="1">FAST_BRISK!C4</f>
        <v>340.89</v>
      </c>
      <c r="G106" s="12">
        <f ca="1">FAST_BRISK!C8</f>
        <v>333.209</v>
      </c>
      <c r="H106" s="12">
        <f ca="1">FAST_BRISK!C14</f>
        <v>332.358</v>
      </c>
      <c r="I106" s="12">
        <f ca="1">FAST_BRISK!C20</f>
        <v>335.77499999999998</v>
      </c>
      <c r="J106" s="12">
        <f ca="1">FAST_BRISK!C26</f>
        <v>332.947</v>
      </c>
      <c r="K106" s="12">
        <f ca="1">FAST_BRISK!C32</f>
        <v>334.36599999999999</v>
      </c>
      <c r="L106" s="12">
        <f ca="1">FAST_BRISK!C38</f>
        <v>336.68700000000001</v>
      </c>
      <c r="M106" s="12">
        <f ca="1">FAST_BRISK!C44</f>
        <v>336.07100000000003</v>
      </c>
      <c r="N106" s="12">
        <f ca="1">FAST_BRISK!C50</f>
        <v>329.976</v>
      </c>
      <c r="O106" s="12">
        <f ca="1">FAST_BRISK!C56</f>
        <v>332.48700000000002</v>
      </c>
      <c r="P106" s="13">
        <f t="shared" ca="1" si="6"/>
        <v>334.47660000000002</v>
      </c>
      <c r="Q106" s="13">
        <f t="shared" ca="1" si="7"/>
        <v>3.035102312022516</v>
      </c>
    </row>
    <row r="107" spans="1:17" ht="12.5" x14ac:dyDescent="0.25">
      <c r="A107" s="22" t="s">
        <v>22</v>
      </c>
      <c r="B107" s="12" t="s">
        <v>28</v>
      </c>
      <c r="C107" s="12" t="s">
        <v>19</v>
      </c>
      <c r="D107" s="12" t="s">
        <v>20</v>
      </c>
      <c r="E107" s="12" t="s">
        <v>21</v>
      </c>
      <c r="F107" s="12">
        <f ca="1">BRISK_BRIEF!C4</f>
        <v>2.84415</v>
      </c>
      <c r="G107" s="12">
        <f ca="1">BRISK_BRIEF!C8</f>
        <v>1.89927</v>
      </c>
      <c r="H107" s="12">
        <f ca="1">BRISK_BRIEF!C14</f>
        <v>1.7394400000000001</v>
      </c>
      <c r="I107" s="12">
        <f ca="1">BRISK_BRIEF!C20</f>
        <v>1.1614800000000001</v>
      </c>
      <c r="J107" s="12">
        <f ca="1">BRISK_BRIEF!C26</f>
        <v>1.6461600000000001</v>
      </c>
      <c r="K107" s="12">
        <f ca="1">BRISK_BRIEF!C32</f>
        <v>1.67689</v>
      </c>
      <c r="L107" s="12">
        <f ca="1">BRISK_BRIEF!C38</f>
        <v>1.67672</v>
      </c>
      <c r="M107" s="12">
        <f ca="1">BRISK_BRIEF!C44</f>
        <v>1.147</v>
      </c>
      <c r="N107" s="12">
        <f ca="1">BRISK_BRIEF!C50</f>
        <v>2.07802</v>
      </c>
      <c r="O107" s="12">
        <f ca="1">BRISK_BRIEF!C56</f>
        <v>1.0698700000000001</v>
      </c>
      <c r="P107" s="13">
        <f t="shared" ca="1" si="6"/>
        <v>1.6939000000000004</v>
      </c>
      <c r="Q107" s="13">
        <f t="shared" ca="1" si="7"/>
        <v>0.52596172999774427</v>
      </c>
    </row>
    <row r="108" spans="1:17" ht="12.5" x14ac:dyDescent="0.25">
      <c r="A108" s="22" t="s">
        <v>22</v>
      </c>
      <c r="B108" s="12" t="s">
        <v>18</v>
      </c>
      <c r="C108" s="12" t="s">
        <v>19</v>
      </c>
      <c r="D108" s="12" t="s">
        <v>20</v>
      </c>
      <c r="E108" s="12" t="s">
        <v>21</v>
      </c>
      <c r="F108" s="12">
        <f ca="1">BRISK_ORB!C4</f>
        <v>15.084899999999999</v>
      </c>
      <c r="G108" s="12">
        <f ca="1">BRISK_ORB!C8</f>
        <v>5.1856400000000002</v>
      </c>
      <c r="H108" s="12">
        <f ca="1">BRISK_ORB!C14</f>
        <v>6.9516</v>
      </c>
      <c r="I108" s="12">
        <f ca="1">BRISK_ORB!C20</f>
        <v>6.9685899999999998</v>
      </c>
      <c r="J108" s="12">
        <f ca="1">BRISK_ORB!C26</f>
        <v>5.7477099999999997</v>
      </c>
      <c r="K108" s="12">
        <f ca="1">BRISK_ORB!C32</f>
        <v>6.3588300000000002</v>
      </c>
      <c r="L108" s="12">
        <f ca="1">BRISK_ORB!C38</f>
        <v>6.2560399999999996</v>
      </c>
      <c r="M108" s="12">
        <f ca="1">BRISK_ORB!C44</f>
        <v>6.80009</v>
      </c>
      <c r="N108" s="12">
        <f ca="1">BRISK_ORB!C50</f>
        <v>6.6405000000000003</v>
      </c>
      <c r="O108" s="12">
        <f ca="1">BRISK_ORB!C56</f>
        <v>8.2225400000000004</v>
      </c>
      <c r="P108" s="13">
        <f t="shared" ca="1" si="6"/>
        <v>7.4216439999999988</v>
      </c>
      <c r="Q108" s="13">
        <f t="shared" ca="1" si="7"/>
        <v>2.8102909446975244</v>
      </c>
    </row>
    <row r="109" spans="1:17" ht="12.5" x14ac:dyDescent="0.25">
      <c r="A109" s="22" t="s">
        <v>22</v>
      </c>
      <c r="B109" s="12" t="s">
        <v>29</v>
      </c>
      <c r="C109" s="12" t="s">
        <v>19</v>
      </c>
      <c r="D109" s="12" t="s">
        <v>20</v>
      </c>
      <c r="E109" s="12" t="s">
        <v>21</v>
      </c>
      <c r="F109" s="12">
        <f ca="1">BRISK_FREAK!C4</f>
        <v>48.776899999999998</v>
      </c>
      <c r="G109" s="12">
        <f ca="1">BRISK_FREAK!C8</f>
        <v>48.192300000000003</v>
      </c>
      <c r="H109" s="12">
        <f ca="1">BRISK_FREAK!C14</f>
        <v>48.277500000000003</v>
      </c>
      <c r="I109" s="12">
        <f ca="1">BRISK_FREAK!C20</f>
        <v>44.179299999999998</v>
      </c>
      <c r="J109" s="12">
        <f ca="1">BRISK_FREAK!C26</f>
        <v>43.488</v>
      </c>
      <c r="K109" s="12">
        <f ca="1">BRISK_FREAK!C32</f>
        <v>43.61</v>
      </c>
      <c r="L109" s="12">
        <f ca="1">BRISK_FREAK!C38</f>
        <v>45.415100000000002</v>
      </c>
      <c r="M109" s="12">
        <f ca="1">BRISK_FREAK!C44</f>
        <v>43.872999999999998</v>
      </c>
      <c r="N109" s="12">
        <f ca="1">BRISK_FREAK!C50</f>
        <v>42.8172</v>
      </c>
      <c r="O109" s="12">
        <f ca="1">BRISK_FREAK!C56</f>
        <v>44.140799999999999</v>
      </c>
      <c r="P109" s="13">
        <f t="shared" ca="1" si="6"/>
        <v>45.277010000000004</v>
      </c>
      <c r="Q109" s="13">
        <f t="shared" ca="1" si="7"/>
        <v>2.2673401874100079</v>
      </c>
    </row>
    <row r="110" spans="1:17" ht="12.5" x14ac:dyDescent="0.25">
      <c r="A110" s="22" t="s">
        <v>22</v>
      </c>
      <c r="B110" s="20" t="s">
        <v>23</v>
      </c>
      <c r="C110" s="20" t="s">
        <v>19</v>
      </c>
      <c r="D110" s="20" t="s">
        <v>20</v>
      </c>
      <c r="E110" s="20" t="s">
        <v>21</v>
      </c>
      <c r="F110" s="20" t="e">
        <f>[3]BRISK_AKAZE!C4</f>
        <v>#REF!</v>
      </c>
      <c r="G110" s="20" t="e">
        <f>[3]BRISK_AKAZE!C8</f>
        <v>#REF!</v>
      </c>
      <c r="H110" s="20" t="e">
        <f>[3]BRISK_AKAZE!C14</f>
        <v>#REF!</v>
      </c>
      <c r="I110" s="20" t="e">
        <f>[3]BRISK_AKAZE!C20</f>
        <v>#REF!</v>
      </c>
      <c r="J110" s="20" t="e">
        <f>[3]BRISK_AKAZE!C26</f>
        <v>#REF!</v>
      </c>
      <c r="K110" s="20" t="e">
        <f>[3]BRISK_AKAZE!C32</f>
        <v>#REF!</v>
      </c>
      <c r="L110" s="20" t="e">
        <f>[3]BRISK_AKAZE!C38</f>
        <v>#REF!</v>
      </c>
      <c r="M110" s="20" t="e">
        <f>[3]BRISK_AKAZE!C44</f>
        <v>#REF!</v>
      </c>
      <c r="N110" s="20" t="e">
        <f>[3]BRISK_AKAZE!C50</f>
        <v>#REF!</v>
      </c>
      <c r="O110" s="20" t="e">
        <f>[3]BRISK_AKAZE!C56</f>
        <v>#REF!</v>
      </c>
      <c r="P110" s="23" t="e">
        <f t="shared" si="6"/>
        <v>#REF!</v>
      </c>
      <c r="Q110" s="23" t="e">
        <f t="shared" si="7"/>
        <v>#REF!</v>
      </c>
    </row>
    <row r="111" spans="1:17" ht="12.5" x14ac:dyDescent="0.25">
      <c r="A111" s="22" t="s">
        <v>22</v>
      </c>
      <c r="B111" s="20" t="s">
        <v>24</v>
      </c>
      <c r="C111" s="20" t="s">
        <v>19</v>
      </c>
      <c r="D111" s="20" t="s">
        <v>20</v>
      </c>
      <c r="E111" s="20" t="s">
        <v>21</v>
      </c>
      <c r="F111" s="20" t="e">
        <f>[4]BRISK_SIFT!C4</f>
        <v>#REF!</v>
      </c>
      <c r="G111" s="20" t="e">
        <f>[4]BRISK_SIFT!C8</f>
        <v>#REF!</v>
      </c>
      <c r="H111" s="20" t="e">
        <f>[4]BRISK_SIFT!C14</f>
        <v>#REF!</v>
      </c>
      <c r="I111" s="20" t="e">
        <f>[4]BRISK_SIFT!C20</f>
        <v>#REF!</v>
      </c>
      <c r="J111" s="20" t="e">
        <f>[4]BRISK_SIFT!C26</f>
        <v>#REF!</v>
      </c>
      <c r="K111" s="20" t="e">
        <f>[4]BRISK_SIFT!C32</f>
        <v>#REF!</v>
      </c>
      <c r="L111" s="20" t="e">
        <f>[4]BRISK_SIFT!C38</f>
        <v>#REF!</v>
      </c>
      <c r="M111" s="20" t="e">
        <f>[4]BRISK_SIFT!C44</f>
        <v>#REF!</v>
      </c>
      <c r="N111" s="20" t="e">
        <f>[4]BRISK_SIFT!C50</f>
        <v>#REF!</v>
      </c>
      <c r="O111" s="20" t="e">
        <f>[4]BRISK_SIFT!C56</f>
        <v>#REF!</v>
      </c>
      <c r="P111" s="23" t="e">
        <f t="shared" si="6"/>
        <v>#REF!</v>
      </c>
      <c r="Q111" s="23" t="e">
        <f t="shared" si="7"/>
        <v>#REF!</v>
      </c>
    </row>
    <row r="112" spans="1:17" ht="12.5" x14ac:dyDescent="0.25">
      <c r="A112" s="22" t="s">
        <v>22</v>
      </c>
      <c r="B112" s="12" t="s">
        <v>22</v>
      </c>
      <c r="C112" s="12" t="s">
        <v>19</v>
      </c>
      <c r="D112" s="12" t="s">
        <v>20</v>
      </c>
      <c r="E112" s="12" t="s">
        <v>21</v>
      </c>
      <c r="F112" s="12">
        <f ca="1">BRISK_BRISK!C4</f>
        <v>335.03500000000003</v>
      </c>
      <c r="G112" s="12">
        <f ca="1">BRISK_BRISK!C8</f>
        <v>328.54500000000002</v>
      </c>
      <c r="H112" s="12">
        <f ca="1">BRISK_BRISK!C14</f>
        <v>337.71199999999999</v>
      </c>
      <c r="I112" s="12">
        <f ca="1">BRISK_BRISK!C20</f>
        <v>336.20699999999999</v>
      </c>
      <c r="J112" s="12">
        <f ca="1">BRISK_BRISK!C26</f>
        <v>339.19</v>
      </c>
      <c r="K112" s="12">
        <f ca="1">BRISK_BRISK!C32</f>
        <v>333.24700000000001</v>
      </c>
      <c r="L112" s="12">
        <f ca="1">BRISK_BRISK!C38</f>
        <v>342.38099999999997</v>
      </c>
      <c r="M112" s="12">
        <f ca="1">BRISK_BRISK!C44</f>
        <v>332.66399999999999</v>
      </c>
      <c r="N112" s="12">
        <f ca="1">BRISK_BRISK!C50</f>
        <v>328.43200000000002</v>
      </c>
      <c r="O112" s="12">
        <f ca="1">BRISK_BRISK!C56</f>
        <v>338.07799999999997</v>
      </c>
      <c r="P112" s="13">
        <f t="shared" ca="1" si="6"/>
        <v>335.14909999999998</v>
      </c>
      <c r="Q112" s="13">
        <f t="shared" ca="1" si="7"/>
        <v>4.5146134189121998</v>
      </c>
    </row>
    <row r="113" spans="1:17" ht="12.5" x14ac:dyDescent="0.25">
      <c r="A113" s="42" t="s">
        <v>18</v>
      </c>
      <c r="B113" s="43" t="s">
        <v>28</v>
      </c>
      <c r="C113" s="43" t="s">
        <v>19</v>
      </c>
      <c r="D113" s="43" t="s">
        <v>20</v>
      </c>
      <c r="E113" s="43" t="s">
        <v>21</v>
      </c>
      <c r="F113" s="43">
        <f ca="1">ORB_BRIEF!C4</f>
        <v>1.4097</v>
      </c>
      <c r="G113" s="43">
        <f ca="1">ORB_BRIEF!C8</f>
        <v>2.08948</v>
      </c>
      <c r="H113" s="43">
        <f ca="1">ORB_BRIEF!C14</f>
        <v>0.66424799999999995</v>
      </c>
      <c r="I113" s="43">
        <f ca="1">ORB_BRIEF!C20</f>
        <v>0.63268500000000005</v>
      </c>
      <c r="J113" s="43">
        <f ca="1">ORB_BRIEF!C26</f>
        <v>0.67925500000000005</v>
      </c>
      <c r="K113" s="43">
        <f ca="1">ORB_BRIEF!C32</f>
        <v>0.67963399999999996</v>
      </c>
      <c r="L113" s="43">
        <f ca="1">ORB_BRIEF!C38</f>
        <v>0.72955300000000001</v>
      </c>
      <c r="M113" s="43">
        <f ca="1">ORB_BRIEF!C44</f>
        <v>0.68048399999999998</v>
      </c>
      <c r="N113" s="43">
        <f ca="1">ORB_BRIEF!C50</f>
        <v>0.67097099999999998</v>
      </c>
      <c r="O113" s="43">
        <f ca="1">ORB_BRIEF!C56</f>
        <v>0.66960299999999995</v>
      </c>
      <c r="P113" s="43">
        <f t="shared" ca="1" si="6"/>
        <v>0.89056130000000011</v>
      </c>
      <c r="Q113" s="43">
        <f t="shared" ca="1" si="7"/>
        <v>0.48084049423299763</v>
      </c>
    </row>
    <row r="114" spans="1:17" ht="12.5" x14ac:dyDescent="0.25">
      <c r="A114" s="22" t="s">
        <v>18</v>
      </c>
      <c r="B114" s="12" t="s">
        <v>18</v>
      </c>
      <c r="C114" s="12" t="s">
        <v>19</v>
      </c>
      <c r="D114" s="12" t="s">
        <v>20</v>
      </c>
      <c r="E114" s="12" t="s">
        <v>21</v>
      </c>
      <c r="F114" s="12">
        <f ca="1">ORB_ORB!C4</f>
        <v>6.26783</v>
      </c>
      <c r="G114" s="12">
        <f ca="1">ORB_ORB!C8</f>
        <v>5.1529699999999998</v>
      </c>
      <c r="H114" s="12">
        <f ca="1">ORB_ORB!C14</f>
        <v>7.4093</v>
      </c>
      <c r="I114" s="12">
        <f ca="1">ORB_ORB!C20</f>
        <v>7.1197699999999999</v>
      </c>
      <c r="J114" s="12">
        <f ca="1">ORB_ORB!C26</f>
        <v>7.6221899999999998</v>
      </c>
      <c r="K114" s="12">
        <f ca="1">ORB_ORB!C32</f>
        <v>6.9254499999999997</v>
      </c>
      <c r="L114" s="12">
        <f ca="1">ORB_ORB!C38</f>
        <v>7.17659</v>
      </c>
      <c r="M114" s="12">
        <f ca="1">ORB_ORB!C44</f>
        <v>6.5210999999999997</v>
      </c>
      <c r="N114" s="12">
        <f ca="1">ORB_ORB!C50</f>
        <v>7.2166499999999996</v>
      </c>
      <c r="O114" s="12">
        <f ca="1">ORB_ORB!C56</f>
        <v>6.3434499999999998</v>
      </c>
      <c r="P114" s="13">
        <f t="shared" ca="1" si="6"/>
        <v>6.7755299999999989</v>
      </c>
      <c r="Q114" s="13">
        <f t="shared" ca="1" si="7"/>
        <v>0.72700288287675519</v>
      </c>
    </row>
    <row r="115" spans="1:17" ht="12.5" x14ac:dyDescent="0.25">
      <c r="A115" s="22" t="s">
        <v>18</v>
      </c>
      <c r="B115" s="12" t="s">
        <v>29</v>
      </c>
      <c r="C115" s="12" t="s">
        <v>19</v>
      </c>
      <c r="D115" s="12" t="s">
        <v>20</v>
      </c>
      <c r="E115" s="12" t="s">
        <v>21</v>
      </c>
      <c r="F115" s="12">
        <f ca="1">ORB_FREAK!C4</f>
        <v>45.167499999999997</v>
      </c>
      <c r="G115" s="12">
        <f ca="1">ORB_FREAK!C8</f>
        <v>43.714399999999998</v>
      </c>
      <c r="H115" s="12">
        <f ca="1">ORB_FREAK!C14</f>
        <v>44.396599999999999</v>
      </c>
      <c r="I115" s="12">
        <f ca="1">ORB_FREAK!C20</f>
        <v>41.859000000000002</v>
      </c>
      <c r="J115" s="12">
        <f ca="1">ORB_FREAK!C26</f>
        <v>42.466900000000003</v>
      </c>
      <c r="K115" s="12">
        <f ca="1">ORB_FREAK!C32</f>
        <v>43.287999999999997</v>
      </c>
      <c r="L115" s="12">
        <f ca="1">ORB_FREAK!C38</f>
        <v>41.706200000000003</v>
      </c>
      <c r="M115" s="12">
        <f ca="1">ORB_FREAK!C44</f>
        <v>42.881300000000003</v>
      </c>
      <c r="N115" s="12">
        <f ca="1">ORB_FREAK!C50</f>
        <v>42.104799999999997</v>
      </c>
      <c r="O115" s="12">
        <f ca="1">ORB_FREAK!C56</f>
        <v>42.618899999999996</v>
      </c>
      <c r="P115" s="13">
        <f t="shared" ca="1" si="6"/>
        <v>43.020360000000004</v>
      </c>
      <c r="Q115" s="13">
        <f t="shared" ca="1" si="7"/>
        <v>1.1283428785416039</v>
      </c>
    </row>
    <row r="116" spans="1:17" ht="12.5" x14ac:dyDescent="0.25">
      <c r="A116" s="22" t="s">
        <v>18</v>
      </c>
      <c r="B116" s="20" t="s">
        <v>23</v>
      </c>
      <c r="C116" s="20" t="s">
        <v>19</v>
      </c>
      <c r="D116" s="20" t="s">
        <v>20</v>
      </c>
      <c r="E116" s="20" t="s">
        <v>21</v>
      </c>
      <c r="F116" s="20" t="e">
        <f>[5]ORB_AKAZE!C4</f>
        <v>#REF!</v>
      </c>
      <c r="G116" s="20" t="e">
        <f>[5]ORB_AKAZE!C8</f>
        <v>#REF!</v>
      </c>
      <c r="H116" s="20" t="e">
        <f>[5]ORB_AKAZE!C14</f>
        <v>#REF!</v>
      </c>
      <c r="I116" s="20" t="e">
        <f>[5]ORB_AKAZE!C20</f>
        <v>#REF!</v>
      </c>
      <c r="J116" s="20" t="e">
        <f>[5]ORB_AKAZE!C26</f>
        <v>#REF!</v>
      </c>
      <c r="K116" s="20" t="e">
        <f>[5]ORB_AKAZE!C32</f>
        <v>#REF!</v>
      </c>
      <c r="L116" s="20" t="e">
        <f>[5]ORB_AKAZE!C38</f>
        <v>#REF!</v>
      </c>
      <c r="M116" s="20" t="e">
        <f>[5]ORB_AKAZE!C44</f>
        <v>#REF!</v>
      </c>
      <c r="N116" s="20" t="e">
        <f>[5]ORB_AKAZE!C50</f>
        <v>#REF!</v>
      </c>
      <c r="O116" s="20" t="e">
        <f>[5]ORB_AKAZE!C56</f>
        <v>#REF!</v>
      </c>
      <c r="P116" s="23" t="e">
        <f t="shared" si="6"/>
        <v>#REF!</v>
      </c>
      <c r="Q116" s="23" t="e">
        <f t="shared" si="7"/>
        <v>#REF!</v>
      </c>
    </row>
    <row r="117" spans="1:17" ht="12.5" x14ac:dyDescent="0.25">
      <c r="A117" s="22" t="s">
        <v>18</v>
      </c>
      <c r="B117" s="20" t="s">
        <v>24</v>
      </c>
      <c r="C117" s="20" t="s">
        <v>19</v>
      </c>
      <c r="D117" s="20" t="s">
        <v>20</v>
      </c>
      <c r="E117" s="20" t="s">
        <v>21</v>
      </c>
      <c r="F117" s="20" t="e">
        <f>[6]ORB_SIFT!C4</f>
        <v>#REF!</v>
      </c>
      <c r="G117" s="20" t="e">
        <f>[6]ORB_SIFT!C8</f>
        <v>#REF!</v>
      </c>
      <c r="H117" s="20" t="e">
        <f>[6]ORB_SIFT!C14</f>
        <v>#REF!</v>
      </c>
      <c r="I117" s="20" t="e">
        <f>[6]ORB_SIFT!C20</f>
        <v>#REF!</v>
      </c>
      <c r="J117" s="20" t="e">
        <f>[6]ORB_SIFT!C26</f>
        <v>#REF!</v>
      </c>
      <c r="K117" s="20" t="e">
        <f>[6]ORB_SIFT!C32</f>
        <v>#REF!</v>
      </c>
      <c r="L117" s="20" t="e">
        <f>[6]ORB_SIFT!C38</f>
        <v>#REF!</v>
      </c>
      <c r="M117" s="20" t="e">
        <f>[6]ORB_SIFT!C44</f>
        <v>#REF!</v>
      </c>
      <c r="N117" s="20" t="e">
        <f>[6]ORB_SIFT!C50</f>
        <v>#REF!</v>
      </c>
      <c r="O117" s="20" t="e">
        <f>[6]ORB_SIFT!C56</f>
        <v>#REF!</v>
      </c>
      <c r="P117" s="23" t="e">
        <f t="shared" si="6"/>
        <v>#REF!</v>
      </c>
      <c r="Q117" s="23" t="e">
        <f t="shared" si="7"/>
        <v>#REF!</v>
      </c>
    </row>
    <row r="118" spans="1:17" ht="12.5" x14ac:dyDescent="0.25">
      <c r="A118" s="22" t="s">
        <v>18</v>
      </c>
      <c r="B118" s="12" t="s">
        <v>22</v>
      </c>
      <c r="C118" s="12" t="s">
        <v>19</v>
      </c>
      <c r="D118" s="12" t="s">
        <v>20</v>
      </c>
      <c r="E118" s="12" t="s">
        <v>21</v>
      </c>
      <c r="F118" s="12">
        <f ca="1">ORB_BRISK!C4</f>
        <v>331.30500000000001</v>
      </c>
      <c r="G118" s="12">
        <f ca="1">ORB_BRISK!C8</f>
        <v>332.17500000000001</v>
      </c>
      <c r="H118" s="12">
        <f ca="1">ORB_BRISK!C14</f>
        <v>338.46800000000002</v>
      </c>
      <c r="I118" s="12">
        <f ca="1">ORB_BRISK!C20</f>
        <v>333.17200000000003</v>
      </c>
      <c r="J118" s="12">
        <f ca="1">ORB_BRISK!C26</f>
        <v>337.50599999999997</v>
      </c>
      <c r="K118" s="12">
        <f ca="1">ORB_BRISK!C32</f>
        <v>331.78399999999999</v>
      </c>
      <c r="L118" s="12">
        <f ca="1">ORB_BRISK!C38</f>
        <v>337.74</v>
      </c>
      <c r="M118" s="12">
        <f ca="1">ORB_BRISK!C44</f>
        <v>331.565</v>
      </c>
      <c r="N118" s="12">
        <f ca="1">ORB_BRISK!C50</f>
        <v>331.64800000000002</v>
      </c>
      <c r="O118" s="12">
        <f ca="1">ORB_BRISK!C56</f>
        <v>330.476</v>
      </c>
      <c r="P118" s="13">
        <f t="shared" ca="1" si="6"/>
        <v>333.58390000000009</v>
      </c>
      <c r="Q118" s="13">
        <f t="shared" ca="1" si="7"/>
        <v>3.0655951551950795</v>
      </c>
    </row>
    <row r="119" spans="1:17" ht="12.5" x14ac:dyDescent="0.25">
      <c r="A119" s="22" t="s">
        <v>23</v>
      </c>
      <c r="B119" s="12" t="s">
        <v>28</v>
      </c>
      <c r="C119" s="12" t="s">
        <v>19</v>
      </c>
      <c r="D119" s="12" t="s">
        <v>20</v>
      </c>
      <c r="E119" s="12" t="s">
        <v>21</v>
      </c>
      <c r="F119" s="12">
        <f ca="1">AKAZE_BRIEF!C4</f>
        <v>0.94929399999999997</v>
      </c>
      <c r="G119" s="12">
        <f ca="1">AKAZE_BRIEF!C8</f>
        <v>1.2367600000000001</v>
      </c>
      <c r="H119" s="12">
        <f ca="1">AKAZE_BRIEF!C14</f>
        <v>1.81684</v>
      </c>
      <c r="I119" s="12">
        <f ca="1">AKAZE_BRIEF!C20</f>
        <v>0.87907500000000005</v>
      </c>
      <c r="J119" s="12">
        <f ca="1">AKAZE_BRIEF!C26</f>
        <v>1.69069</v>
      </c>
      <c r="K119" s="12">
        <f ca="1">AKAZE_BRIEF!C32</f>
        <v>1.66984</v>
      </c>
      <c r="L119" s="12">
        <f ca="1">AKAZE_BRIEF!C38</f>
        <v>1.7181</v>
      </c>
      <c r="M119" s="12">
        <f ca="1">AKAZE_BRIEF!C44</f>
        <v>1.6897800000000001</v>
      </c>
      <c r="N119" s="12">
        <f ca="1">AKAZE_BRIEF!C50</f>
        <v>1.8381799999999999</v>
      </c>
      <c r="O119" s="12">
        <f ca="1">AKAZE_BRIEF!C56</f>
        <v>1.7329399999999999</v>
      </c>
      <c r="P119" s="13">
        <f t="shared" ca="1" si="6"/>
        <v>1.5221499000000001</v>
      </c>
      <c r="Q119" s="13">
        <f t="shared" ca="1" si="7"/>
        <v>0.36071237736532463</v>
      </c>
    </row>
    <row r="120" spans="1:17" ht="12.5" x14ac:dyDescent="0.25">
      <c r="A120" s="22" t="s">
        <v>23</v>
      </c>
      <c r="B120" s="12" t="s">
        <v>18</v>
      </c>
      <c r="C120" s="12" t="s">
        <v>19</v>
      </c>
      <c r="D120" s="12" t="s">
        <v>20</v>
      </c>
      <c r="E120" s="12" t="s">
        <v>21</v>
      </c>
      <c r="F120" s="12">
        <f ca="1">AKAZE_ORB!C4</f>
        <v>3.3188399999999998</v>
      </c>
      <c r="G120" s="12">
        <f ca="1">AKAZE_ORB!C8</f>
        <v>3.6198899999999998</v>
      </c>
      <c r="H120" s="12">
        <f ca="1">AKAZE_ORB!C14</f>
        <v>3.9447700000000001</v>
      </c>
      <c r="I120" s="12">
        <f ca="1">AKAZE_ORB!C20</f>
        <v>2.3519700000000001</v>
      </c>
      <c r="J120" s="12">
        <f ca="1">AKAZE_ORB!C26</f>
        <v>2.4030100000000001</v>
      </c>
      <c r="K120" s="12">
        <f ca="1">AKAZE_ORB!C32</f>
        <v>2.96095</v>
      </c>
      <c r="L120" s="12">
        <f ca="1">AKAZE_ORB!C38</f>
        <v>3.28918</v>
      </c>
      <c r="M120" s="12">
        <f ca="1">AKAZE_ORB!C44</f>
        <v>3.09979</v>
      </c>
      <c r="N120" s="12">
        <f ca="1">AKAZE_ORB!C50</f>
        <v>3.0269699999999999</v>
      </c>
      <c r="O120" s="12">
        <f ca="1">AKAZE_ORB!C56</f>
        <v>3.89045</v>
      </c>
      <c r="P120" s="13">
        <f t="shared" ca="1" si="6"/>
        <v>3.190582</v>
      </c>
      <c r="Q120" s="13">
        <f t="shared" ca="1" si="7"/>
        <v>0.5457283071232002</v>
      </c>
    </row>
    <row r="121" spans="1:17" ht="12.5" x14ac:dyDescent="0.25">
      <c r="A121" s="22" t="s">
        <v>23</v>
      </c>
      <c r="B121" s="12" t="s">
        <v>29</v>
      </c>
      <c r="C121" s="12" t="s">
        <v>19</v>
      </c>
      <c r="D121" s="12" t="s">
        <v>20</v>
      </c>
      <c r="E121" s="12" t="s">
        <v>21</v>
      </c>
      <c r="F121" s="12">
        <f ca="1">AKAZE_FREAK!C4</f>
        <v>41.546799999999998</v>
      </c>
      <c r="G121" s="12">
        <f ca="1">AKAZE_FREAK!C8</f>
        <v>44.704000000000001</v>
      </c>
      <c r="H121" s="12">
        <f ca="1">AKAZE_FREAK!C14</f>
        <v>46.1021</v>
      </c>
      <c r="I121" s="12">
        <f ca="1">AKAZE_FREAK!C20</f>
        <v>46.058799999999998</v>
      </c>
      <c r="J121" s="12">
        <f ca="1">AKAZE_FREAK!C26</f>
        <v>45.055799999999998</v>
      </c>
      <c r="K121" s="12">
        <f ca="1">AKAZE_FREAK!C32</f>
        <v>40.930199999999999</v>
      </c>
      <c r="L121" s="12">
        <f ca="1">AKAZE_FREAK!C38</f>
        <v>47.174500000000002</v>
      </c>
      <c r="M121" s="12">
        <f ca="1">AKAZE_FREAK!C44</f>
        <v>44.978999999999999</v>
      </c>
      <c r="N121" s="12">
        <f ca="1">AKAZE_FREAK!C50</f>
        <v>40.680799999999998</v>
      </c>
      <c r="O121" s="12">
        <f ca="1">AKAZE_FREAK!C56</f>
        <v>41.577199999999998</v>
      </c>
      <c r="P121" s="13">
        <f t="shared" ca="1" si="6"/>
        <v>43.880919999999996</v>
      </c>
      <c r="Q121" s="13">
        <f t="shared" ca="1" si="7"/>
        <v>2.4379137947570402</v>
      </c>
    </row>
    <row r="122" spans="1:17" ht="12.5" x14ac:dyDescent="0.25">
      <c r="A122" s="22" t="s">
        <v>23</v>
      </c>
      <c r="B122" s="12" t="s">
        <v>23</v>
      </c>
      <c r="C122" s="12" t="s">
        <v>19</v>
      </c>
      <c r="D122" s="12" t="s">
        <v>20</v>
      </c>
      <c r="E122" s="12" t="s">
        <v>21</v>
      </c>
      <c r="F122" s="12">
        <f ca="1">AKAZE_AKAZE!C4</f>
        <v>90.627499999999998</v>
      </c>
      <c r="G122" s="12">
        <f ca="1">AKAZE_AKAZE!C8</f>
        <v>91.076400000000007</v>
      </c>
      <c r="H122" s="12">
        <f ca="1">AKAZE_AKAZE!C14</f>
        <v>87.856800000000007</v>
      </c>
      <c r="I122" s="12">
        <f ca="1">AKAZE_AKAZE!C20</f>
        <v>90.203699999999998</v>
      </c>
      <c r="J122" s="12">
        <f ca="1">AKAZE_AKAZE!C26</f>
        <v>92.028400000000005</v>
      </c>
      <c r="K122" s="12">
        <f ca="1">AKAZE_AKAZE!C32</f>
        <v>88.947900000000004</v>
      </c>
      <c r="L122" s="12">
        <f ca="1">AKAZE_AKAZE!C38</f>
        <v>90.438500000000005</v>
      </c>
      <c r="M122" s="12">
        <f ca="1">AKAZE_AKAZE!C44</f>
        <v>91.78</v>
      </c>
      <c r="N122" s="12">
        <f ca="1">AKAZE_AKAZE!C50</f>
        <v>90.243499999999997</v>
      </c>
      <c r="O122" s="12">
        <f ca="1">AKAZE_AKAZE!C56</f>
        <v>92.004000000000005</v>
      </c>
      <c r="P122" s="13">
        <f t="shared" ca="1" si="6"/>
        <v>90.52067000000001</v>
      </c>
      <c r="Q122" s="13">
        <f t="shared" ca="1" si="7"/>
        <v>1.3388856112869052</v>
      </c>
    </row>
    <row r="123" spans="1:17" ht="12.5" x14ac:dyDescent="0.25">
      <c r="A123" s="22" t="s">
        <v>23</v>
      </c>
      <c r="B123" s="20" t="s">
        <v>24</v>
      </c>
      <c r="C123" s="20" t="s">
        <v>19</v>
      </c>
      <c r="D123" s="20" t="s">
        <v>20</v>
      </c>
      <c r="E123" s="20" t="s">
        <v>21</v>
      </c>
      <c r="F123" s="20" t="e">
        <f>[7]AKAZE_SIFT!C4</f>
        <v>#REF!</v>
      </c>
      <c r="G123" s="20" t="e">
        <f>[7]AKAZE_SIFT!C8</f>
        <v>#REF!</v>
      </c>
      <c r="H123" s="20" t="e">
        <f>[7]AKAZE_SIFT!C14</f>
        <v>#REF!</v>
      </c>
      <c r="I123" s="20" t="e">
        <f>[7]AKAZE_SIFT!C20</f>
        <v>#REF!</v>
      </c>
      <c r="J123" s="20" t="e">
        <f>[7]AKAZE_SIFT!C26</f>
        <v>#REF!</v>
      </c>
      <c r="K123" s="20" t="e">
        <f>[7]AKAZE_SIFT!C32</f>
        <v>#REF!</v>
      </c>
      <c r="L123" s="20" t="e">
        <f>[7]AKAZE_SIFT!C38</f>
        <v>#REF!</v>
      </c>
      <c r="M123" s="20" t="e">
        <f>[7]AKAZE_SIFT!C44</f>
        <v>#REF!</v>
      </c>
      <c r="N123" s="20" t="e">
        <f>[7]AKAZE_SIFT!C50</f>
        <v>#REF!</v>
      </c>
      <c r="O123" s="20" t="e">
        <f>[7]AKAZE_SIFT!C56</f>
        <v>#REF!</v>
      </c>
      <c r="P123" s="23" t="e">
        <f t="shared" si="6"/>
        <v>#REF!</v>
      </c>
      <c r="Q123" s="23" t="e">
        <f t="shared" si="7"/>
        <v>#REF!</v>
      </c>
    </row>
    <row r="124" spans="1:17" ht="12.5" x14ac:dyDescent="0.25">
      <c r="A124" s="22" t="s">
        <v>23</v>
      </c>
      <c r="B124" s="12" t="s">
        <v>22</v>
      </c>
      <c r="C124" s="12" t="s">
        <v>19</v>
      </c>
      <c r="D124" s="12" t="s">
        <v>20</v>
      </c>
      <c r="E124" s="12" t="s">
        <v>21</v>
      </c>
      <c r="F124" s="12">
        <f ca="1">AKAZE_BRISK!C4</f>
        <v>337.97300000000001</v>
      </c>
      <c r="G124" s="12">
        <f ca="1">AKAZE_BRISK!C8</f>
        <v>337.92599999999999</v>
      </c>
      <c r="H124" s="12">
        <f ca="1">AKAZE_BRISK!C14</f>
        <v>335.29899999999998</v>
      </c>
      <c r="I124" s="12">
        <f ca="1">AKAZE_BRISK!C20</f>
        <v>341.26299999999998</v>
      </c>
      <c r="J124" s="12">
        <f ca="1">AKAZE_BRISK!C26</f>
        <v>328.38</v>
      </c>
      <c r="K124" s="12">
        <f ca="1">AKAZE_BRISK!C32</f>
        <v>341.39100000000002</v>
      </c>
      <c r="L124" s="12">
        <f ca="1">AKAZE_BRISK!C38</f>
        <v>334.452</v>
      </c>
      <c r="M124" s="12">
        <f ca="1">AKAZE_BRISK!C44</f>
        <v>341.28699999999998</v>
      </c>
      <c r="N124" s="12">
        <f ca="1">AKAZE_BRISK!C50</f>
        <v>335.995</v>
      </c>
      <c r="O124" s="12">
        <f ca="1">AKAZE_BRISK!C56</f>
        <v>329.35700000000003</v>
      </c>
      <c r="P124" s="13">
        <f t="shared" ca="1" si="6"/>
        <v>336.33229999999998</v>
      </c>
      <c r="Q124" s="13">
        <f t="shared" ca="1" si="7"/>
        <v>4.6701649994643839</v>
      </c>
    </row>
    <row r="125" spans="1:17" ht="12.5" x14ac:dyDescent="0.25">
      <c r="A125" s="22" t="s">
        <v>24</v>
      </c>
      <c r="B125" s="20" t="s">
        <v>28</v>
      </c>
      <c r="C125" s="27" t="s">
        <v>19</v>
      </c>
      <c r="D125" s="28" t="s">
        <v>25</v>
      </c>
      <c r="E125" s="28" t="s">
        <v>21</v>
      </c>
      <c r="F125" s="20" t="e">
        <f>[8]SIFT_BRIEF!C4</f>
        <v>#REF!</v>
      </c>
      <c r="G125" s="20" t="e">
        <f>[8]SIFT_BRIEF!C8</f>
        <v>#REF!</v>
      </c>
      <c r="H125" s="20" t="e">
        <f>[8]SIFT_BRIEF!C14</f>
        <v>#REF!</v>
      </c>
      <c r="I125" s="20" t="e">
        <f>[8]SIFT_BRIEF!C20</f>
        <v>#REF!</v>
      </c>
      <c r="J125" s="20" t="e">
        <f>[8]SIFT_BRIEF!C26</f>
        <v>#REF!</v>
      </c>
      <c r="K125" s="20" t="e">
        <f>[8]SIFT_BRIEF!C32</f>
        <v>#REF!</v>
      </c>
      <c r="L125" s="20" t="e">
        <f>[8]SIFT_BRIEF!C38</f>
        <v>#REF!</v>
      </c>
      <c r="M125" s="20" t="e">
        <f>[8]SIFT_BRIEF!C44</f>
        <v>#REF!</v>
      </c>
      <c r="N125" s="20" t="e">
        <f>[8]SIFT_BRIEF!C50</f>
        <v>#REF!</v>
      </c>
      <c r="O125" s="20" t="e">
        <f>[8]SIFT_BRIEF!C56</f>
        <v>#REF!</v>
      </c>
      <c r="P125" s="23" t="e">
        <f t="shared" si="6"/>
        <v>#REF!</v>
      </c>
      <c r="Q125" s="23" t="e">
        <f t="shared" si="7"/>
        <v>#REF!</v>
      </c>
    </row>
    <row r="126" spans="1:17" ht="12.5" x14ac:dyDescent="0.25">
      <c r="A126" s="22" t="s">
        <v>24</v>
      </c>
      <c r="B126" s="20" t="s">
        <v>18</v>
      </c>
      <c r="C126" s="27" t="s">
        <v>19</v>
      </c>
      <c r="D126" s="28" t="s">
        <v>25</v>
      </c>
      <c r="E126" s="28" t="s">
        <v>21</v>
      </c>
      <c r="F126" s="20" t="e">
        <f>[9]SIFT_ORB!C4</f>
        <v>#REF!</v>
      </c>
      <c r="G126" s="20" t="e">
        <f>[9]SIFT_ORB!C8</f>
        <v>#REF!</v>
      </c>
      <c r="H126" s="20" t="e">
        <f>[9]SIFT_ORB!C14</f>
        <v>#REF!</v>
      </c>
      <c r="I126" s="20" t="e">
        <f>[9]SIFT_ORB!C20</f>
        <v>#REF!</v>
      </c>
      <c r="J126" s="20" t="e">
        <f>[9]SIFT_ORB!C26</f>
        <v>#REF!</v>
      </c>
      <c r="K126" s="20" t="e">
        <f>[9]SIFT_ORB!C32</f>
        <v>#REF!</v>
      </c>
      <c r="L126" s="20" t="e">
        <f>[9]SIFT_ORB!C38</f>
        <v>#REF!</v>
      </c>
      <c r="M126" s="20" t="e">
        <f>[9]SIFT_ORB!C44</f>
        <v>#REF!</v>
      </c>
      <c r="N126" s="20" t="e">
        <f>[9]SIFT_ORB!C50</f>
        <v>#REF!</v>
      </c>
      <c r="O126" s="20" t="e">
        <f>[9]SIFT_ORB!C56</f>
        <v>#REF!</v>
      </c>
      <c r="P126" s="23" t="e">
        <f t="shared" si="6"/>
        <v>#REF!</v>
      </c>
      <c r="Q126" s="23" t="e">
        <f t="shared" si="7"/>
        <v>#REF!</v>
      </c>
    </row>
    <row r="127" spans="1:17" ht="12.5" x14ac:dyDescent="0.25">
      <c r="A127" s="22" t="s">
        <v>24</v>
      </c>
      <c r="B127" s="20" t="s">
        <v>29</v>
      </c>
      <c r="C127" s="27" t="s">
        <v>19</v>
      </c>
      <c r="D127" s="28" t="s">
        <v>25</v>
      </c>
      <c r="E127" s="28" t="s">
        <v>21</v>
      </c>
      <c r="F127" s="20" t="e">
        <f>[10]SIFT_FREAK!C4</f>
        <v>#REF!</v>
      </c>
      <c r="G127" s="20" t="e">
        <f>[10]SIFT_FREAK!C8</f>
        <v>#REF!</v>
      </c>
      <c r="H127" s="20" t="e">
        <f>[10]SIFT_FREAK!C14</f>
        <v>#REF!</v>
      </c>
      <c r="I127" s="20" t="e">
        <f>[10]SIFT_FREAK!C20</f>
        <v>#REF!</v>
      </c>
      <c r="J127" s="20" t="e">
        <f>[10]SIFT_FREAK!C26</f>
        <v>#REF!</v>
      </c>
      <c r="K127" s="20" t="e">
        <f>[10]SIFT_FREAK!C32</f>
        <v>#REF!</v>
      </c>
      <c r="L127" s="20" t="e">
        <f>[10]SIFT_FREAK!C38</f>
        <v>#REF!</v>
      </c>
      <c r="M127" s="20" t="e">
        <f>[10]SIFT_FREAK!C44</f>
        <v>#REF!</v>
      </c>
      <c r="N127" s="20" t="e">
        <f>[10]SIFT_FREAK!C50</f>
        <v>#REF!</v>
      </c>
      <c r="O127" s="20" t="e">
        <f>[10]SIFT_FREAK!C56</f>
        <v>#REF!</v>
      </c>
      <c r="P127" s="23" t="e">
        <f t="shared" si="6"/>
        <v>#REF!</v>
      </c>
      <c r="Q127" s="23" t="e">
        <f t="shared" si="7"/>
        <v>#REF!</v>
      </c>
    </row>
    <row r="128" spans="1:17" ht="12.5" x14ac:dyDescent="0.25">
      <c r="A128" s="22" t="s">
        <v>24</v>
      </c>
      <c r="B128" s="20" t="s">
        <v>23</v>
      </c>
      <c r="C128" s="27" t="s">
        <v>19</v>
      </c>
      <c r="D128" s="28" t="s">
        <v>25</v>
      </c>
      <c r="E128" s="28" t="s">
        <v>21</v>
      </c>
      <c r="F128" s="20" t="e">
        <f>[11]SIFT_AKAZE!C4</f>
        <v>#REF!</v>
      </c>
      <c r="G128" s="20" t="e">
        <f>[11]SIFT_AKAZE!C8</f>
        <v>#REF!</v>
      </c>
      <c r="H128" s="20" t="e">
        <f>[11]SIFT_AKAZE!C14</f>
        <v>#REF!</v>
      </c>
      <c r="I128" s="20" t="e">
        <f>[11]SIFT_AKAZE!C20</f>
        <v>#REF!</v>
      </c>
      <c r="J128" s="20" t="e">
        <f>[11]SIFT_AKAZE!C26</f>
        <v>#REF!</v>
      </c>
      <c r="K128" s="20" t="e">
        <f>[11]SIFT_AKAZE!C32</f>
        <v>#REF!</v>
      </c>
      <c r="L128" s="20" t="e">
        <f>[11]SIFT_AKAZE!C38</f>
        <v>#REF!</v>
      </c>
      <c r="M128" s="20" t="e">
        <f>[11]SIFT_AKAZE!C44</f>
        <v>#REF!</v>
      </c>
      <c r="N128" s="20" t="e">
        <f>[11]SIFT_AKAZE!C50</f>
        <v>#REF!</v>
      </c>
      <c r="O128" s="20" t="e">
        <f>[11]SIFT_AKAZE!C56</f>
        <v>#REF!</v>
      </c>
      <c r="P128" s="23" t="e">
        <f t="shared" si="6"/>
        <v>#REF!</v>
      </c>
      <c r="Q128" s="23" t="e">
        <f t="shared" si="7"/>
        <v>#REF!</v>
      </c>
    </row>
    <row r="129" spans="1:17" ht="12.5" x14ac:dyDescent="0.25">
      <c r="A129" s="22" t="s">
        <v>24</v>
      </c>
      <c r="B129" s="12" t="s">
        <v>24</v>
      </c>
      <c r="C129" s="29" t="s">
        <v>19</v>
      </c>
      <c r="D129" s="30" t="s">
        <v>25</v>
      </c>
      <c r="E129" s="31" t="s">
        <v>21</v>
      </c>
      <c r="F129" s="12">
        <f ca="1">SIFT_SIFT!C4</f>
        <v>124.67</v>
      </c>
      <c r="G129" s="12">
        <f ca="1">SIFT_SIFT!C8</f>
        <v>97.548500000000004</v>
      </c>
      <c r="H129" s="12">
        <f ca="1">SIFT_SIFT!C14</f>
        <v>101.444</v>
      </c>
      <c r="I129" s="12">
        <f ca="1">SIFT_SIFT!C20</f>
        <v>102.801</v>
      </c>
      <c r="J129" s="12">
        <f ca="1">SIFT_SIFT!C26</f>
        <v>100.818</v>
      </c>
      <c r="K129" s="12">
        <f ca="1">SIFT_SIFT!C32</f>
        <v>98.021799999999999</v>
      </c>
      <c r="L129" s="12">
        <f ca="1">SIFT_SIFT!C38</f>
        <v>96.8322</v>
      </c>
      <c r="M129" s="12">
        <f ca="1">SIFT_SIFT!C44</f>
        <v>98.098100000000002</v>
      </c>
      <c r="N129" s="12">
        <f ca="1">SIFT_SIFT!C50</f>
        <v>98.908199999999994</v>
      </c>
      <c r="O129" s="12">
        <f ca="1">SIFT_SIFT!C56</f>
        <v>98.3626</v>
      </c>
      <c r="P129" s="13">
        <f t="shared" ca="1" si="6"/>
        <v>101.75044000000001</v>
      </c>
      <c r="Q129" s="13">
        <f t="shared" ca="1" si="7"/>
        <v>8.2732283971588476</v>
      </c>
    </row>
    <row r="130" spans="1:17" ht="12.5" x14ac:dyDescent="0.25">
      <c r="A130" s="49" t="s">
        <v>24</v>
      </c>
      <c r="B130" s="48" t="s">
        <v>22</v>
      </c>
      <c r="C130" s="27" t="s">
        <v>19</v>
      </c>
      <c r="D130" s="28" t="s">
        <v>25</v>
      </c>
      <c r="E130" s="28" t="s">
        <v>21</v>
      </c>
      <c r="F130" s="20" t="e">
        <f>[12]SIFT_BRISK!C4</f>
        <v>#REF!</v>
      </c>
      <c r="G130" s="20" t="e">
        <f>[12]SIFT_BRISK!C8</f>
        <v>#REF!</v>
      </c>
      <c r="H130" s="20" t="e">
        <f>[12]SIFT_BRISK!C14</f>
        <v>#REF!</v>
      </c>
      <c r="I130" s="20" t="e">
        <f>[12]SIFT_BRISK!C20</f>
        <v>#REF!</v>
      </c>
      <c r="J130" s="20" t="e">
        <f>[12]SIFT_BRISK!C26</f>
        <v>#REF!</v>
      </c>
      <c r="K130" s="20" t="e">
        <f>[12]SIFT_BRISK!C32</f>
        <v>#REF!</v>
      </c>
      <c r="L130" s="20" t="e">
        <f>[12]SIFT_BRISK!C38</f>
        <v>#REF!</v>
      </c>
      <c r="M130" s="20" t="e">
        <f>[12]SIFT_BRISK!C44</f>
        <v>#REF!</v>
      </c>
      <c r="N130" s="20" t="e">
        <f>[12]SIFT_BRISK!C50</f>
        <v>#REF!</v>
      </c>
      <c r="O130" s="20" t="e">
        <f>[12]SIFT_BRISK!C56</f>
        <v>#REF!</v>
      </c>
      <c r="P130" s="23" t="e">
        <f t="shared" si="6"/>
        <v>#REF!</v>
      </c>
      <c r="Q130" s="23" t="e">
        <f t="shared" si="7"/>
        <v>#REF!</v>
      </c>
    </row>
    <row r="131" spans="1:1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7" ht="13" x14ac:dyDescent="0.25">
      <c r="A132" s="17" t="s">
        <v>33</v>
      </c>
      <c r="B132" s="15"/>
      <c r="C132" s="15"/>
      <c r="D132" s="15"/>
      <c r="E132" s="10" t="s">
        <v>11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1:17" ht="12.5" x14ac:dyDescent="0.25">
      <c r="A133" s="38" t="s">
        <v>12</v>
      </c>
      <c r="B133" s="40" t="s">
        <v>13</v>
      </c>
      <c r="C133" s="40" t="s">
        <v>14</v>
      </c>
      <c r="D133" s="41" t="s">
        <v>702</v>
      </c>
      <c r="E133" s="41" t="s">
        <v>703</v>
      </c>
      <c r="F133" s="35" t="s">
        <v>15</v>
      </c>
      <c r="G133" s="36"/>
      <c r="H133" s="36"/>
      <c r="I133" s="36"/>
      <c r="J133" s="36"/>
      <c r="K133" s="36"/>
      <c r="L133" s="36"/>
      <c r="M133" s="36"/>
      <c r="N133" s="36"/>
      <c r="O133" s="37"/>
      <c r="P133" s="40" t="s">
        <v>16</v>
      </c>
      <c r="Q133" s="41" t="s">
        <v>704</v>
      </c>
    </row>
    <row r="134" spans="1:17" ht="12.5" x14ac:dyDescent="0.25">
      <c r="A134" s="39"/>
      <c r="B134" s="39"/>
      <c r="C134" s="39"/>
      <c r="D134" s="39"/>
      <c r="E134" s="39"/>
      <c r="F134" s="11">
        <v>1</v>
      </c>
      <c r="G134" s="11">
        <v>2</v>
      </c>
      <c r="H134" s="11">
        <v>3</v>
      </c>
      <c r="I134" s="11">
        <v>4</v>
      </c>
      <c r="J134" s="11">
        <v>5</v>
      </c>
      <c r="K134" s="11">
        <v>6</v>
      </c>
      <c r="L134" s="11">
        <v>7</v>
      </c>
      <c r="M134" s="11">
        <v>8</v>
      </c>
      <c r="N134" s="11">
        <v>9</v>
      </c>
      <c r="O134" s="11">
        <v>10</v>
      </c>
      <c r="P134" s="39"/>
      <c r="Q134" s="39"/>
    </row>
    <row r="135" spans="1:17" ht="12.5" x14ac:dyDescent="0.25">
      <c r="A135" s="18" t="s">
        <v>17</v>
      </c>
      <c r="B135" s="19" t="s">
        <v>28</v>
      </c>
      <c r="C135" s="19" t="s">
        <v>19</v>
      </c>
      <c r="D135" s="19" t="s">
        <v>20</v>
      </c>
      <c r="E135" s="19" t="s">
        <v>21</v>
      </c>
      <c r="F135" s="19">
        <f t="shared" ref="F135:O135" ca="1" si="8">F67+F101</f>
        <v>13.78482</v>
      </c>
      <c r="G135" s="19">
        <f t="shared" ca="1" si="8"/>
        <v>2.63205</v>
      </c>
      <c r="H135" s="19">
        <f t="shared" ca="1" si="8"/>
        <v>2.5895989999999998</v>
      </c>
      <c r="I135" s="19">
        <f t="shared" ca="1" si="8"/>
        <v>1.9188010000000002</v>
      </c>
      <c r="J135" s="19">
        <f t="shared" ca="1" si="8"/>
        <v>1.7150509999999999</v>
      </c>
      <c r="K135" s="19">
        <f t="shared" ca="1" si="8"/>
        <v>2.0994000000000002</v>
      </c>
      <c r="L135" s="19">
        <f t="shared" ca="1" si="8"/>
        <v>1.8607710000000002</v>
      </c>
      <c r="M135" s="19">
        <f t="shared" ca="1" si="8"/>
        <v>1.9227639999999999</v>
      </c>
      <c r="N135" s="19">
        <f t="shared" ca="1" si="8"/>
        <v>1.8039909999999999</v>
      </c>
      <c r="O135" s="19">
        <f t="shared" ca="1" si="8"/>
        <v>2.6527799999999999</v>
      </c>
      <c r="P135" s="21">
        <f t="shared" ref="P135:P164" ca="1" si="9">AVERAGE(F135:O135)</f>
        <v>3.2980026999999992</v>
      </c>
      <c r="Q135" s="21">
        <f t="shared" ref="Q135:Q164" ca="1" si="10">STDEV(F135:O135)</f>
        <v>3.7023798272109638</v>
      </c>
    </row>
    <row r="136" spans="1:17" ht="12.5" x14ac:dyDescent="0.25">
      <c r="A136" s="18" t="s">
        <v>17</v>
      </c>
      <c r="B136" s="21" t="s">
        <v>18</v>
      </c>
      <c r="C136" s="21" t="s">
        <v>19</v>
      </c>
      <c r="D136" s="21" t="s">
        <v>20</v>
      </c>
      <c r="E136" s="21" t="s">
        <v>21</v>
      </c>
      <c r="F136" s="21">
        <f t="shared" ref="F136:O136" ca="1" si="11">F68+F102</f>
        <v>3.9149699999999998</v>
      </c>
      <c r="G136" s="21">
        <f t="shared" ca="1" si="11"/>
        <v>2.46766</v>
      </c>
      <c r="H136" s="21">
        <f t="shared" ca="1" si="11"/>
        <v>2.83399</v>
      </c>
      <c r="I136" s="21">
        <f t="shared" ca="1" si="11"/>
        <v>3.36009</v>
      </c>
      <c r="J136" s="21">
        <f t="shared" ca="1" si="11"/>
        <v>2.3794879999999998</v>
      </c>
      <c r="K136" s="21">
        <f t="shared" ca="1" si="11"/>
        <v>2.1156380000000001</v>
      </c>
      <c r="L136" s="21">
        <f t="shared" ca="1" si="11"/>
        <v>2.4234400000000003</v>
      </c>
      <c r="M136" s="21">
        <f t="shared" ca="1" si="11"/>
        <v>2.17239</v>
      </c>
      <c r="N136" s="21">
        <f t="shared" ca="1" si="11"/>
        <v>2.1472499999999997</v>
      </c>
      <c r="O136" s="21">
        <f t="shared" ca="1" si="11"/>
        <v>2.3783149999999997</v>
      </c>
      <c r="P136" s="21">
        <f t="shared" ca="1" si="9"/>
        <v>2.6193230999999999</v>
      </c>
      <c r="Q136" s="21">
        <f t="shared" ca="1" si="10"/>
        <v>0.58942504182530853</v>
      </c>
    </row>
    <row r="137" spans="1:17" ht="12.5" x14ac:dyDescent="0.25">
      <c r="A137" s="44" t="s">
        <v>17</v>
      </c>
      <c r="B137" s="45" t="s">
        <v>29</v>
      </c>
      <c r="C137" s="45" t="s">
        <v>19</v>
      </c>
      <c r="D137" s="45" t="s">
        <v>20</v>
      </c>
      <c r="E137" s="45" t="s">
        <v>21</v>
      </c>
      <c r="F137" s="45">
        <f t="shared" ref="F137:O137" ca="1" si="12">F69+F103</f>
        <v>50.057400000000001</v>
      </c>
      <c r="G137" s="45">
        <f t="shared" ca="1" si="12"/>
        <v>47.472360000000002</v>
      </c>
      <c r="H137" s="45">
        <f t="shared" ca="1" si="12"/>
        <v>47.129002</v>
      </c>
      <c r="I137" s="45">
        <f t="shared" ca="1" si="12"/>
        <v>44.790199999999999</v>
      </c>
      <c r="J137" s="45">
        <f t="shared" ca="1" si="12"/>
        <v>46.460801000000004</v>
      </c>
      <c r="K137" s="45">
        <f t="shared" ca="1" si="12"/>
        <v>44.753970000000002</v>
      </c>
      <c r="L137" s="45">
        <f t="shared" ca="1" si="12"/>
        <v>44.317880000000002</v>
      </c>
      <c r="M137" s="45">
        <f t="shared" ca="1" si="12"/>
        <v>44.368730999999997</v>
      </c>
      <c r="N137" s="45">
        <f t="shared" ca="1" si="12"/>
        <v>44.231659999999998</v>
      </c>
      <c r="O137" s="45">
        <f t="shared" ca="1" si="12"/>
        <v>43.673909999999999</v>
      </c>
      <c r="P137" s="45">
        <f t="shared" ca="1" si="9"/>
        <v>45.725591399999999</v>
      </c>
      <c r="Q137" s="45">
        <f t="shared" ca="1" si="10"/>
        <v>2.0113239171977808</v>
      </c>
    </row>
    <row r="138" spans="1:17" ht="12.5" x14ac:dyDescent="0.25">
      <c r="A138" s="22" t="s">
        <v>17</v>
      </c>
      <c r="B138" s="20" t="s">
        <v>23</v>
      </c>
      <c r="C138" s="20" t="s">
        <v>19</v>
      </c>
      <c r="D138" s="20" t="s">
        <v>20</v>
      </c>
      <c r="E138" s="20" t="s">
        <v>21</v>
      </c>
      <c r="F138" s="20" t="e">
        <f t="shared" ref="F138:O138" si="13">F70+F104</f>
        <v>#REF!</v>
      </c>
      <c r="G138" s="20" t="e">
        <f t="shared" si="13"/>
        <v>#REF!</v>
      </c>
      <c r="H138" s="20" t="e">
        <f t="shared" si="13"/>
        <v>#REF!</v>
      </c>
      <c r="I138" s="20" t="e">
        <f t="shared" si="13"/>
        <v>#REF!</v>
      </c>
      <c r="J138" s="20" t="e">
        <f t="shared" si="13"/>
        <v>#REF!</v>
      </c>
      <c r="K138" s="20" t="e">
        <f t="shared" si="13"/>
        <v>#REF!</v>
      </c>
      <c r="L138" s="20" t="e">
        <f t="shared" si="13"/>
        <v>#REF!</v>
      </c>
      <c r="M138" s="20" t="e">
        <f t="shared" si="13"/>
        <v>#REF!</v>
      </c>
      <c r="N138" s="20" t="e">
        <f t="shared" si="13"/>
        <v>#REF!</v>
      </c>
      <c r="O138" s="20" t="e">
        <f t="shared" si="13"/>
        <v>#REF!</v>
      </c>
      <c r="P138" s="23" t="e">
        <f t="shared" si="9"/>
        <v>#REF!</v>
      </c>
      <c r="Q138" s="23" t="e">
        <f t="shared" si="10"/>
        <v>#REF!</v>
      </c>
    </row>
    <row r="139" spans="1:17" ht="12.5" x14ac:dyDescent="0.25">
      <c r="A139" s="22" t="s">
        <v>17</v>
      </c>
      <c r="B139" s="20" t="s">
        <v>24</v>
      </c>
      <c r="C139" s="20" t="s">
        <v>19</v>
      </c>
      <c r="D139" s="20" t="s">
        <v>20</v>
      </c>
      <c r="E139" s="20" t="s">
        <v>21</v>
      </c>
      <c r="F139" s="20" t="e">
        <f t="shared" ref="F139:O139" si="14">F71+F105</f>
        <v>#REF!</v>
      </c>
      <c r="G139" s="20" t="e">
        <f t="shared" si="14"/>
        <v>#REF!</v>
      </c>
      <c r="H139" s="20" t="e">
        <f t="shared" si="14"/>
        <v>#REF!</v>
      </c>
      <c r="I139" s="20" t="e">
        <f t="shared" si="14"/>
        <v>#REF!</v>
      </c>
      <c r="J139" s="20" t="e">
        <f t="shared" si="14"/>
        <v>#REF!</v>
      </c>
      <c r="K139" s="20" t="e">
        <f t="shared" si="14"/>
        <v>#REF!</v>
      </c>
      <c r="L139" s="20" t="e">
        <f t="shared" si="14"/>
        <v>#REF!</v>
      </c>
      <c r="M139" s="20" t="e">
        <f t="shared" si="14"/>
        <v>#REF!</v>
      </c>
      <c r="N139" s="20" t="e">
        <f t="shared" si="14"/>
        <v>#REF!</v>
      </c>
      <c r="O139" s="20" t="e">
        <f t="shared" si="14"/>
        <v>#REF!</v>
      </c>
      <c r="P139" s="23" t="e">
        <f t="shared" si="9"/>
        <v>#REF!</v>
      </c>
      <c r="Q139" s="23" t="e">
        <f t="shared" si="10"/>
        <v>#REF!</v>
      </c>
    </row>
    <row r="140" spans="1:17" ht="12.5" x14ac:dyDescent="0.25">
      <c r="A140" s="22" t="s">
        <v>17</v>
      </c>
      <c r="B140" s="12" t="s">
        <v>22</v>
      </c>
      <c r="C140" s="12" t="s">
        <v>19</v>
      </c>
      <c r="D140" s="12" t="s">
        <v>20</v>
      </c>
      <c r="E140" s="12" t="s">
        <v>21</v>
      </c>
      <c r="F140" s="12">
        <f t="shared" ref="F140:O140" ca="1" si="15">F72+F106</f>
        <v>341.99349000000001</v>
      </c>
      <c r="G140" s="12">
        <f t="shared" ca="1" si="15"/>
        <v>334.44042999999999</v>
      </c>
      <c r="H140" s="12">
        <f t="shared" ca="1" si="15"/>
        <v>333.39724999999999</v>
      </c>
      <c r="I140" s="12">
        <f t="shared" ca="1" si="15"/>
        <v>336.80916999999999</v>
      </c>
      <c r="J140" s="12">
        <f t="shared" ca="1" si="15"/>
        <v>333.86769500000003</v>
      </c>
      <c r="K140" s="12">
        <f t="shared" ca="1" si="15"/>
        <v>335.38144</v>
      </c>
      <c r="L140" s="12">
        <f t="shared" ca="1" si="15"/>
        <v>337.70074</v>
      </c>
      <c r="M140" s="12">
        <f t="shared" ca="1" si="15"/>
        <v>337.07355000000001</v>
      </c>
      <c r="N140" s="12">
        <f t="shared" ca="1" si="15"/>
        <v>330.86571800000002</v>
      </c>
      <c r="O140" s="12">
        <f t="shared" ca="1" si="15"/>
        <v>333.433042</v>
      </c>
      <c r="P140" s="13">
        <f t="shared" ca="1" si="9"/>
        <v>335.49625250000003</v>
      </c>
      <c r="Q140" s="13">
        <f t="shared" ca="1" si="10"/>
        <v>3.0762553254249894</v>
      </c>
    </row>
    <row r="141" spans="1:17" ht="12.5" x14ac:dyDescent="0.25">
      <c r="A141" s="22" t="s">
        <v>22</v>
      </c>
      <c r="B141" s="12" t="s">
        <v>28</v>
      </c>
      <c r="C141" s="12" t="s">
        <v>19</v>
      </c>
      <c r="D141" s="12" t="s">
        <v>20</v>
      </c>
      <c r="E141" s="12" t="s">
        <v>21</v>
      </c>
      <c r="F141" s="12">
        <f t="shared" ref="F141:O141" ca="1" si="16">F73+F107</f>
        <v>379.58215000000001</v>
      </c>
      <c r="G141" s="12">
        <f t="shared" ca="1" si="16"/>
        <v>375.14927</v>
      </c>
      <c r="H141" s="12">
        <f t="shared" ca="1" si="16"/>
        <v>383.07943999999998</v>
      </c>
      <c r="I141" s="12">
        <f t="shared" ca="1" si="16"/>
        <v>370.36347999999998</v>
      </c>
      <c r="J141" s="12">
        <f t="shared" ca="1" si="16"/>
        <v>373.95816000000002</v>
      </c>
      <c r="K141" s="12">
        <f t="shared" ca="1" si="16"/>
        <v>375.89489000000003</v>
      </c>
      <c r="L141" s="12">
        <f t="shared" ca="1" si="16"/>
        <v>371.29071999999996</v>
      </c>
      <c r="M141" s="12">
        <f t="shared" ca="1" si="16"/>
        <v>378.38299999999998</v>
      </c>
      <c r="N141" s="12">
        <f t="shared" ca="1" si="16"/>
        <v>369.48901999999998</v>
      </c>
      <c r="O141" s="12">
        <f t="shared" ca="1" si="16"/>
        <v>370.16586999999998</v>
      </c>
      <c r="P141" s="13">
        <f t="shared" ca="1" si="9"/>
        <v>374.73559999999998</v>
      </c>
      <c r="Q141" s="13">
        <f t="shared" ca="1" si="10"/>
        <v>4.5695051301815601</v>
      </c>
    </row>
    <row r="142" spans="1:17" ht="12.5" x14ac:dyDescent="0.25">
      <c r="A142" s="22" t="s">
        <v>22</v>
      </c>
      <c r="B142" s="12" t="s">
        <v>18</v>
      </c>
      <c r="C142" s="12" t="s">
        <v>19</v>
      </c>
      <c r="D142" s="12" t="s">
        <v>20</v>
      </c>
      <c r="E142" s="12" t="s">
        <v>21</v>
      </c>
      <c r="F142" s="12">
        <f t="shared" ref="F142:O142" ca="1" si="17">F74+F108</f>
        <v>398.51690000000002</v>
      </c>
      <c r="G142" s="12">
        <f t="shared" ca="1" si="17"/>
        <v>371.75963999999999</v>
      </c>
      <c r="H142" s="12">
        <f t="shared" ca="1" si="17"/>
        <v>375.5496</v>
      </c>
      <c r="I142" s="12">
        <f t="shared" ca="1" si="17"/>
        <v>372.39758999999998</v>
      </c>
      <c r="J142" s="12">
        <f t="shared" ca="1" si="17"/>
        <v>372.07871</v>
      </c>
      <c r="K142" s="12">
        <f t="shared" ca="1" si="17"/>
        <v>371.91482999999999</v>
      </c>
      <c r="L142" s="12">
        <f t="shared" ca="1" si="17"/>
        <v>371.24304000000001</v>
      </c>
      <c r="M142" s="12">
        <f t="shared" ca="1" si="17"/>
        <v>373.17009000000002</v>
      </c>
      <c r="N142" s="12">
        <f t="shared" ca="1" si="17"/>
        <v>371.86949999999996</v>
      </c>
      <c r="O142" s="12">
        <f t="shared" ca="1" si="17"/>
        <v>379.15853999999996</v>
      </c>
      <c r="P142" s="13">
        <f t="shared" ca="1" si="9"/>
        <v>375.76584399999996</v>
      </c>
      <c r="Q142" s="13">
        <f t="shared" ca="1" si="10"/>
        <v>8.3490715359296832</v>
      </c>
    </row>
    <row r="143" spans="1:17" ht="12.5" x14ac:dyDescent="0.25">
      <c r="A143" s="22" t="s">
        <v>22</v>
      </c>
      <c r="B143" s="12" t="s">
        <v>29</v>
      </c>
      <c r="C143" s="12" t="s">
        <v>19</v>
      </c>
      <c r="D143" s="12" t="s">
        <v>20</v>
      </c>
      <c r="E143" s="12" t="s">
        <v>21</v>
      </c>
      <c r="F143" s="12">
        <f t="shared" ref="F143:O143" ca="1" si="18">F75+F109</f>
        <v>428.09989999999999</v>
      </c>
      <c r="G143" s="12">
        <f t="shared" ca="1" si="18"/>
        <v>417.64330000000001</v>
      </c>
      <c r="H143" s="12">
        <f t="shared" ca="1" si="18"/>
        <v>429.09050000000002</v>
      </c>
      <c r="I143" s="12">
        <f t="shared" ca="1" si="18"/>
        <v>415.55930000000001</v>
      </c>
      <c r="J143" s="12">
        <f t="shared" ca="1" si="18"/>
        <v>416.18400000000003</v>
      </c>
      <c r="K143" s="12">
        <f t="shared" ca="1" si="18"/>
        <v>419.34700000000004</v>
      </c>
      <c r="L143" s="12">
        <f t="shared" ca="1" si="18"/>
        <v>425.22210000000001</v>
      </c>
      <c r="M143" s="12">
        <f t="shared" ca="1" si="18"/>
        <v>408.47800000000001</v>
      </c>
      <c r="N143" s="12">
        <f t="shared" ca="1" si="18"/>
        <v>413.0412</v>
      </c>
      <c r="O143" s="12">
        <f t="shared" ca="1" si="18"/>
        <v>419.29579999999999</v>
      </c>
      <c r="P143" s="13">
        <f t="shared" ca="1" si="9"/>
        <v>419.19611000000003</v>
      </c>
      <c r="Q143" s="13">
        <f t="shared" ca="1" si="10"/>
        <v>6.5911801574275488</v>
      </c>
    </row>
    <row r="144" spans="1:17" ht="12.5" x14ac:dyDescent="0.25">
      <c r="A144" s="22" t="s">
        <v>22</v>
      </c>
      <c r="B144" s="20" t="s">
        <v>23</v>
      </c>
      <c r="C144" s="20" t="s">
        <v>19</v>
      </c>
      <c r="D144" s="20" t="s">
        <v>20</v>
      </c>
      <c r="E144" s="20" t="s">
        <v>21</v>
      </c>
      <c r="F144" s="20" t="e">
        <f t="shared" ref="F144:O144" si="19">F76+F110</f>
        <v>#REF!</v>
      </c>
      <c r="G144" s="20" t="e">
        <f t="shared" si="19"/>
        <v>#REF!</v>
      </c>
      <c r="H144" s="20" t="e">
        <f t="shared" si="19"/>
        <v>#REF!</v>
      </c>
      <c r="I144" s="20" t="e">
        <f t="shared" si="19"/>
        <v>#REF!</v>
      </c>
      <c r="J144" s="20" t="e">
        <f t="shared" si="19"/>
        <v>#REF!</v>
      </c>
      <c r="K144" s="20" t="e">
        <f t="shared" si="19"/>
        <v>#REF!</v>
      </c>
      <c r="L144" s="20" t="e">
        <f t="shared" si="19"/>
        <v>#REF!</v>
      </c>
      <c r="M144" s="20" t="e">
        <f t="shared" si="19"/>
        <v>#REF!</v>
      </c>
      <c r="N144" s="20" t="e">
        <f t="shared" si="19"/>
        <v>#REF!</v>
      </c>
      <c r="O144" s="20" t="e">
        <f t="shared" si="19"/>
        <v>#REF!</v>
      </c>
      <c r="P144" s="23" t="e">
        <f t="shared" si="9"/>
        <v>#REF!</v>
      </c>
      <c r="Q144" s="23" t="e">
        <f t="shared" si="10"/>
        <v>#REF!</v>
      </c>
    </row>
    <row r="145" spans="1:17" ht="12.5" x14ac:dyDescent="0.25">
      <c r="A145" s="22" t="s">
        <v>22</v>
      </c>
      <c r="B145" s="20" t="s">
        <v>24</v>
      </c>
      <c r="C145" s="20" t="s">
        <v>19</v>
      </c>
      <c r="D145" s="20" t="s">
        <v>20</v>
      </c>
      <c r="E145" s="20" t="s">
        <v>21</v>
      </c>
      <c r="F145" s="20" t="e">
        <f t="shared" ref="F145:O145" si="20">F77+F111</f>
        <v>#REF!</v>
      </c>
      <c r="G145" s="20" t="e">
        <f t="shared" si="20"/>
        <v>#REF!</v>
      </c>
      <c r="H145" s="20" t="e">
        <f t="shared" si="20"/>
        <v>#REF!</v>
      </c>
      <c r="I145" s="20" t="e">
        <f t="shared" si="20"/>
        <v>#REF!</v>
      </c>
      <c r="J145" s="20" t="e">
        <f t="shared" si="20"/>
        <v>#REF!</v>
      </c>
      <c r="K145" s="20" t="e">
        <f t="shared" si="20"/>
        <v>#REF!</v>
      </c>
      <c r="L145" s="20" t="e">
        <f t="shared" si="20"/>
        <v>#REF!</v>
      </c>
      <c r="M145" s="20" t="e">
        <f t="shared" si="20"/>
        <v>#REF!</v>
      </c>
      <c r="N145" s="20" t="e">
        <f t="shared" si="20"/>
        <v>#REF!</v>
      </c>
      <c r="O145" s="20" t="e">
        <f t="shared" si="20"/>
        <v>#REF!</v>
      </c>
      <c r="P145" s="23" t="e">
        <f t="shared" si="9"/>
        <v>#REF!</v>
      </c>
      <c r="Q145" s="23" t="e">
        <f t="shared" si="10"/>
        <v>#REF!</v>
      </c>
    </row>
    <row r="146" spans="1:17" ht="12.5" x14ac:dyDescent="0.25">
      <c r="A146" s="22" t="s">
        <v>22</v>
      </c>
      <c r="B146" s="12" t="s">
        <v>22</v>
      </c>
      <c r="C146" s="12" t="s">
        <v>19</v>
      </c>
      <c r="D146" s="12" t="s">
        <v>20</v>
      </c>
      <c r="E146" s="12" t="s">
        <v>21</v>
      </c>
      <c r="F146" s="12">
        <f t="shared" ref="F146:O146" ca="1" si="21">F78+F112</f>
        <v>707.41499999999996</v>
      </c>
      <c r="G146" s="12">
        <f t="shared" ca="1" si="21"/>
        <v>703.47700000000009</v>
      </c>
      <c r="H146" s="12">
        <f t="shared" ca="1" si="21"/>
        <v>718.42000000000007</v>
      </c>
      <c r="I146" s="12">
        <f t="shared" ca="1" si="21"/>
        <v>708.21299999999997</v>
      </c>
      <c r="J146" s="12">
        <f t="shared" ca="1" si="21"/>
        <v>713.27099999999996</v>
      </c>
      <c r="K146" s="12">
        <f t="shared" ca="1" si="21"/>
        <v>710.00099999999998</v>
      </c>
      <c r="L146" s="12">
        <f t="shared" ca="1" si="21"/>
        <v>720.13300000000004</v>
      </c>
      <c r="M146" s="12">
        <f t="shared" ca="1" si="21"/>
        <v>705.32099999999991</v>
      </c>
      <c r="N146" s="12">
        <f t="shared" ca="1" si="21"/>
        <v>699.7170000000001</v>
      </c>
      <c r="O146" s="12">
        <f t="shared" ca="1" si="21"/>
        <v>707.73699999999997</v>
      </c>
      <c r="P146" s="13">
        <f t="shared" ca="1" si="9"/>
        <v>709.37049999999988</v>
      </c>
      <c r="Q146" s="13">
        <f t="shared" ca="1" si="10"/>
        <v>6.3725997703710622</v>
      </c>
    </row>
    <row r="147" spans="1:17" ht="12.5" x14ac:dyDescent="0.25">
      <c r="A147" s="42" t="s">
        <v>18</v>
      </c>
      <c r="B147" s="43" t="s">
        <v>28</v>
      </c>
      <c r="C147" s="43" t="s">
        <v>19</v>
      </c>
      <c r="D147" s="43" t="s">
        <v>20</v>
      </c>
      <c r="E147" s="43" t="s">
        <v>21</v>
      </c>
      <c r="F147" s="43">
        <f t="shared" ref="F147:O147" ca="1" si="22">F79+F113</f>
        <v>18.046099999999999</v>
      </c>
      <c r="G147" s="43">
        <f t="shared" ca="1" si="22"/>
        <v>11.22003</v>
      </c>
      <c r="H147" s="43">
        <f t="shared" ca="1" si="22"/>
        <v>9.5401180000000014</v>
      </c>
      <c r="I147" s="43">
        <f t="shared" ca="1" si="22"/>
        <v>8.4997550000000004</v>
      </c>
      <c r="J147" s="43">
        <f t="shared" ca="1" si="22"/>
        <v>8.9551749999999988</v>
      </c>
      <c r="K147" s="43">
        <f t="shared" ca="1" si="22"/>
        <v>8.4785939999999993</v>
      </c>
      <c r="L147" s="43">
        <f t="shared" ca="1" si="22"/>
        <v>9.0576129999999999</v>
      </c>
      <c r="M147" s="43">
        <f t="shared" ca="1" si="22"/>
        <v>8.4423340000000007</v>
      </c>
      <c r="N147" s="43">
        <f t="shared" ca="1" si="22"/>
        <v>9.4267109999999992</v>
      </c>
      <c r="O147" s="43">
        <f t="shared" ca="1" si="22"/>
        <v>8.5676930000000002</v>
      </c>
      <c r="P147" s="43">
        <f t="shared" ca="1" si="9"/>
        <v>10.0234123</v>
      </c>
      <c r="Q147" s="43">
        <f t="shared" ca="1" si="10"/>
        <v>2.9398764015873566</v>
      </c>
    </row>
    <row r="148" spans="1:17" ht="12.5" x14ac:dyDescent="0.25">
      <c r="A148" s="22" t="s">
        <v>18</v>
      </c>
      <c r="B148" s="12" t="s">
        <v>18</v>
      </c>
      <c r="C148" s="12" t="s">
        <v>19</v>
      </c>
      <c r="D148" s="12" t="s">
        <v>20</v>
      </c>
      <c r="E148" s="12" t="s">
        <v>21</v>
      </c>
      <c r="F148" s="12">
        <f t="shared" ref="F148:O148" ca="1" si="23">F80+F114</f>
        <v>24.38513</v>
      </c>
      <c r="G148" s="12">
        <f t="shared" ca="1" si="23"/>
        <v>15.47827</v>
      </c>
      <c r="H148" s="12">
        <f t="shared" ca="1" si="23"/>
        <v>16.149070000000002</v>
      </c>
      <c r="I148" s="12">
        <f t="shared" ca="1" si="23"/>
        <v>15.020949999999999</v>
      </c>
      <c r="J148" s="12">
        <f t="shared" ca="1" si="23"/>
        <v>15.520659999999999</v>
      </c>
      <c r="K148" s="12">
        <f t="shared" ca="1" si="23"/>
        <v>15.371319999999999</v>
      </c>
      <c r="L148" s="12">
        <f t="shared" ca="1" si="23"/>
        <v>15.01398</v>
      </c>
      <c r="M148" s="12">
        <f t="shared" ca="1" si="23"/>
        <v>14.221699999999998</v>
      </c>
      <c r="N148" s="12">
        <f t="shared" ca="1" si="23"/>
        <v>15.01864</v>
      </c>
      <c r="O148" s="12">
        <f t="shared" ca="1" si="23"/>
        <v>15.247859999999999</v>
      </c>
      <c r="P148" s="13">
        <f t="shared" ca="1" si="9"/>
        <v>16.142758000000001</v>
      </c>
      <c r="Q148" s="13">
        <f t="shared" ca="1" si="10"/>
        <v>2.9372690140703446</v>
      </c>
    </row>
    <row r="149" spans="1:17" ht="12.5" x14ac:dyDescent="0.25">
      <c r="A149" s="22" t="s">
        <v>18</v>
      </c>
      <c r="B149" s="12" t="s">
        <v>29</v>
      </c>
      <c r="C149" s="12" t="s">
        <v>19</v>
      </c>
      <c r="D149" s="12" t="s">
        <v>20</v>
      </c>
      <c r="E149" s="12" t="s">
        <v>21</v>
      </c>
      <c r="F149" s="12">
        <f t="shared" ref="F149:O149" ca="1" si="24">F81+F115</f>
        <v>56.776799999999994</v>
      </c>
      <c r="G149" s="12">
        <f t="shared" ca="1" si="24"/>
        <v>53.834299999999999</v>
      </c>
      <c r="H149" s="12">
        <f t="shared" ca="1" si="24"/>
        <v>52.68927</v>
      </c>
      <c r="I149" s="12">
        <f t="shared" ca="1" si="24"/>
        <v>49.628250000000001</v>
      </c>
      <c r="J149" s="12">
        <f t="shared" ca="1" si="24"/>
        <v>50.429390000000005</v>
      </c>
      <c r="K149" s="12">
        <f t="shared" ca="1" si="24"/>
        <v>51.100659999999998</v>
      </c>
      <c r="L149" s="12">
        <f t="shared" ca="1" si="24"/>
        <v>49.662000000000006</v>
      </c>
      <c r="M149" s="12">
        <f t="shared" ca="1" si="24"/>
        <v>50.742000000000004</v>
      </c>
      <c r="N149" s="12">
        <f t="shared" ca="1" si="24"/>
        <v>49.934309999999996</v>
      </c>
      <c r="O149" s="12">
        <f t="shared" ca="1" si="24"/>
        <v>51.092529999999996</v>
      </c>
      <c r="P149" s="13">
        <f t="shared" ca="1" si="9"/>
        <v>51.588950999999994</v>
      </c>
      <c r="Q149" s="13">
        <f t="shared" ca="1" si="10"/>
        <v>2.2609773281601995</v>
      </c>
    </row>
    <row r="150" spans="1:17" ht="12.5" x14ac:dyDescent="0.25">
      <c r="A150" s="22" t="s">
        <v>18</v>
      </c>
      <c r="B150" s="20" t="s">
        <v>23</v>
      </c>
      <c r="C150" s="20" t="s">
        <v>19</v>
      </c>
      <c r="D150" s="20" t="s">
        <v>20</v>
      </c>
      <c r="E150" s="20" t="s">
        <v>21</v>
      </c>
      <c r="F150" s="20" t="e">
        <f t="shared" ref="F150:O150" si="25">F82+F116</f>
        <v>#REF!</v>
      </c>
      <c r="G150" s="20" t="e">
        <f t="shared" si="25"/>
        <v>#REF!</v>
      </c>
      <c r="H150" s="20" t="e">
        <f t="shared" si="25"/>
        <v>#REF!</v>
      </c>
      <c r="I150" s="20" t="e">
        <f t="shared" si="25"/>
        <v>#REF!</v>
      </c>
      <c r="J150" s="20" t="e">
        <f t="shared" si="25"/>
        <v>#REF!</v>
      </c>
      <c r="K150" s="20" t="e">
        <f t="shared" si="25"/>
        <v>#REF!</v>
      </c>
      <c r="L150" s="20" t="e">
        <f t="shared" si="25"/>
        <v>#REF!</v>
      </c>
      <c r="M150" s="20" t="e">
        <f t="shared" si="25"/>
        <v>#REF!</v>
      </c>
      <c r="N150" s="20" t="e">
        <f t="shared" si="25"/>
        <v>#REF!</v>
      </c>
      <c r="O150" s="20" t="e">
        <f t="shared" si="25"/>
        <v>#REF!</v>
      </c>
      <c r="P150" s="23" t="e">
        <f t="shared" si="9"/>
        <v>#REF!</v>
      </c>
      <c r="Q150" s="23" t="e">
        <f t="shared" si="10"/>
        <v>#REF!</v>
      </c>
    </row>
    <row r="151" spans="1:17" ht="12.5" x14ac:dyDescent="0.25">
      <c r="A151" s="22" t="s">
        <v>18</v>
      </c>
      <c r="B151" s="20" t="s">
        <v>24</v>
      </c>
      <c r="C151" s="20" t="s">
        <v>19</v>
      </c>
      <c r="D151" s="20" t="s">
        <v>20</v>
      </c>
      <c r="E151" s="20" t="s">
        <v>21</v>
      </c>
      <c r="F151" s="20" t="e">
        <f t="shared" ref="F151:O151" si="26">F83+F117</f>
        <v>#REF!</v>
      </c>
      <c r="G151" s="20" t="e">
        <f t="shared" si="26"/>
        <v>#REF!</v>
      </c>
      <c r="H151" s="20" t="e">
        <f t="shared" si="26"/>
        <v>#REF!</v>
      </c>
      <c r="I151" s="20" t="e">
        <f t="shared" si="26"/>
        <v>#REF!</v>
      </c>
      <c r="J151" s="20" t="e">
        <f t="shared" si="26"/>
        <v>#REF!</v>
      </c>
      <c r="K151" s="20" t="e">
        <f t="shared" si="26"/>
        <v>#REF!</v>
      </c>
      <c r="L151" s="20" t="e">
        <f t="shared" si="26"/>
        <v>#REF!</v>
      </c>
      <c r="M151" s="20" t="e">
        <f t="shared" si="26"/>
        <v>#REF!</v>
      </c>
      <c r="N151" s="20" t="e">
        <f t="shared" si="26"/>
        <v>#REF!</v>
      </c>
      <c r="O151" s="20" t="e">
        <f t="shared" si="26"/>
        <v>#REF!</v>
      </c>
      <c r="P151" s="23" t="e">
        <f t="shared" si="9"/>
        <v>#REF!</v>
      </c>
      <c r="Q151" s="23" t="e">
        <f t="shared" si="10"/>
        <v>#REF!</v>
      </c>
    </row>
    <row r="152" spans="1:17" ht="12.5" x14ac:dyDescent="0.25">
      <c r="A152" s="22" t="s">
        <v>18</v>
      </c>
      <c r="B152" s="12" t="s">
        <v>22</v>
      </c>
      <c r="C152" s="12" t="s">
        <v>19</v>
      </c>
      <c r="D152" s="12" t="s">
        <v>20</v>
      </c>
      <c r="E152" s="12" t="s">
        <v>21</v>
      </c>
      <c r="F152" s="12">
        <f t="shared" ref="F152:O152" ca="1" si="27">F84+F118</f>
        <v>344.40930000000003</v>
      </c>
      <c r="G152" s="12">
        <f t="shared" ca="1" si="27"/>
        <v>341.66439000000003</v>
      </c>
      <c r="H152" s="12">
        <f t="shared" ca="1" si="27"/>
        <v>347.37533000000002</v>
      </c>
      <c r="I152" s="12">
        <f t="shared" ca="1" si="27"/>
        <v>340.89892000000003</v>
      </c>
      <c r="J152" s="12">
        <f t="shared" ca="1" si="27"/>
        <v>345.59548999999998</v>
      </c>
      <c r="K152" s="12">
        <f t="shared" ca="1" si="27"/>
        <v>339.69732999999997</v>
      </c>
      <c r="L152" s="12">
        <f t="shared" ca="1" si="27"/>
        <v>345.60187000000002</v>
      </c>
      <c r="M152" s="12">
        <f t="shared" ca="1" si="27"/>
        <v>339.40692999999999</v>
      </c>
      <c r="N152" s="12">
        <f t="shared" ca="1" si="27"/>
        <v>339.70318000000003</v>
      </c>
      <c r="O152" s="12">
        <f t="shared" ca="1" si="27"/>
        <v>338.60915</v>
      </c>
      <c r="P152" s="13">
        <f t="shared" ca="1" si="9"/>
        <v>342.29618900000003</v>
      </c>
      <c r="Q152" s="13">
        <f t="shared" ca="1" si="10"/>
        <v>3.1595919906407448</v>
      </c>
    </row>
    <row r="153" spans="1:17" ht="12.5" x14ac:dyDescent="0.25">
      <c r="A153" s="22" t="s">
        <v>23</v>
      </c>
      <c r="B153" s="12" t="s">
        <v>28</v>
      </c>
      <c r="C153" s="12" t="s">
        <v>19</v>
      </c>
      <c r="D153" s="12" t="s">
        <v>20</v>
      </c>
      <c r="E153" s="12" t="s">
        <v>21</v>
      </c>
      <c r="F153" s="12">
        <f t="shared" ref="F153:O153" ca="1" si="28">F85+F119</f>
        <v>123.07029399999999</v>
      </c>
      <c r="G153" s="12">
        <f t="shared" ca="1" si="28"/>
        <v>111.03576000000001</v>
      </c>
      <c r="H153" s="12">
        <f t="shared" ca="1" si="28"/>
        <v>112.47584000000001</v>
      </c>
      <c r="I153" s="12">
        <f t="shared" ca="1" si="28"/>
        <v>107.870075</v>
      </c>
      <c r="J153" s="12">
        <f t="shared" ca="1" si="28"/>
        <v>107.17069000000001</v>
      </c>
      <c r="K153" s="12">
        <f t="shared" ca="1" si="28"/>
        <v>108.26383999999999</v>
      </c>
      <c r="L153" s="12">
        <f t="shared" ca="1" si="28"/>
        <v>108.0801</v>
      </c>
      <c r="M153" s="12">
        <f t="shared" ca="1" si="28"/>
        <v>115.04378</v>
      </c>
      <c r="N153" s="12">
        <f t="shared" ca="1" si="28"/>
        <v>111.16318</v>
      </c>
      <c r="O153" s="12">
        <f t="shared" ca="1" si="28"/>
        <v>109.51094000000001</v>
      </c>
      <c r="P153" s="13">
        <f t="shared" ca="1" si="9"/>
        <v>111.3684499</v>
      </c>
      <c r="Q153" s="13">
        <f t="shared" ca="1" si="10"/>
        <v>4.7793809880832034</v>
      </c>
    </row>
    <row r="154" spans="1:17" ht="12.5" x14ac:dyDescent="0.25">
      <c r="A154" s="22" t="s">
        <v>23</v>
      </c>
      <c r="B154" s="12" t="s">
        <v>18</v>
      </c>
      <c r="C154" s="12" t="s">
        <v>19</v>
      </c>
      <c r="D154" s="12" t="s">
        <v>20</v>
      </c>
      <c r="E154" s="12" t="s">
        <v>21</v>
      </c>
      <c r="F154" s="12">
        <f t="shared" ref="F154:O154" ca="1" si="29">F86+F120</f>
        <v>118.53384</v>
      </c>
      <c r="G154" s="12">
        <f t="shared" ca="1" si="29"/>
        <v>111.58489</v>
      </c>
      <c r="H154" s="12">
        <f t="shared" ca="1" si="29"/>
        <v>114.82577000000001</v>
      </c>
      <c r="I154" s="12">
        <f t="shared" ca="1" si="29"/>
        <v>109.64296999999999</v>
      </c>
      <c r="J154" s="12">
        <f t="shared" ca="1" si="29"/>
        <v>112.58801</v>
      </c>
      <c r="K154" s="12">
        <f t="shared" ca="1" si="29"/>
        <v>110.95994999999999</v>
      </c>
      <c r="L154" s="12">
        <f t="shared" ca="1" si="29"/>
        <v>109.88618</v>
      </c>
      <c r="M154" s="12">
        <f t="shared" ca="1" si="29"/>
        <v>110.30779</v>
      </c>
      <c r="N154" s="12">
        <f t="shared" ca="1" si="29"/>
        <v>110.02497000000001</v>
      </c>
      <c r="O154" s="12">
        <f t="shared" ca="1" si="29"/>
        <v>112.61345</v>
      </c>
      <c r="P154" s="13">
        <f t="shared" ca="1" si="9"/>
        <v>112.096782</v>
      </c>
      <c r="Q154" s="13">
        <f t="shared" ca="1" si="10"/>
        <v>2.7758204844846235</v>
      </c>
    </row>
    <row r="155" spans="1:17" ht="12.5" x14ac:dyDescent="0.25">
      <c r="A155" s="22" t="s">
        <v>23</v>
      </c>
      <c r="B155" s="12" t="s">
        <v>29</v>
      </c>
      <c r="C155" s="12" t="s">
        <v>19</v>
      </c>
      <c r="D155" s="12" t="s">
        <v>20</v>
      </c>
      <c r="E155" s="12" t="s">
        <v>21</v>
      </c>
      <c r="F155" s="12">
        <f t="shared" ref="F155:O155" ca="1" si="30">F87+F121</f>
        <v>152.27979999999999</v>
      </c>
      <c r="G155" s="12">
        <f t="shared" ca="1" si="30"/>
        <v>149.398</v>
      </c>
      <c r="H155" s="12">
        <f t="shared" ca="1" si="30"/>
        <v>157.90010000000001</v>
      </c>
      <c r="I155" s="12">
        <f t="shared" ca="1" si="30"/>
        <v>150.7148</v>
      </c>
      <c r="J155" s="12">
        <f t="shared" ca="1" si="30"/>
        <v>147.47280000000001</v>
      </c>
      <c r="K155" s="12">
        <f t="shared" ca="1" si="30"/>
        <v>145.94819999999999</v>
      </c>
      <c r="L155" s="12">
        <f t="shared" ca="1" si="30"/>
        <v>158.92150000000001</v>
      </c>
      <c r="M155" s="12">
        <f t="shared" ca="1" si="30"/>
        <v>147.14499999999998</v>
      </c>
      <c r="N155" s="12">
        <f t="shared" ca="1" si="30"/>
        <v>140.1395</v>
      </c>
      <c r="O155" s="12">
        <f t="shared" ca="1" si="30"/>
        <v>145.92619999999999</v>
      </c>
      <c r="P155" s="13">
        <f t="shared" ca="1" si="9"/>
        <v>149.58458999999999</v>
      </c>
      <c r="Q155" s="13">
        <f t="shared" ca="1" si="10"/>
        <v>5.6875114010044507</v>
      </c>
    </row>
    <row r="156" spans="1:17" ht="12.5" x14ac:dyDescent="0.25">
      <c r="A156" s="22" t="s">
        <v>23</v>
      </c>
      <c r="B156" s="12" t="s">
        <v>23</v>
      </c>
      <c r="C156" s="12" t="s">
        <v>19</v>
      </c>
      <c r="D156" s="12" t="s">
        <v>20</v>
      </c>
      <c r="E156" s="12" t="s">
        <v>21</v>
      </c>
      <c r="F156" s="12">
        <f t="shared" ref="F156:O156" ca="1" si="31">F88+F122</f>
        <v>202.7055</v>
      </c>
      <c r="G156" s="12">
        <f t="shared" ca="1" si="31"/>
        <v>188.45100000000002</v>
      </c>
      <c r="H156" s="12">
        <f t="shared" ca="1" si="31"/>
        <v>194.64080000000001</v>
      </c>
      <c r="I156" s="12">
        <f t="shared" ca="1" si="31"/>
        <v>196.35469999999998</v>
      </c>
      <c r="J156" s="12">
        <f t="shared" ca="1" si="31"/>
        <v>196.02940000000001</v>
      </c>
      <c r="K156" s="12">
        <f t="shared" ca="1" si="31"/>
        <v>191.68990000000002</v>
      </c>
      <c r="L156" s="12">
        <f t="shared" ca="1" si="31"/>
        <v>191.20150000000001</v>
      </c>
      <c r="M156" s="12">
        <f t="shared" ca="1" si="31"/>
        <v>194.82300000000001</v>
      </c>
      <c r="N156" s="12">
        <f t="shared" ca="1" si="31"/>
        <v>193.0745</v>
      </c>
      <c r="O156" s="12">
        <f t="shared" ca="1" si="31"/>
        <v>194.24900000000002</v>
      </c>
      <c r="P156" s="13">
        <f t="shared" ca="1" si="9"/>
        <v>194.32193000000001</v>
      </c>
      <c r="Q156" s="13">
        <f t="shared" ca="1" si="10"/>
        <v>3.8061133223188826</v>
      </c>
    </row>
    <row r="157" spans="1:17" ht="12.5" x14ac:dyDescent="0.25">
      <c r="A157" s="22" t="s">
        <v>23</v>
      </c>
      <c r="B157" s="20" t="s">
        <v>24</v>
      </c>
      <c r="C157" s="20" t="s">
        <v>19</v>
      </c>
      <c r="D157" s="20" t="s">
        <v>20</v>
      </c>
      <c r="E157" s="20" t="s">
        <v>21</v>
      </c>
      <c r="F157" s="20" t="e">
        <f t="shared" ref="F157:O157" si="32">F89+F123</f>
        <v>#REF!</v>
      </c>
      <c r="G157" s="20" t="e">
        <f t="shared" si="32"/>
        <v>#REF!</v>
      </c>
      <c r="H157" s="20" t="e">
        <f t="shared" si="32"/>
        <v>#REF!</v>
      </c>
      <c r="I157" s="20" t="e">
        <f t="shared" si="32"/>
        <v>#REF!</v>
      </c>
      <c r="J157" s="20" t="e">
        <f t="shared" si="32"/>
        <v>#REF!</v>
      </c>
      <c r="K157" s="20" t="e">
        <f t="shared" si="32"/>
        <v>#REF!</v>
      </c>
      <c r="L157" s="20" t="e">
        <f t="shared" si="32"/>
        <v>#REF!</v>
      </c>
      <c r="M157" s="20" t="e">
        <f t="shared" si="32"/>
        <v>#REF!</v>
      </c>
      <c r="N157" s="20" t="e">
        <f t="shared" si="32"/>
        <v>#REF!</v>
      </c>
      <c r="O157" s="20" t="e">
        <f t="shared" si="32"/>
        <v>#REF!</v>
      </c>
      <c r="P157" s="23" t="e">
        <f t="shared" si="9"/>
        <v>#REF!</v>
      </c>
      <c r="Q157" s="23" t="e">
        <f t="shared" si="10"/>
        <v>#REF!</v>
      </c>
    </row>
    <row r="158" spans="1:17" ht="12.5" x14ac:dyDescent="0.25">
      <c r="A158" s="22" t="s">
        <v>23</v>
      </c>
      <c r="B158" s="12" t="s">
        <v>22</v>
      </c>
      <c r="C158" s="12" t="s">
        <v>19</v>
      </c>
      <c r="D158" s="12" t="s">
        <v>20</v>
      </c>
      <c r="E158" s="12" t="s">
        <v>21</v>
      </c>
      <c r="F158" s="12">
        <f t="shared" ref="F158:O158" ca="1" si="33">F90+F124</f>
        <v>454.75</v>
      </c>
      <c r="G158" s="12">
        <f t="shared" ca="1" si="33"/>
        <v>449.233</v>
      </c>
      <c r="H158" s="12">
        <f t="shared" ca="1" si="33"/>
        <v>443.86899999999997</v>
      </c>
      <c r="I158" s="12">
        <f t="shared" ca="1" si="33"/>
        <v>450.25299999999999</v>
      </c>
      <c r="J158" s="12">
        <f t="shared" ca="1" si="33"/>
        <v>438.77100000000002</v>
      </c>
      <c r="K158" s="12">
        <f t="shared" ca="1" si="33"/>
        <v>448.09500000000003</v>
      </c>
      <c r="L158" s="12">
        <f t="shared" ca="1" si="33"/>
        <v>441.48900000000003</v>
      </c>
      <c r="M158" s="12">
        <f t="shared" ca="1" si="33"/>
        <v>449.89</v>
      </c>
      <c r="N158" s="12">
        <f t="shared" ca="1" si="33"/>
        <v>443.54</v>
      </c>
      <c r="O158" s="12">
        <f t="shared" ca="1" si="33"/>
        <v>435.50800000000004</v>
      </c>
      <c r="P158" s="13">
        <f t="shared" ca="1" si="9"/>
        <v>445.5397999999999</v>
      </c>
      <c r="Q158" s="13">
        <f t="shared" ca="1" si="10"/>
        <v>5.9234793604209672</v>
      </c>
    </row>
    <row r="159" spans="1:17" ht="12.5" x14ac:dyDescent="0.25">
      <c r="A159" s="22" t="s">
        <v>24</v>
      </c>
      <c r="B159" s="20" t="s">
        <v>28</v>
      </c>
      <c r="C159" s="27" t="s">
        <v>19</v>
      </c>
      <c r="D159" s="28" t="s">
        <v>25</v>
      </c>
      <c r="E159" s="28" t="s">
        <v>21</v>
      </c>
      <c r="F159" s="20" t="e">
        <f t="shared" ref="F159:O159" si="34">F91+F125</f>
        <v>#REF!</v>
      </c>
      <c r="G159" s="20" t="e">
        <f t="shared" si="34"/>
        <v>#REF!</v>
      </c>
      <c r="H159" s="20" t="e">
        <f t="shared" si="34"/>
        <v>#REF!</v>
      </c>
      <c r="I159" s="20" t="e">
        <f t="shared" si="34"/>
        <v>#REF!</v>
      </c>
      <c r="J159" s="20" t="e">
        <f t="shared" si="34"/>
        <v>#REF!</v>
      </c>
      <c r="K159" s="20" t="e">
        <f t="shared" si="34"/>
        <v>#REF!</v>
      </c>
      <c r="L159" s="20" t="e">
        <f t="shared" si="34"/>
        <v>#REF!</v>
      </c>
      <c r="M159" s="20" t="e">
        <f t="shared" si="34"/>
        <v>#REF!</v>
      </c>
      <c r="N159" s="20" t="e">
        <f t="shared" si="34"/>
        <v>#REF!</v>
      </c>
      <c r="O159" s="20" t="e">
        <f t="shared" si="34"/>
        <v>#REF!</v>
      </c>
      <c r="P159" s="23" t="e">
        <f t="shared" si="9"/>
        <v>#REF!</v>
      </c>
      <c r="Q159" s="23" t="e">
        <f t="shared" si="10"/>
        <v>#REF!</v>
      </c>
    </row>
    <row r="160" spans="1:17" ht="12.5" x14ac:dyDescent="0.25">
      <c r="A160" s="22" t="s">
        <v>24</v>
      </c>
      <c r="B160" s="20" t="s">
        <v>18</v>
      </c>
      <c r="C160" s="27" t="s">
        <v>19</v>
      </c>
      <c r="D160" s="28" t="s">
        <v>25</v>
      </c>
      <c r="E160" s="28" t="s">
        <v>21</v>
      </c>
      <c r="F160" s="20" t="e">
        <f t="shared" ref="F160:O160" si="35">F92+F126</f>
        <v>#REF!</v>
      </c>
      <c r="G160" s="20" t="e">
        <f t="shared" si="35"/>
        <v>#REF!</v>
      </c>
      <c r="H160" s="20" t="e">
        <f t="shared" si="35"/>
        <v>#REF!</v>
      </c>
      <c r="I160" s="20" t="e">
        <f t="shared" si="35"/>
        <v>#REF!</v>
      </c>
      <c r="J160" s="20" t="e">
        <f t="shared" si="35"/>
        <v>#REF!</v>
      </c>
      <c r="K160" s="20" t="e">
        <f t="shared" si="35"/>
        <v>#REF!</v>
      </c>
      <c r="L160" s="20" t="e">
        <f t="shared" si="35"/>
        <v>#REF!</v>
      </c>
      <c r="M160" s="20" t="e">
        <f t="shared" si="35"/>
        <v>#REF!</v>
      </c>
      <c r="N160" s="20" t="e">
        <f t="shared" si="35"/>
        <v>#REF!</v>
      </c>
      <c r="O160" s="20" t="e">
        <f t="shared" si="35"/>
        <v>#REF!</v>
      </c>
      <c r="P160" s="23" t="e">
        <f t="shared" si="9"/>
        <v>#REF!</v>
      </c>
      <c r="Q160" s="23" t="e">
        <f t="shared" si="10"/>
        <v>#REF!</v>
      </c>
    </row>
    <row r="161" spans="1:17" ht="12.5" x14ac:dyDescent="0.25">
      <c r="A161" s="22" t="s">
        <v>24</v>
      </c>
      <c r="B161" s="20" t="s">
        <v>29</v>
      </c>
      <c r="C161" s="27" t="s">
        <v>19</v>
      </c>
      <c r="D161" s="28" t="s">
        <v>25</v>
      </c>
      <c r="E161" s="28" t="s">
        <v>21</v>
      </c>
      <c r="F161" s="20" t="e">
        <f t="shared" ref="F161:O161" si="36">F93+F127</f>
        <v>#REF!</v>
      </c>
      <c r="G161" s="20" t="e">
        <f t="shared" si="36"/>
        <v>#REF!</v>
      </c>
      <c r="H161" s="20" t="e">
        <f t="shared" si="36"/>
        <v>#REF!</v>
      </c>
      <c r="I161" s="20" t="e">
        <f t="shared" si="36"/>
        <v>#REF!</v>
      </c>
      <c r="J161" s="20" t="e">
        <f t="shared" si="36"/>
        <v>#REF!</v>
      </c>
      <c r="K161" s="20" t="e">
        <f t="shared" si="36"/>
        <v>#REF!</v>
      </c>
      <c r="L161" s="20" t="e">
        <f t="shared" si="36"/>
        <v>#REF!</v>
      </c>
      <c r="M161" s="20" t="e">
        <f t="shared" si="36"/>
        <v>#REF!</v>
      </c>
      <c r="N161" s="20" t="e">
        <f t="shared" si="36"/>
        <v>#REF!</v>
      </c>
      <c r="O161" s="20" t="e">
        <f t="shared" si="36"/>
        <v>#REF!</v>
      </c>
      <c r="P161" s="23" t="e">
        <f t="shared" si="9"/>
        <v>#REF!</v>
      </c>
      <c r="Q161" s="23" t="e">
        <f t="shared" si="10"/>
        <v>#REF!</v>
      </c>
    </row>
    <row r="162" spans="1:17" ht="12.5" x14ac:dyDescent="0.25">
      <c r="A162" s="22" t="s">
        <v>24</v>
      </c>
      <c r="B162" s="20" t="s">
        <v>23</v>
      </c>
      <c r="C162" s="27" t="s">
        <v>19</v>
      </c>
      <c r="D162" s="28" t="s">
        <v>25</v>
      </c>
      <c r="E162" s="28" t="s">
        <v>21</v>
      </c>
      <c r="F162" s="20" t="e">
        <f t="shared" ref="F162:O162" si="37">F94+F128</f>
        <v>#REF!</v>
      </c>
      <c r="G162" s="20" t="e">
        <f t="shared" si="37"/>
        <v>#REF!</v>
      </c>
      <c r="H162" s="20" t="e">
        <f t="shared" si="37"/>
        <v>#REF!</v>
      </c>
      <c r="I162" s="20" t="e">
        <f t="shared" si="37"/>
        <v>#REF!</v>
      </c>
      <c r="J162" s="20" t="e">
        <f t="shared" si="37"/>
        <v>#REF!</v>
      </c>
      <c r="K162" s="20" t="e">
        <f t="shared" si="37"/>
        <v>#REF!</v>
      </c>
      <c r="L162" s="20" t="e">
        <f t="shared" si="37"/>
        <v>#REF!</v>
      </c>
      <c r="M162" s="20" t="e">
        <f t="shared" si="37"/>
        <v>#REF!</v>
      </c>
      <c r="N162" s="20" t="e">
        <f t="shared" si="37"/>
        <v>#REF!</v>
      </c>
      <c r="O162" s="20" t="e">
        <f t="shared" si="37"/>
        <v>#REF!</v>
      </c>
      <c r="P162" s="23" t="e">
        <f t="shared" si="9"/>
        <v>#REF!</v>
      </c>
      <c r="Q162" s="23" t="e">
        <f t="shared" si="10"/>
        <v>#REF!</v>
      </c>
    </row>
    <row r="163" spans="1:17" ht="12.5" x14ac:dyDescent="0.25">
      <c r="A163" s="22" t="s">
        <v>24</v>
      </c>
      <c r="B163" s="12" t="s">
        <v>24</v>
      </c>
      <c r="C163" s="29" t="s">
        <v>19</v>
      </c>
      <c r="D163" s="30" t="s">
        <v>25</v>
      </c>
      <c r="E163" s="31" t="s">
        <v>21</v>
      </c>
      <c r="F163" s="12">
        <f t="shared" ref="F163:O163" ca="1" si="38">F95+F129</f>
        <v>309.24400000000003</v>
      </c>
      <c r="G163" s="12">
        <f t="shared" ca="1" si="38"/>
        <v>234.23649999999998</v>
      </c>
      <c r="H163" s="12">
        <f t="shared" ca="1" si="38"/>
        <v>256.55700000000002</v>
      </c>
      <c r="I163" s="12">
        <f t="shared" ca="1" si="38"/>
        <v>240.32999999999998</v>
      </c>
      <c r="J163" s="12">
        <f t="shared" ca="1" si="38"/>
        <v>247.32099999999997</v>
      </c>
      <c r="K163" s="12">
        <f t="shared" ca="1" si="38"/>
        <v>234.16980000000001</v>
      </c>
      <c r="L163" s="12">
        <f t="shared" ca="1" si="38"/>
        <v>233.4812</v>
      </c>
      <c r="M163" s="12">
        <f t="shared" ca="1" si="38"/>
        <v>233.83409999999998</v>
      </c>
      <c r="N163" s="12">
        <f t="shared" ca="1" si="38"/>
        <v>234.46519999999998</v>
      </c>
      <c r="O163" s="12">
        <f t="shared" ca="1" si="38"/>
        <v>233.90660000000003</v>
      </c>
      <c r="P163" s="13">
        <f t="shared" ca="1" si="9"/>
        <v>245.75453999999999</v>
      </c>
      <c r="Q163" s="13">
        <f t="shared" ca="1" si="10"/>
        <v>23.586507901821054</v>
      </c>
    </row>
    <row r="164" spans="1:17" ht="12.5" x14ac:dyDescent="0.25">
      <c r="A164" s="49" t="s">
        <v>24</v>
      </c>
      <c r="B164" s="48" t="s">
        <v>22</v>
      </c>
      <c r="C164" s="27" t="s">
        <v>19</v>
      </c>
      <c r="D164" s="28" t="s">
        <v>25</v>
      </c>
      <c r="E164" s="28" t="s">
        <v>21</v>
      </c>
      <c r="F164" s="20" t="e">
        <f t="shared" ref="F164:O164" si="39">F96+F130</f>
        <v>#REF!</v>
      </c>
      <c r="G164" s="20" t="e">
        <f t="shared" si="39"/>
        <v>#REF!</v>
      </c>
      <c r="H164" s="20" t="e">
        <f t="shared" si="39"/>
        <v>#REF!</v>
      </c>
      <c r="I164" s="20" t="e">
        <f t="shared" si="39"/>
        <v>#REF!</v>
      </c>
      <c r="J164" s="20" t="e">
        <f t="shared" si="39"/>
        <v>#REF!</v>
      </c>
      <c r="K164" s="20" t="e">
        <f t="shared" si="39"/>
        <v>#REF!</v>
      </c>
      <c r="L164" s="20" t="e">
        <f t="shared" si="39"/>
        <v>#REF!</v>
      </c>
      <c r="M164" s="20" t="e">
        <f t="shared" si="39"/>
        <v>#REF!</v>
      </c>
      <c r="N164" s="20" t="e">
        <f t="shared" si="39"/>
        <v>#REF!</v>
      </c>
      <c r="O164" s="20" t="e">
        <f t="shared" si="39"/>
        <v>#REF!</v>
      </c>
      <c r="P164" s="23" t="e">
        <f t="shared" si="9"/>
        <v>#REF!</v>
      </c>
      <c r="Q164" s="23" t="e">
        <f t="shared" si="10"/>
        <v>#REF!</v>
      </c>
    </row>
    <row r="165" spans="1:1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ht="12.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ht="12.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ht="12.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ht="12.5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ht="12.5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ht="12.5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ht="12.5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ht="12.5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ht="12.5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ht="12.5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ht="12.5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ht="12.5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ht="12.5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ht="12.5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ht="12.5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ht="12.5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ht="12.5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ht="12.5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ht="12.5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ht="12.5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ht="12.5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ht="12.5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ht="12.5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ht="12.5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ht="12.5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ht="12.5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ht="12.5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ht="12.5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</sheetData>
  <mergeCells count="40">
    <mergeCell ref="A20:A21"/>
    <mergeCell ref="A30:A31"/>
    <mergeCell ref="B30:B31"/>
    <mergeCell ref="C30:C31"/>
    <mergeCell ref="D30:D31"/>
    <mergeCell ref="B20:B21"/>
    <mergeCell ref="C20:C21"/>
    <mergeCell ref="D20:D21"/>
    <mergeCell ref="E65:E66"/>
    <mergeCell ref="F65:O65"/>
    <mergeCell ref="P20:P21"/>
    <mergeCell ref="Q20:Q21"/>
    <mergeCell ref="P30:P31"/>
    <mergeCell ref="Q30:Q31"/>
    <mergeCell ref="E30:E31"/>
    <mergeCell ref="F30:O30"/>
    <mergeCell ref="E20:E21"/>
    <mergeCell ref="F20:O20"/>
    <mergeCell ref="P65:P66"/>
    <mergeCell ref="Q65:Q66"/>
    <mergeCell ref="P99:P100"/>
    <mergeCell ref="Q99:Q100"/>
    <mergeCell ref="P133:P134"/>
    <mergeCell ref="Q133:Q134"/>
    <mergeCell ref="F133:O133"/>
    <mergeCell ref="A65:A66"/>
    <mergeCell ref="A99:A100"/>
    <mergeCell ref="B99:B100"/>
    <mergeCell ref="C99:C100"/>
    <mergeCell ref="D99:D100"/>
    <mergeCell ref="E99:E100"/>
    <mergeCell ref="F99:O99"/>
    <mergeCell ref="A133:A134"/>
    <mergeCell ref="B133:B134"/>
    <mergeCell ref="C133:C134"/>
    <mergeCell ref="D133:D134"/>
    <mergeCell ref="E133:E134"/>
    <mergeCell ref="B65:B66"/>
    <mergeCell ref="C65:C66"/>
    <mergeCell ref="D65:D66"/>
  </mergeCells>
  <phoneticPr fontId="13"/>
  <hyperlinks>
    <hyperlink ref="A8" r:id="rId1"/>
    <hyperlink ref="A12" r:id="rId2"/>
    <hyperlink ref="A16" r:id="rId3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274</v>
      </c>
      <c r="B2" s="33" t="str">
        <f ca="1">IFERROR(__xludf.DUMMYFUNCTION("split(A2,"":"")"),"time of detection")</f>
        <v>time of detection</v>
      </c>
      <c r="C2" s="33">
        <f ca="1">IFERROR(__xludf.DUMMYFUNCTION("""COMPUTED_VALUE"""),16.6364)</f>
        <v>16.636399999999998</v>
      </c>
    </row>
    <row r="3" spans="1:3" ht="15.75" customHeight="1" x14ac:dyDescent="0.25">
      <c r="A3" s="32" t="s">
        <v>275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IFERROR(__xludf.DUMMYFUNCTION("""COMPUTED_VALUE"""),91)</f>
        <v>91</v>
      </c>
    </row>
    <row r="4" spans="1:3" ht="15.75" customHeight="1" x14ac:dyDescent="0.25">
      <c r="A4" s="32" t="s">
        <v>276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IFERROR(__xludf.DUMMYFUNCTION("""COMPUTED_VALUE"""),1.4097)</f>
        <v>1.4097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277</v>
      </c>
      <c r="B6" s="33" t="str">
        <f ca="1">IFERROR(__xludf.DUMMYFUNCTION("split(A6,"":"")"),"time of detection")</f>
        <v>time of detection</v>
      </c>
      <c r="C6" s="33">
        <f ca="1">IFERROR(__xludf.DUMMYFUNCTION("""COMPUTED_VALUE"""),9.13055)</f>
        <v>9.1305499999999995</v>
      </c>
    </row>
    <row r="7" spans="1:3" ht="15.75" customHeight="1" x14ac:dyDescent="0.25">
      <c r="A7" s="32" t="s">
        <v>278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IFERROR(__xludf.DUMMYFUNCTION("""COMPUTED_VALUE"""),101)</f>
        <v>101</v>
      </c>
    </row>
    <row r="8" spans="1:3" ht="15.75" customHeight="1" x14ac:dyDescent="0.25">
      <c r="A8" s="32" t="s">
        <v>279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IFERROR(__xludf.DUMMYFUNCTION("""COMPUTED_VALUE"""),2.08948)</f>
        <v>2.08948</v>
      </c>
    </row>
    <row r="9" spans="1:3" ht="15.75" customHeight="1" x14ac:dyDescent="0.25">
      <c r="A9" s="32" t="s">
        <v>280</v>
      </c>
      <c r="B9" s="33" t="str">
        <f ca="1">IFERROR(__xludf.DUMMYFUNCTION("split(A9,"":"")"),"time of matching")</f>
        <v>time of matching</v>
      </c>
      <c r="C9" s="33">
        <f ca="1">IFERROR(__xludf.DUMMYFUNCTION("""COMPUTED_VALUE"""),0.421943)</f>
        <v>0.42194300000000001</v>
      </c>
    </row>
    <row r="10" spans="1:3" ht="15.75" customHeight="1" x14ac:dyDescent="0.25">
      <c r="A10" s="32" t="s">
        <v>281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IFERROR(__xludf.DUMMYFUNCTION("""COMPUTED_VALUE"""),49)</f>
        <v>49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282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IFERROR(__xludf.DUMMYFUNCTION("""COMPUTED_VALUE"""),8.87587)</f>
        <v>8.8758700000000008</v>
      </c>
    </row>
    <row r="13" spans="1:3" ht="15.75" customHeight="1" x14ac:dyDescent="0.25">
      <c r="A13" s="32" t="s">
        <v>283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IFERROR(__xludf.DUMMYFUNCTION("""COMPUTED_VALUE"""),106)</f>
        <v>106</v>
      </c>
    </row>
    <row r="14" spans="1:3" ht="15.75" customHeight="1" x14ac:dyDescent="0.25">
      <c r="A14" s="32" t="s">
        <v>284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IFERROR(__xludf.DUMMYFUNCTION("""COMPUTED_VALUE"""),0.664248)</f>
        <v>0.66424799999999995</v>
      </c>
    </row>
    <row r="15" spans="1:3" ht="15.75" customHeight="1" x14ac:dyDescent="0.25">
      <c r="A15" s="32" t="s">
        <v>285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IFERROR(__xludf.DUMMYFUNCTION("""COMPUTED_VALUE"""),0.531629)</f>
        <v>0.53162900000000002</v>
      </c>
    </row>
    <row r="16" spans="1:3" ht="15.75" customHeight="1" x14ac:dyDescent="0.25">
      <c r="A16" s="32" t="s">
        <v>286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IFERROR(__xludf.DUMMYFUNCTION("""COMPUTED_VALUE"""),42)</f>
        <v>42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287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IFERROR(__xludf.DUMMYFUNCTION("""COMPUTED_VALUE"""),7.86707)</f>
        <v>7.86707</v>
      </c>
    </row>
    <row r="19" spans="1:3" ht="15.75" customHeight="1" x14ac:dyDescent="0.25">
      <c r="A19" s="32" t="s">
        <v>288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IFERROR(__xludf.DUMMYFUNCTION("""COMPUTED_VALUE"""),113)</f>
        <v>113</v>
      </c>
    </row>
    <row r="20" spans="1:3" ht="15.75" customHeight="1" x14ac:dyDescent="0.25">
      <c r="A20" s="32" t="s">
        <v>289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IFERROR(__xludf.DUMMYFUNCTION("""COMPUTED_VALUE"""),0.632685)</f>
        <v>0.63268500000000005</v>
      </c>
    </row>
    <row r="21" spans="1:3" ht="15.75" customHeight="1" x14ac:dyDescent="0.25">
      <c r="A21" s="32" t="s">
        <v>290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IFERROR(__xludf.DUMMYFUNCTION("""COMPUTED_VALUE"""),0.638063)</f>
        <v>0.63806300000000005</v>
      </c>
    </row>
    <row r="22" spans="1:3" ht="15.75" customHeight="1" x14ac:dyDescent="0.25">
      <c r="A22" s="32" t="s">
        <v>291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IFERROR(__xludf.DUMMYFUNCTION("""COMPUTED_VALUE"""),44)</f>
        <v>44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292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IFERROR(__xludf.DUMMYFUNCTION("""COMPUTED_VALUE"""),8.27592)</f>
        <v>8.2759199999999993</v>
      </c>
    </row>
    <row r="25" spans="1:3" ht="15.75" customHeight="1" x14ac:dyDescent="0.25">
      <c r="A25" s="32" t="s">
        <v>293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IFERROR(__xludf.DUMMYFUNCTION("""COMPUTED_VALUE"""),110)</f>
        <v>110</v>
      </c>
    </row>
    <row r="26" spans="1:3" ht="15.75" customHeight="1" x14ac:dyDescent="0.25">
      <c r="A26" s="32" t="s">
        <v>294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IFERROR(__xludf.DUMMYFUNCTION("""COMPUTED_VALUE"""),0.679255)</f>
        <v>0.67925500000000005</v>
      </c>
    </row>
    <row r="27" spans="1:3" ht="15.75" customHeight="1" x14ac:dyDescent="0.25">
      <c r="A27" s="32" t="s">
        <v>295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IFERROR(__xludf.DUMMYFUNCTION("""COMPUTED_VALUE"""),0.473181)</f>
        <v>0.47318100000000002</v>
      </c>
    </row>
    <row r="28" spans="1:3" ht="15.75" customHeight="1" x14ac:dyDescent="0.25">
      <c r="A28" s="32" t="s">
        <v>296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IFERROR(__xludf.DUMMYFUNCTION("""COMPUTED_VALUE"""),58)</f>
        <v>58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297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IFERROR(__xludf.DUMMYFUNCTION("""COMPUTED_VALUE"""),7.79896)</f>
        <v>7.7989600000000001</v>
      </c>
    </row>
    <row r="31" spans="1:3" ht="15.75" customHeight="1" x14ac:dyDescent="0.25">
      <c r="A31" s="32" t="s">
        <v>298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IFERROR(__xludf.DUMMYFUNCTION("""COMPUTED_VALUE"""),124)</f>
        <v>124</v>
      </c>
    </row>
    <row r="32" spans="1:3" ht="15.75" customHeight="1" x14ac:dyDescent="0.25">
      <c r="A32" s="32" t="s">
        <v>299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IFERROR(__xludf.DUMMYFUNCTION("""COMPUTED_VALUE"""),0.679634)</f>
        <v>0.67963399999999996</v>
      </c>
    </row>
    <row r="33" spans="1:3" ht="15.75" customHeight="1" x14ac:dyDescent="0.25">
      <c r="A33" s="32" t="s">
        <v>300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IFERROR(__xludf.DUMMYFUNCTION("""COMPUTED_VALUE"""),0.477925)</f>
        <v>0.47792499999999999</v>
      </c>
    </row>
    <row r="34" spans="1:3" ht="15.75" customHeight="1" x14ac:dyDescent="0.25">
      <c r="A34" s="32" t="s">
        <v>301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IFERROR(__xludf.DUMMYFUNCTION("""COMPUTED_VALUE"""),53)</f>
        <v>53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302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IFERROR(__xludf.DUMMYFUNCTION("""COMPUTED_VALUE"""),8.32806)</f>
        <v>8.3280600000000007</v>
      </c>
    </row>
    <row r="37" spans="1:3" ht="15.75" customHeight="1" x14ac:dyDescent="0.25">
      <c r="A37" s="32" t="s">
        <v>303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IFERROR(__xludf.DUMMYFUNCTION("""COMPUTED_VALUE"""),128)</f>
        <v>128</v>
      </c>
    </row>
    <row r="38" spans="1:3" ht="15.75" customHeight="1" x14ac:dyDescent="0.25">
      <c r="A38" s="32" t="s">
        <v>304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IFERROR(__xludf.DUMMYFUNCTION("""COMPUTED_VALUE"""),0.729553)</f>
        <v>0.72955300000000001</v>
      </c>
    </row>
    <row r="39" spans="1:3" ht="15.75" customHeight="1" x14ac:dyDescent="0.25">
      <c r="A39" s="32" t="s">
        <v>305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IFERROR(__xludf.DUMMYFUNCTION("""COMPUTED_VALUE"""),0.808869)</f>
        <v>0.80886899999999995</v>
      </c>
    </row>
    <row r="40" spans="1:3" ht="12.5" x14ac:dyDescent="0.25">
      <c r="A40" s="32" t="s">
        <v>306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IFERROR(__xludf.DUMMYFUNCTION("""COMPUTED_VALUE"""),75)</f>
        <v>75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307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IFERROR(__xludf.DUMMYFUNCTION("""COMPUTED_VALUE"""),7.76185)</f>
        <v>7.7618499999999999</v>
      </c>
    </row>
    <row r="43" spans="1:3" ht="12.5" x14ac:dyDescent="0.25">
      <c r="A43" s="32" t="s">
        <v>308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IFERROR(__xludf.DUMMYFUNCTION("""COMPUTED_VALUE"""),127)</f>
        <v>127</v>
      </c>
    </row>
    <row r="44" spans="1:3" ht="12.5" x14ac:dyDescent="0.25">
      <c r="A44" s="32" t="s">
        <v>309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IFERROR(__xludf.DUMMYFUNCTION("""COMPUTED_VALUE"""),0.680484)</f>
        <v>0.68048399999999998</v>
      </c>
    </row>
    <row r="45" spans="1:3" ht="12.5" x14ac:dyDescent="0.25">
      <c r="A45" s="32" t="s">
        <v>310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IFERROR(__xludf.DUMMYFUNCTION("""COMPUTED_VALUE"""),0.540155)</f>
        <v>0.54015500000000005</v>
      </c>
    </row>
    <row r="46" spans="1:3" ht="12.5" x14ac:dyDescent="0.25">
      <c r="A46" s="32" t="s">
        <v>311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IFERROR(__xludf.DUMMYFUNCTION("""COMPUTED_VALUE"""),65)</f>
        <v>65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312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IFERROR(__xludf.DUMMYFUNCTION("""COMPUTED_VALUE"""),8.75574)</f>
        <v>8.7557399999999994</v>
      </c>
    </row>
    <row r="49" spans="1:3" ht="12.5" x14ac:dyDescent="0.25">
      <c r="A49" s="32" t="s">
        <v>298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IFERROR(__xludf.DUMMYFUNCTION("""COMPUTED_VALUE"""),124)</f>
        <v>124</v>
      </c>
    </row>
    <row r="50" spans="1:3" ht="12.5" x14ac:dyDescent="0.25">
      <c r="A50" s="32" t="s">
        <v>313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IFERROR(__xludf.DUMMYFUNCTION("""COMPUTED_VALUE"""),0.670971)</f>
        <v>0.67097099999999998</v>
      </c>
    </row>
    <row r="51" spans="1:3" ht="12.5" x14ac:dyDescent="0.25">
      <c r="A51" s="32" t="s">
        <v>314</v>
      </c>
      <c r="B51" s="33" t="str">
        <f ca="1">IFERROR(__xludf.DUMMYFUNCTION("split(A51,"":"")"),"time of matching")</f>
        <v>time of matching</v>
      </c>
      <c r="C51" s="33">
        <f ca="1">IFERROR(__xludf.DUMMYFUNCTION("""COMPUTED_VALUE"""),2.01356)</f>
        <v>2.01356</v>
      </c>
    </row>
    <row r="52" spans="1:3" ht="12.5" x14ac:dyDescent="0.25">
      <c r="A52" s="32" t="s">
        <v>315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IFERROR(__xludf.DUMMYFUNCTION("""COMPUTED_VALUE"""),82)</f>
        <v>82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316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IFERROR(__xludf.DUMMYFUNCTION("""COMPUTED_VALUE"""),7.89809)</f>
        <v>7.8980899999999998</v>
      </c>
    </row>
    <row r="55" spans="1:3" ht="12.5" x14ac:dyDescent="0.25">
      <c r="A55" s="32" t="s">
        <v>317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IFERROR(__xludf.DUMMYFUNCTION("""COMPUTED_VALUE"""),125)</f>
        <v>125</v>
      </c>
    </row>
    <row r="56" spans="1:3" ht="12.5" x14ac:dyDescent="0.25">
      <c r="A56" s="32" t="s">
        <v>318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IFERROR(__xludf.DUMMYFUNCTION("""COMPUTED_VALUE"""),0.669603)</f>
        <v>0.66960299999999995</v>
      </c>
    </row>
    <row r="57" spans="1:3" ht="12.5" x14ac:dyDescent="0.25">
      <c r="A57" s="32" t="s">
        <v>319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IFERROR(__xludf.DUMMYFUNCTION("""COMPUTED_VALUE"""),0.519315)</f>
        <v>0.51931499999999997</v>
      </c>
    </row>
    <row r="58" spans="1:3" ht="12.5" x14ac:dyDescent="0.25">
      <c r="A58" s="32" t="s">
        <v>311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IFERROR(__xludf.DUMMYFUNCTION("""COMPUTED_VALUE"""),65)</f>
        <v>65</v>
      </c>
    </row>
  </sheetData>
  <phoneticPr fontId="1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595</v>
      </c>
      <c r="B2" s="33" t="str">
        <f ca="1">IFERROR(__xludf.DUMMYFUNCTION("split(A2,"":"")"),"time of detection")</f>
        <v>time of detection</v>
      </c>
      <c r="C2" s="33">
        <f ca="1">IFERROR(__xludf.DUMMYFUNCTION("""COMPUTED_VALUE"""),18.1173)</f>
        <v>18.1173</v>
      </c>
    </row>
    <row r="3" spans="1:3" ht="15.75" customHeight="1" x14ac:dyDescent="0.25">
      <c r="A3" s="32" t="s">
        <v>275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IFERROR(__xludf.DUMMYFUNCTION("""COMPUTED_VALUE"""),91)</f>
        <v>91</v>
      </c>
    </row>
    <row r="4" spans="1:3" ht="15.75" customHeight="1" x14ac:dyDescent="0.25">
      <c r="A4" s="32" t="s">
        <v>596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IFERROR(__xludf.DUMMYFUNCTION("""COMPUTED_VALUE"""),6.26783)</f>
        <v>6.26783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597</v>
      </c>
      <c r="B6" s="33" t="str">
        <f ca="1">IFERROR(__xludf.DUMMYFUNCTION("split(A6,"":"")"),"time of detection")</f>
        <v>time of detection</v>
      </c>
      <c r="C6" s="33">
        <f ca="1">IFERROR(__xludf.DUMMYFUNCTION("""COMPUTED_VALUE"""),10.3253)</f>
        <v>10.3253</v>
      </c>
    </row>
    <row r="7" spans="1:3" ht="15.75" customHeight="1" x14ac:dyDescent="0.25">
      <c r="A7" s="32" t="s">
        <v>278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IFERROR(__xludf.DUMMYFUNCTION("""COMPUTED_VALUE"""),101)</f>
        <v>101</v>
      </c>
    </row>
    <row r="8" spans="1:3" ht="15.75" customHeight="1" x14ac:dyDescent="0.25">
      <c r="A8" s="32" t="s">
        <v>598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IFERROR(__xludf.DUMMYFUNCTION("""COMPUTED_VALUE"""),5.15297)</f>
        <v>5.1529699999999998</v>
      </c>
    </row>
    <row r="9" spans="1:3" ht="15.75" customHeight="1" x14ac:dyDescent="0.25">
      <c r="A9" s="32" t="s">
        <v>599</v>
      </c>
      <c r="B9" s="33" t="str">
        <f ca="1">IFERROR(__xludf.DUMMYFUNCTION("split(A9,"":"")"),"time of matching")</f>
        <v>time of matching</v>
      </c>
      <c r="C9" s="33">
        <f ca="1">IFERROR(__xludf.DUMMYFUNCTION("""COMPUTED_VALUE"""),0.486779)</f>
        <v>0.48677900000000002</v>
      </c>
    </row>
    <row r="10" spans="1:3" ht="15.75" customHeight="1" x14ac:dyDescent="0.25">
      <c r="A10" s="32" t="s">
        <v>600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IFERROR(__xludf.DUMMYFUNCTION("""COMPUTED_VALUE"""),66)</f>
        <v>66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601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IFERROR(__xludf.DUMMYFUNCTION("""COMPUTED_VALUE"""),8.73977)</f>
        <v>8.73977</v>
      </c>
    </row>
    <row r="13" spans="1:3" ht="15.75" customHeight="1" x14ac:dyDescent="0.25">
      <c r="A13" s="32" t="s">
        <v>283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IFERROR(__xludf.DUMMYFUNCTION("""COMPUTED_VALUE"""),106)</f>
        <v>106</v>
      </c>
    </row>
    <row r="14" spans="1:3" ht="15.75" customHeight="1" x14ac:dyDescent="0.25">
      <c r="A14" s="32" t="s">
        <v>602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IFERROR(__xludf.DUMMYFUNCTION("""COMPUTED_VALUE"""),7.4093)</f>
        <v>7.4093</v>
      </c>
    </row>
    <row r="15" spans="1:3" ht="15.75" customHeight="1" x14ac:dyDescent="0.25">
      <c r="A15" s="32" t="s">
        <v>603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IFERROR(__xludf.DUMMYFUNCTION("""COMPUTED_VALUE"""),0.421964)</f>
        <v>0.42196400000000001</v>
      </c>
    </row>
    <row r="16" spans="1:3" ht="15.75" customHeight="1" x14ac:dyDescent="0.25">
      <c r="A16" s="32" t="s">
        <v>604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IFERROR(__xludf.DUMMYFUNCTION("""COMPUTED_VALUE"""),68)</f>
        <v>68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605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IFERROR(__xludf.DUMMYFUNCTION("""COMPUTED_VALUE"""),7.90118)</f>
        <v>7.9011800000000001</v>
      </c>
    </row>
    <row r="19" spans="1:3" ht="15.75" customHeight="1" x14ac:dyDescent="0.25">
      <c r="A19" s="32" t="s">
        <v>288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IFERROR(__xludf.DUMMYFUNCTION("""COMPUTED_VALUE"""),113)</f>
        <v>113</v>
      </c>
    </row>
    <row r="20" spans="1:3" ht="15.75" customHeight="1" x14ac:dyDescent="0.25">
      <c r="A20" s="32" t="s">
        <v>606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IFERROR(__xludf.DUMMYFUNCTION("""COMPUTED_VALUE"""),7.11977)</f>
        <v>7.1197699999999999</v>
      </c>
    </row>
    <row r="21" spans="1:3" ht="15.75" customHeight="1" x14ac:dyDescent="0.25">
      <c r="A21" s="32" t="s">
        <v>607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IFERROR(__xludf.DUMMYFUNCTION("""COMPUTED_VALUE"""),0.467735)</f>
        <v>0.46773500000000001</v>
      </c>
    </row>
    <row r="22" spans="1:3" ht="15.75" customHeight="1" x14ac:dyDescent="0.25">
      <c r="A22" s="32" t="s">
        <v>608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IFERROR(__xludf.DUMMYFUNCTION("""COMPUTED_VALUE"""),70)</f>
        <v>70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609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IFERROR(__xludf.DUMMYFUNCTION("""COMPUTED_VALUE"""),7.89847)</f>
        <v>7.8984699999999997</v>
      </c>
    </row>
    <row r="25" spans="1:3" ht="15.75" customHeight="1" x14ac:dyDescent="0.25">
      <c r="A25" s="32" t="s">
        <v>334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IFERROR(__xludf.DUMMYFUNCTION("""COMPUTED_VALUE"""),109)</f>
        <v>109</v>
      </c>
    </row>
    <row r="26" spans="1:3" ht="15.75" customHeight="1" x14ac:dyDescent="0.25">
      <c r="A26" s="32" t="s">
        <v>610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IFERROR(__xludf.DUMMYFUNCTION("""COMPUTED_VALUE"""),7.62219)</f>
        <v>7.6221899999999998</v>
      </c>
    </row>
    <row r="27" spans="1:3" ht="15.75" customHeight="1" x14ac:dyDescent="0.25">
      <c r="A27" s="32" t="s">
        <v>611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IFERROR(__xludf.DUMMYFUNCTION("""COMPUTED_VALUE"""),0.488367)</f>
        <v>0.488367</v>
      </c>
    </row>
    <row r="28" spans="1:3" ht="15.75" customHeight="1" x14ac:dyDescent="0.25">
      <c r="A28" s="32" t="s">
        <v>612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IFERROR(__xludf.DUMMYFUNCTION("""COMPUTED_VALUE"""),84)</f>
        <v>84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613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IFERROR(__xludf.DUMMYFUNCTION("""COMPUTED_VALUE"""),8.44587)</f>
        <v>8.4458699999999993</v>
      </c>
    </row>
    <row r="31" spans="1:3" ht="15.75" customHeight="1" x14ac:dyDescent="0.25">
      <c r="A31" s="32" t="s">
        <v>298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IFERROR(__xludf.DUMMYFUNCTION("""COMPUTED_VALUE"""),124)</f>
        <v>124</v>
      </c>
    </row>
    <row r="32" spans="1:3" ht="15.75" customHeight="1" x14ac:dyDescent="0.25">
      <c r="A32" s="32" t="s">
        <v>614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IFERROR(__xludf.DUMMYFUNCTION("""COMPUTED_VALUE"""),6.92545)</f>
        <v>6.9254499999999997</v>
      </c>
    </row>
    <row r="33" spans="1:3" ht="15.75" customHeight="1" x14ac:dyDescent="0.25">
      <c r="A33" s="32" t="s">
        <v>615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IFERROR(__xludf.DUMMYFUNCTION("""COMPUTED_VALUE"""),0.527077)</f>
        <v>0.52707700000000002</v>
      </c>
    </row>
    <row r="34" spans="1:3" ht="15.75" customHeight="1" x14ac:dyDescent="0.25">
      <c r="A34" s="32" t="s">
        <v>390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IFERROR(__xludf.DUMMYFUNCTION("""COMPUTED_VALUE"""),90)</f>
        <v>90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616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IFERROR(__xludf.DUMMYFUNCTION("""COMPUTED_VALUE"""),7.83739)</f>
        <v>7.8373900000000001</v>
      </c>
    </row>
    <row r="37" spans="1:3" ht="15.75" customHeight="1" x14ac:dyDescent="0.25">
      <c r="A37" s="32" t="s">
        <v>303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IFERROR(__xludf.DUMMYFUNCTION("""COMPUTED_VALUE"""),128)</f>
        <v>128</v>
      </c>
    </row>
    <row r="38" spans="1:3" ht="15.75" customHeight="1" x14ac:dyDescent="0.25">
      <c r="A38" s="32" t="s">
        <v>617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IFERROR(__xludf.DUMMYFUNCTION("""COMPUTED_VALUE"""),7.17659)</f>
        <v>7.17659</v>
      </c>
    </row>
    <row r="39" spans="1:3" ht="15.75" customHeight="1" x14ac:dyDescent="0.25">
      <c r="A39" s="32" t="s">
        <v>618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IFERROR(__xludf.DUMMYFUNCTION("""COMPUTED_VALUE"""),0.597537)</f>
        <v>0.59753699999999998</v>
      </c>
    </row>
    <row r="40" spans="1:3" ht="12.5" x14ac:dyDescent="0.25">
      <c r="A40" s="32" t="s">
        <v>91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IFERROR(__xludf.DUMMYFUNCTION("""COMPUTED_VALUE"""),98)</f>
        <v>98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619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IFERROR(__xludf.DUMMYFUNCTION("""COMPUTED_VALUE"""),7.7006)</f>
        <v>7.7005999999999997</v>
      </c>
    </row>
    <row r="43" spans="1:3" ht="12.5" x14ac:dyDescent="0.25">
      <c r="A43" s="32" t="s">
        <v>308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IFERROR(__xludf.DUMMYFUNCTION("""COMPUTED_VALUE"""),127)</f>
        <v>127</v>
      </c>
    </row>
    <row r="44" spans="1:3" ht="12.5" x14ac:dyDescent="0.25">
      <c r="A44" s="32" t="s">
        <v>620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IFERROR(__xludf.DUMMYFUNCTION("""COMPUTED_VALUE"""),6.5211)</f>
        <v>6.5210999999999997</v>
      </c>
    </row>
    <row r="45" spans="1:3" ht="12.5" x14ac:dyDescent="0.25">
      <c r="A45" s="32" t="s">
        <v>621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IFERROR(__xludf.DUMMYFUNCTION("""COMPUTED_VALUE"""),0.577984)</f>
        <v>0.57798400000000005</v>
      </c>
    </row>
    <row r="46" spans="1:3" ht="12.5" x14ac:dyDescent="0.25">
      <c r="A46" s="32" t="s">
        <v>390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IFERROR(__xludf.DUMMYFUNCTION("""COMPUTED_VALUE"""),90)</f>
        <v>90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622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IFERROR(__xludf.DUMMYFUNCTION("""COMPUTED_VALUE"""),7.80199)</f>
        <v>7.80199</v>
      </c>
    </row>
    <row r="49" spans="1:3" ht="12.5" x14ac:dyDescent="0.25">
      <c r="A49" s="32" t="s">
        <v>298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IFERROR(__xludf.DUMMYFUNCTION("""COMPUTED_VALUE"""),124)</f>
        <v>124</v>
      </c>
    </row>
    <row r="50" spans="1:3" ht="12.5" x14ac:dyDescent="0.25">
      <c r="A50" s="32" t="s">
        <v>623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IFERROR(__xludf.DUMMYFUNCTION("""COMPUTED_VALUE"""),7.21665)</f>
        <v>7.2166499999999996</v>
      </c>
    </row>
    <row r="51" spans="1:3" ht="12.5" x14ac:dyDescent="0.25">
      <c r="A51" s="32" t="s">
        <v>624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IFERROR(__xludf.DUMMYFUNCTION("""COMPUTED_VALUE"""),0.616933)</f>
        <v>0.61693299999999995</v>
      </c>
    </row>
    <row r="52" spans="1:3" ht="12.5" x14ac:dyDescent="0.25">
      <c r="A52" s="32" t="s">
        <v>390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IFERROR(__xludf.DUMMYFUNCTION("""COMPUTED_VALUE"""),90)</f>
        <v>90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625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IFERROR(__xludf.DUMMYFUNCTION("""COMPUTED_VALUE"""),8.90441)</f>
        <v>8.9044100000000004</v>
      </c>
    </row>
    <row r="55" spans="1:3" ht="12.5" x14ac:dyDescent="0.25">
      <c r="A55" s="32" t="s">
        <v>317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IFERROR(__xludf.DUMMYFUNCTION("""COMPUTED_VALUE"""),125)</f>
        <v>125</v>
      </c>
    </row>
    <row r="56" spans="1:3" ht="12.5" x14ac:dyDescent="0.25">
      <c r="A56" s="32" t="s">
        <v>626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IFERROR(__xludf.DUMMYFUNCTION("""COMPUTED_VALUE"""),6.34345)</f>
        <v>6.3434499999999998</v>
      </c>
    </row>
    <row r="57" spans="1:3" ht="12.5" x14ac:dyDescent="0.25">
      <c r="A57" s="32" t="s">
        <v>627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IFERROR(__xludf.DUMMYFUNCTION("""COMPUTED_VALUE"""),0.76776)</f>
        <v>0.76776</v>
      </c>
    </row>
    <row r="58" spans="1:3" ht="12.5" x14ac:dyDescent="0.25">
      <c r="A58" s="32" t="s">
        <v>628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IFERROR(__xludf.DUMMYFUNCTION("""COMPUTED_VALUE"""),89)</f>
        <v>89</v>
      </c>
    </row>
  </sheetData>
  <phoneticPr fontId="1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320</v>
      </c>
      <c r="B2" s="33" t="str">
        <f ca="1">IFERROR(__xludf.DUMMYFUNCTION("split(A2,"":"")"),"time of detection")</f>
        <v>time of detection</v>
      </c>
      <c r="C2" s="33">
        <f ca="1">IFERROR(__xludf.DUMMYFUNCTION("""COMPUTED_VALUE"""),11.6093)</f>
        <v>11.609299999999999</v>
      </c>
    </row>
    <row r="3" spans="1:3" ht="15.75" customHeight="1" x14ac:dyDescent="0.25">
      <c r="A3" s="32" t="s">
        <v>275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IFERROR(__xludf.DUMMYFUNCTION("""COMPUTED_VALUE"""),91)</f>
        <v>91</v>
      </c>
    </row>
    <row r="4" spans="1:3" ht="15.75" customHeight="1" x14ac:dyDescent="0.25">
      <c r="A4" s="32" t="s">
        <v>321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IFERROR(__xludf.DUMMYFUNCTION("""COMPUTED_VALUE"""),45.1675)</f>
        <v>45.167499999999997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322</v>
      </c>
      <c r="B6" s="33" t="str">
        <f ca="1">IFERROR(__xludf.DUMMYFUNCTION("split(A6,"":"")"),"time of detection")</f>
        <v>time of detection</v>
      </c>
      <c r="C6" s="33">
        <f ca="1">IFERROR(__xludf.DUMMYFUNCTION("""COMPUTED_VALUE"""),10.1199)</f>
        <v>10.119899999999999</v>
      </c>
    </row>
    <row r="7" spans="1:3" ht="15.75" customHeight="1" x14ac:dyDescent="0.25">
      <c r="A7" s="32" t="s">
        <v>278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IFERROR(__xludf.DUMMYFUNCTION("""COMPUTED_VALUE"""),101)</f>
        <v>101</v>
      </c>
    </row>
    <row r="8" spans="1:3" ht="15.75" customHeight="1" x14ac:dyDescent="0.25">
      <c r="A8" s="32" t="s">
        <v>323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IFERROR(__xludf.DUMMYFUNCTION("""COMPUTED_VALUE"""),43.7144)</f>
        <v>43.714399999999998</v>
      </c>
    </row>
    <row r="9" spans="1:3" ht="15.75" customHeight="1" x14ac:dyDescent="0.25">
      <c r="A9" s="32" t="s">
        <v>324</v>
      </c>
      <c r="B9" s="33" t="str">
        <f ca="1">IFERROR(__xludf.DUMMYFUNCTION("split(A9,"":"")"),"time of matching")</f>
        <v>time of matching</v>
      </c>
      <c r="C9" s="33">
        <f ca="1">IFERROR(__xludf.DUMMYFUNCTION("""COMPUTED_VALUE"""),0.322369)</f>
        <v>0.32236900000000002</v>
      </c>
    </row>
    <row r="10" spans="1:3" ht="15.75" customHeight="1" x14ac:dyDescent="0.25">
      <c r="A10" s="32" t="s">
        <v>325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IFERROR(__xludf.DUMMYFUNCTION("""COMPUTED_VALUE"""),41)</f>
        <v>41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326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IFERROR(__xludf.DUMMYFUNCTION("""COMPUTED_VALUE"""),8.29267)</f>
        <v>8.2926699999999993</v>
      </c>
    </row>
    <row r="13" spans="1:3" ht="15.75" customHeight="1" x14ac:dyDescent="0.25">
      <c r="A13" s="32" t="s">
        <v>283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IFERROR(__xludf.DUMMYFUNCTION("""COMPUTED_VALUE"""),106)</f>
        <v>106</v>
      </c>
    </row>
    <row r="14" spans="1:3" ht="15.75" customHeight="1" x14ac:dyDescent="0.25">
      <c r="A14" s="32" t="s">
        <v>327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IFERROR(__xludf.DUMMYFUNCTION("""COMPUTED_VALUE"""),44.3966)</f>
        <v>44.396599999999999</v>
      </c>
    </row>
    <row r="15" spans="1:3" ht="15.75" customHeight="1" x14ac:dyDescent="0.25">
      <c r="A15" s="32" t="s">
        <v>328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IFERROR(__xludf.DUMMYFUNCTION("""COMPUTED_VALUE"""),0.267349)</f>
        <v>0.267349</v>
      </c>
    </row>
    <row r="16" spans="1:3" ht="15.75" customHeight="1" x14ac:dyDescent="0.25">
      <c r="A16" s="32" t="s">
        <v>329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IFERROR(__xludf.DUMMYFUNCTION("""COMPUTED_VALUE"""),36)</f>
        <v>36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330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IFERROR(__xludf.DUMMYFUNCTION("""COMPUTED_VALUE"""),7.76925)</f>
        <v>7.7692500000000004</v>
      </c>
    </row>
    <row r="19" spans="1:3" ht="15.75" customHeight="1" x14ac:dyDescent="0.25">
      <c r="A19" s="32" t="s">
        <v>288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IFERROR(__xludf.DUMMYFUNCTION("""COMPUTED_VALUE"""),113)</f>
        <v>113</v>
      </c>
    </row>
    <row r="20" spans="1:3" ht="15.75" customHeight="1" x14ac:dyDescent="0.25">
      <c r="A20" s="32" t="s">
        <v>331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IFERROR(__xludf.DUMMYFUNCTION("""COMPUTED_VALUE"""),41.859)</f>
        <v>41.859000000000002</v>
      </c>
    </row>
    <row r="21" spans="1:3" ht="15.75" customHeight="1" x14ac:dyDescent="0.25">
      <c r="A21" s="32" t="s">
        <v>332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IFERROR(__xludf.DUMMYFUNCTION("""COMPUTED_VALUE"""),0.269079)</f>
        <v>0.26907900000000001</v>
      </c>
    </row>
    <row r="22" spans="1:3" ht="15.75" customHeight="1" x14ac:dyDescent="0.25">
      <c r="A22" s="32" t="s">
        <v>291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IFERROR(__xludf.DUMMYFUNCTION("""COMPUTED_VALUE"""),44)</f>
        <v>44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333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IFERROR(__xludf.DUMMYFUNCTION("""COMPUTED_VALUE"""),7.96249)</f>
        <v>7.9624899999999998</v>
      </c>
    </row>
    <row r="25" spans="1:3" ht="15.75" customHeight="1" x14ac:dyDescent="0.25">
      <c r="A25" s="32" t="s">
        <v>334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IFERROR(__xludf.DUMMYFUNCTION("""COMPUTED_VALUE"""),109)</f>
        <v>109</v>
      </c>
    </row>
    <row r="26" spans="1:3" ht="15.75" customHeight="1" x14ac:dyDescent="0.25">
      <c r="A26" s="32" t="s">
        <v>335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IFERROR(__xludf.DUMMYFUNCTION("""COMPUTED_VALUE"""),42.4669)</f>
        <v>42.466900000000003</v>
      </c>
    </row>
    <row r="27" spans="1:3" ht="15.75" customHeight="1" x14ac:dyDescent="0.25">
      <c r="A27" s="32" t="s">
        <v>336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IFERROR(__xludf.DUMMYFUNCTION("""COMPUTED_VALUE"""),0.261631)</f>
        <v>0.261631</v>
      </c>
    </row>
    <row r="28" spans="1:3" ht="15.75" customHeight="1" x14ac:dyDescent="0.25">
      <c r="A28" s="32" t="s">
        <v>337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IFERROR(__xludf.DUMMYFUNCTION("""COMPUTED_VALUE"""),47)</f>
        <v>47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338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IFERROR(__xludf.DUMMYFUNCTION("""COMPUTED_VALUE"""),7.81266)</f>
        <v>7.8126600000000002</v>
      </c>
    </row>
    <row r="31" spans="1:3" ht="15.75" customHeight="1" x14ac:dyDescent="0.25">
      <c r="A31" s="32" t="s">
        <v>298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IFERROR(__xludf.DUMMYFUNCTION("""COMPUTED_VALUE"""),124)</f>
        <v>124</v>
      </c>
    </row>
    <row r="32" spans="1:3" ht="15.75" customHeight="1" x14ac:dyDescent="0.25">
      <c r="A32" s="32" t="s">
        <v>339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IFERROR(__xludf.DUMMYFUNCTION("""COMPUTED_VALUE"""),43.288)</f>
        <v>43.287999999999997</v>
      </c>
    </row>
    <row r="33" spans="1:3" ht="15.75" customHeight="1" x14ac:dyDescent="0.25">
      <c r="A33" s="32" t="s">
        <v>340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IFERROR(__xludf.DUMMYFUNCTION("""COMPUTED_VALUE"""),0.236331)</f>
        <v>0.23633100000000001</v>
      </c>
    </row>
    <row r="34" spans="1:3" ht="15.75" customHeight="1" x14ac:dyDescent="0.25">
      <c r="A34" s="32" t="s">
        <v>291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IFERROR(__xludf.DUMMYFUNCTION("""COMPUTED_VALUE"""),44)</f>
        <v>44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341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IFERROR(__xludf.DUMMYFUNCTION("""COMPUTED_VALUE"""),7.9558)</f>
        <v>7.9558</v>
      </c>
    </row>
    <row r="37" spans="1:3" ht="15.75" customHeight="1" x14ac:dyDescent="0.25">
      <c r="A37" s="32" t="s">
        <v>303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IFERROR(__xludf.DUMMYFUNCTION("""COMPUTED_VALUE"""),128)</f>
        <v>128</v>
      </c>
    </row>
    <row r="38" spans="1:3" ht="15.75" customHeight="1" x14ac:dyDescent="0.25">
      <c r="A38" s="32" t="s">
        <v>342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IFERROR(__xludf.DUMMYFUNCTION("""COMPUTED_VALUE"""),41.7062)</f>
        <v>41.706200000000003</v>
      </c>
    </row>
    <row r="39" spans="1:3" ht="15.75" customHeight="1" x14ac:dyDescent="0.25">
      <c r="A39" s="32" t="s">
        <v>343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IFERROR(__xludf.DUMMYFUNCTION("""COMPUTED_VALUE"""),0.265138)</f>
        <v>0.26513799999999998</v>
      </c>
    </row>
    <row r="40" spans="1:3" ht="12.5" x14ac:dyDescent="0.25">
      <c r="A40" s="32" t="s">
        <v>344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IFERROR(__xludf.DUMMYFUNCTION("""COMPUTED_VALUE"""),51)</f>
        <v>51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345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IFERROR(__xludf.DUMMYFUNCTION("""COMPUTED_VALUE"""),7.8607)</f>
        <v>7.8606999999999996</v>
      </c>
    </row>
    <row r="43" spans="1:3" ht="12.5" x14ac:dyDescent="0.25">
      <c r="A43" s="32" t="s">
        <v>308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IFERROR(__xludf.DUMMYFUNCTION("""COMPUTED_VALUE"""),127)</f>
        <v>127</v>
      </c>
    </row>
    <row r="44" spans="1:3" ht="12.5" x14ac:dyDescent="0.25">
      <c r="A44" s="32" t="s">
        <v>346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IFERROR(__xludf.DUMMYFUNCTION("""COMPUTED_VALUE"""),42.8813)</f>
        <v>42.881300000000003</v>
      </c>
    </row>
    <row r="45" spans="1:3" ht="12.5" x14ac:dyDescent="0.25">
      <c r="A45" s="32" t="s">
        <v>347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IFERROR(__xludf.DUMMYFUNCTION("""COMPUTED_VALUE"""),0.309474)</f>
        <v>0.30947400000000003</v>
      </c>
    </row>
    <row r="46" spans="1:3" ht="12.5" x14ac:dyDescent="0.25">
      <c r="A46" s="32" t="s">
        <v>348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IFERROR(__xludf.DUMMYFUNCTION("""COMPUTED_VALUE"""),52)</f>
        <v>52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349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IFERROR(__xludf.DUMMYFUNCTION("""COMPUTED_VALUE"""),7.82951)</f>
        <v>7.82951</v>
      </c>
    </row>
    <row r="49" spans="1:3" ht="12.5" x14ac:dyDescent="0.25">
      <c r="A49" s="32" t="s">
        <v>298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IFERROR(__xludf.DUMMYFUNCTION("""COMPUTED_VALUE"""),124)</f>
        <v>124</v>
      </c>
    </row>
    <row r="50" spans="1:3" ht="12.5" x14ac:dyDescent="0.25">
      <c r="A50" s="32" t="s">
        <v>350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IFERROR(__xludf.DUMMYFUNCTION("""COMPUTED_VALUE"""),42.1048)</f>
        <v>42.104799999999997</v>
      </c>
    </row>
    <row r="51" spans="1:3" ht="12.5" x14ac:dyDescent="0.25">
      <c r="A51" s="32" t="s">
        <v>351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IFERROR(__xludf.DUMMYFUNCTION("""COMPUTED_VALUE"""),0.365904)</f>
        <v>0.36590400000000001</v>
      </c>
    </row>
    <row r="52" spans="1:3" ht="12.5" x14ac:dyDescent="0.25">
      <c r="A52" s="32" t="s">
        <v>337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IFERROR(__xludf.DUMMYFUNCTION("""COMPUTED_VALUE"""),47)</f>
        <v>47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352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IFERROR(__xludf.DUMMYFUNCTION("""COMPUTED_VALUE"""),8.47363)</f>
        <v>8.47363</v>
      </c>
    </row>
    <row r="55" spans="1:3" ht="12.5" x14ac:dyDescent="0.25">
      <c r="A55" s="32" t="s">
        <v>317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IFERROR(__xludf.DUMMYFUNCTION("""COMPUTED_VALUE"""),125)</f>
        <v>125</v>
      </c>
    </row>
    <row r="56" spans="1:3" ht="12.5" x14ac:dyDescent="0.25">
      <c r="A56" s="32" t="s">
        <v>353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IFERROR(__xludf.DUMMYFUNCTION("""COMPUTED_VALUE"""),42.6189)</f>
        <v>42.618899999999996</v>
      </c>
    </row>
    <row r="57" spans="1:3" ht="12.5" x14ac:dyDescent="0.25">
      <c r="A57" s="32" t="s">
        <v>354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IFERROR(__xludf.DUMMYFUNCTION("""COMPUTED_VALUE"""),0.389827)</f>
        <v>0.38982699999999998</v>
      </c>
    </row>
    <row r="58" spans="1:3" ht="12.5" x14ac:dyDescent="0.25">
      <c r="A58" s="32" t="s">
        <v>355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IFERROR(__xludf.DUMMYFUNCTION("""COMPUTED_VALUE"""),54)</f>
        <v>54</v>
      </c>
    </row>
  </sheetData>
  <phoneticPr fontId="1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356</v>
      </c>
      <c r="B2" s="33" t="str">
        <f ca="1">IFERROR(__xludf.DUMMYFUNCTION("split(A2,"":"")"),"time of detection")</f>
        <v>time of detection</v>
      </c>
      <c r="C2" s="33">
        <f ca="1">IFERROR(__xludf.DUMMYFUNCTION("""COMPUTED_VALUE"""),13.1043)</f>
        <v>13.1043</v>
      </c>
    </row>
    <row r="3" spans="1:3" ht="15.75" customHeight="1" x14ac:dyDescent="0.25">
      <c r="A3" s="32" t="s">
        <v>275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IFERROR(__xludf.DUMMYFUNCTION("""COMPUTED_VALUE"""),91)</f>
        <v>91</v>
      </c>
    </row>
    <row r="4" spans="1:3" ht="15.75" customHeight="1" x14ac:dyDescent="0.25">
      <c r="A4" s="32" t="s">
        <v>357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IFERROR(__xludf.DUMMYFUNCTION("""COMPUTED_VALUE"""),331.305)</f>
        <v>331.30500000000001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358</v>
      </c>
      <c r="B6" s="33" t="str">
        <f ca="1">IFERROR(__xludf.DUMMYFUNCTION("split(A6,"":"")"),"time of detection")</f>
        <v>time of detection</v>
      </c>
      <c r="C6" s="33">
        <f ca="1">IFERROR(__xludf.DUMMYFUNCTION("""COMPUTED_VALUE"""),9.48939)</f>
        <v>9.4893900000000002</v>
      </c>
    </row>
    <row r="7" spans="1:3" ht="15.75" customHeight="1" x14ac:dyDescent="0.25">
      <c r="A7" s="32" t="s">
        <v>278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IFERROR(__xludf.DUMMYFUNCTION("""COMPUTED_VALUE"""),101)</f>
        <v>101</v>
      </c>
    </row>
    <row r="8" spans="1:3" ht="15.75" customHeight="1" x14ac:dyDescent="0.25">
      <c r="A8" s="32" t="s">
        <v>359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IFERROR(__xludf.DUMMYFUNCTION("""COMPUTED_VALUE"""),332.175)</f>
        <v>332.17500000000001</v>
      </c>
    </row>
    <row r="9" spans="1:3" ht="15.75" customHeight="1" x14ac:dyDescent="0.25">
      <c r="A9" s="32" t="s">
        <v>360</v>
      </c>
      <c r="B9" s="33" t="str">
        <f ca="1">IFERROR(__xludf.DUMMYFUNCTION("split(A9,"":"")"),"time of matching")</f>
        <v>time of matching</v>
      </c>
      <c r="C9" s="33">
        <f ca="1">IFERROR(__xludf.DUMMYFUNCTION("""COMPUTED_VALUE"""),0.451306)</f>
        <v>0.45130599999999998</v>
      </c>
    </row>
    <row r="10" spans="1:3" ht="15.75" customHeight="1" x14ac:dyDescent="0.25">
      <c r="A10" s="32" t="s">
        <v>361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IFERROR(__xludf.DUMMYFUNCTION("""COMPUTED_VALUE"""),73)</f>
        <v>73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362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IFERROR(__xludf.DUMMYFUNCTION("""COMPUTED_VALUE"""),8.90733)</f>
        <v>8.90733</v>
      </c>
    </row>
    <row r="13" spans="1:3" ht="15.75" customHeight="1" x14ac:dyDescent="0.25">
      <c r="A13" s="32" t="s">
        <v>283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IFERROR(__xludf.DUMMYFUNCTION("""COMPUTED_VALUE"""),106)</f>
        <v>106</v>
      </c>
    </row>
    <row r="14" spans="1:3" ht="15.75" customHeight="1" x14ac:dyDescent="0.25">
      <c r="A14" s="32" t="s">
        <v>363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IFERROR(__xludf.DUMMYFUNCTION("""COMPUTED_VALUE"""),338.468)</f>
        <v>338.46800000000002</v>
      </c>
    </row>
    <row r="15" spans="1:3" ht="15.75" customHeight="1" x14ac:dyDescent="0.25">
      <c r="A15" s="32" t="s">
        <v>364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IFERROR(__xludf.DUMMYFUNCTION("""COMPUTED_VALUE"""),0.649732)</f>
        <v>0.64973199999999998</v>
      </c>
    </row>
    <row r="16" spans="1:3" ht="15.75" customHeight="1" x14ac:dyDescent="0.25">
      <c r="A16" s="32" t="s">
        <v>361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IFERROR(__xludf.DUMMYFUNCTION("""COMPUTED_VALUE"""),73)</f>
        <v>73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365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IFERROR(__xludf.DUMMYFUNCTION("""COMPUTED_VALUE"""),7.72692)</f>
        <v>7.7269199999999998</v>
      </c>
    </row>
    <row r="19" spans="1:3" ht="15.75" customHeight="1" x14ac:dyDescent="0.25">
      <c r="A19" s="32" t="s">
        <v>288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IFERROR(__xludf.DUMMYFUNCTION("""COMPUTED_VALUE"""),113)</f>
        <v>113</v>
      </c>
    </row>
    <row r="20" spans="1:3" ht="15.75" customHeight="1" x14ac:dyDescent="0.25">
      <c r="A20" s="32" t="s">
        <v>366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IFERROR(__xludf.DUMMYFUNCTION("""COMPUTED_VALUE"""),333.172)</f>
        <v>333.17200000000003</v>
      </c>
    </row>
    <row r="21" spans="1:3" ht="15.75" customHeight="1" x14ac:dyDescent="0.25">
      <c r="A21" s="32" t="s">
        <v>367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IFERROR(__xludf.DUMMYFUNCTION("""COMPUTED_VALUE"""),0.475435)</f>
        <v>0.475435</v>
      </c>
    </row>
    <row r="22" spans="1:3" ht="15.75" customHeight="1" x14ac:dyDescent="0.25">
      <c r="A22" s="32" t="s">
        <v>368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IFERROR(__xludf.DUMMYFUNCTION("""COMPUTED_VALUE"""),78)</f>
        <v>78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369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IFERROR(__xludf.DUMMYFUNCTION("""COMPUTED_VALUE"""),8.08949)</f>
        <v>8.0894899999999996</v>
      </c>
    </row>
    <row r="25" spans="1:3" ht="15.75" customHeight="1" x14ac:dyDescent="0.25">
      <c r="A25" s="32" t="s">
        <v>334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IFERROR(__xludf.DUMMYFUNCTION("""COMPUTED_VALUE"""),109)</f>
        <v>109</v>
      </c>
    </row>
    <row r="26" spans="1:3" ht="15.75" customHeight="1" x14ac:dyDescent="0.25">
      <c r="A26" s="32" t="s">
        <v>370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IFERROR(__xludf.DUMMYFUNCTION("""COMPUTED_VALUE"""),337.506)</f>
        <v>337.50599999999997</v>
      </c>
    </row>
    <row r="27" spans="1:3" ht="15.75" customHeight="1" x14ac:dyDescent="0.25">
      <c r="A27" s="32" t="s">
        <v>371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IFERROR(__xludf.DUMMYFUNCTION("""COMPUTED_VALUE"""),0.461729)</f>
        <v>0.461729</v>
      </c>
    </row>
    <row r="28" spans="1:3" ht="15.75" customHeight="1" x14ac:dyDescent="0.25">
      <c r="A28" s="32" t="s">
        <v>141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IFERROR(__xludf.DUMMYFUNCTION("""COMPUTED_VALUE"""),85)</f>
        <v>85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372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IFERROR(__xludf.DUMMYFUNCTION("""COMPUTED_VALUE"""),7.91333)</f>
        <v>7.9133300000000002</v>
      </c>
    </row>
    <row r="31" spans="1:3" ht="15.75" customHeight="1" x14ac:dyDescent="0.25">
      <c r="A31" s="32" t="s">
        <v>298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IFERROR(__xludf.DUMMYFUNCTION("""COMPUTED_VALUE"""),124)</f>
        <v>124</v>
      </c>
    </row>
    <row r="32" spans="1:3" ht="15.75" customHeight="1" x14ac:dyDescent="0.25">
      <c r="A32" s="32" t="s">
        <v>373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IFERROR(__xludf.DUMMYFUNCTION("""COMPUTED_VALUE"""),331.784)</f>
        <v>331.78399999999999</v>
      </c>
    </row>
    <row r="33" spans="1:3" ht="15.75" customHeight="1" x14ac:dyDescent="0.25">
      <c r="A33" s="32" t="s">
        <v>374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IFERROR(__xludf.DUMMYFUNCTION("""COMPUTED_VALUE"""),0.717931)</f>
        <v>0.71793099999999999</v>
      </c>
    </row>
    <row r="34" spans="1:3" ht="15.75" customHeight="1" x14ac:dyDescent="0.25">
      <c r="A34" s="32" t="s">
        <v>375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IFERROR(__xludf.DUMMYFUNCTION("""COMPUTED_VALUE"""),79)</f>
        <v>79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376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IFERROR(__xludf.DUMMYFUNCTION("""COMPUTED_VALUE"""),7.86187)</f>
        <v>7.8618699999999997</v>
      </c>
    </row>
    <row r="37" spans="1:3" ht="15.75" customHeight="1" x14ac:dyDescent="0.25">
      <c r="A37" s="32" t="s">
        <v>303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IFERROR(__xludf.DUMMYFUNCTION("""COMPUTED_VALUE"""),128)</f>
        <v>128</v>
      </c>
    </row>
    <row r="38" spans="1:3" ht="15.75" customHeight="1" x14ac:dyDescent="0.25">
      <c r="A38" s="32" t="s">
        <v>377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IFERROR(__xludf.DUMMYFUNCTION("""COMPUTED_VALUE"""),337.74)</f>
        <v>337.74</v>
      </c>
    </row>
    <row r="39" spans="1:3" ht="15.75" customHeight="1" x14ac:dyDescent="0.25">
      <c r="A39" s="32" t="s">
        <v>378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IFERROR(__xludf.DUMMYFUNCTION("""COMPUTED_VALUE"""),0.573627)</f>
        <v>0.573627</v>
      </c>
    </row>
    <row r="40" spans="1:3" ht="12.5" x14ac:dyDescent="0.25">
      <c r="A40" s="32" t="s">
        <v>379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IFERROR(__xludf.DUMMYFUNCTION("""COMPUTED_VALUE"""),88)</f>
        <v>88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380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IFERROR(__xludf.DUMMYFUNCTION("""COMPUTED_VALUE"""),7.84193)</f>
        <v>7.8419299999999996</v>
      </c>
    </row>
    <row r="43" spans="1:3" ht="12.5" x14ac:dyDescent="0.25">
      <c r="A43" s="32" t="s">
        <v>308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IFERROR(__xludf.DUMMYFUNCTION("""COMPUTED_VALUE"""),127)</f>
        <v>127</v>
      </c>
    </row>
    <row r="44" spans="1:3" ht="12.5" x14ac:dyDescent="0.25">
      <c r="A44" s="32" t="s">
        <v>381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IFERROR(__xludf.DUMMYFUNCTION("""COMPUTED_VALUE"""),331.565)</f>
        <v>331.565</v>
      </c>
    </row>
    <row r="45" spans="1:3" ht="12.5" x14ac:dyDescent="0.25">
      <c r="A45" s="32" t="s">
        <v>382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IFERROR(__xludf.DUMMYFUNCTION("""COMPUTED_VALUE"""),0.555384)</f>
        <v>0.55538399999999999</v>
      </c>
    </row>
    <row r="46" spans="1:3" ht="12.5" x14ac:dyDescent="0.25">
      <c r="A46" s="32" t="s">
        <v>383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IFERROR(__xludf.DUMMYFUNCTION("""COMPUTED_VALUE"""),87)</f>
        <v>87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384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IFERROR(__xludf.DUMMYFUNCTION("""COMPUTED_VALUE"""),8.05518)</f>
        <v>8.05518</v>
      </c>
    </row>
    <row r="49" spans="1:3" ht="12.5" x14ac:dyDescent="0.25">
      <c r="A49" s="32" t="s">
        <v>298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IFERROR(__xludf.DUMMYFUNCTION("""COMPUTED_VALUE"""),124)</f>
        <v>124</v>
      </c>
    </row>
    <row r="50" spans="1:3" ht="12.5" x14ac:dyDescent="0.25">
      <c r="A50" s="32" t="s">
        <v>385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IFERROR(__xludf.DUMMYFUNCTION("""COMPUTED_VALUE"""),331.648)</f>
        <v>331.64800000000002</v>
      </c>
    </row>
    <row r="51" spans="1:3" ht="12.5" x14ac:dyDescent="0.25">
      <c r="A51" s="32" t="s">
        <v>386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IFERROR(__xludf.DUMMYFUNCTION("""COMPUTED_VALUE"""),0.546044)</f>
        <v>0.54604399999999997</v>
      </c>
    </row>
    <row r="52" spans="1:3" ht="12.5" x14ac:dyDescent="0.25">
      <c r="A52" s="32" t="s">
        <v>383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IFERROR(__xludf.DUMMYFUNCTION("""COMPUTED_VALUE"""),87)</f>
        <v>87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387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IFERROR(__xludf.DUMMYFUNCTION("""COMPUTED_VALUE"""),8.13315)</f>
        <v>8.1331500000000005</v>
      </c>
    </row>
    <row r="55" spans="1:3" ht="12.5" x14ac:dyDescent="0.25">
      <c r="A55" s="32" t="s">
        <v>317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IFERROR(__xludf.DUMMYFUNCTION("""COMPUTED_VALUE"""),125)</f>
        <v>125</v>
      </c>
    </row>
    <row r="56" spans="1:3" ht="12.5" x14ac:dyDescent="0.25">
      <c r="A56" s="32" t="s">
        <v>388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IFERROR(__xludf.DUMMYFUNCTION("""COMPUTED_VALUE"""),330.476)</f>
        <v>330.476</v>
      </c>
    </row>
    <row r="57" spans="1:3" ht="12.5" x14ac:dyDescent="0.25">
      <c r="A57" s="32" t="s">
        <v>389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IFERROR(__xludf.DUMMYFUNCTION("""COMPUTED_VALUE"""),0.586157)</f>
        <v>0.58615700000000004</v>
      </c>
    </row>
    <row r="58" spans="1:3" ht="12.5" x14ac:dyDescent="0.25">
      <c r="A58" s="32" t="s">
        <v>390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IFERROR(__xludf.DUMMYFUNCTION("""COMPUTED_VALUE"""),90)</f>
        <v>90</v>
      </c>
    </row>
  </sheetData>
  <phoneticPr fontId="1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391</v>
      </c>
      <c r="B2" s="33" t="str">
        <f ca="1">IFERROR(__xludf.DUMMYFUNCTION("split(A2,"":"")"),"time of detection")</f>
        <v>time of detection</v>
      </c>
      <c r="C2" s="33">
        <f ca="1">IFERROR(__xludf.DUMMYFUNCTION("""COMPUTED_VALUE"""),122.121)</f>
        <v>122.121</v>
      </c>
    </row>
    <row r="3" spans="1:3" ht="15.75" customHeight="1" x14ac:dyDescent="0.25">
      <c r="A3" s="32" t="s">
        <v>392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IFERROR(__xludf.DUMMYFUNCTION("""COMPUTED_VALUE"""),162)</f>
        <v>162</v>
      </c>
    </row>
    <row r="4" spans="1:3" ht="15.75" customHeight="1" x14ac:dyDescent="0.25">
      <c r="A4" s="32" t="s">
        <v>393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IFERROR(__xludf.DUMMYFUNCTION("""COMPUTED_VALUE"""),0.949294)</f>
        <v>0.94929399999999997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394</v>
      </c>
      <c r="B6" s="33" t="str">
        <f ca="1">IFERROR(__xludf.DUMMYFUNCTION("split(A6,"":"")"),"time of detection")</f>
        <v>time of detection</v>
      </c>
      <c r="C6" s="33">
        <f ca="1">IFERROR(__xludf.DUMMYFUNCTION("""COMPUTED_VALUE"""),109.799)</f>
        <v>109.79900000000001</v>
      </c>
    </row>
    <row r="7" spans="1:3" ht="15.75" customHeight="1" x14ac:dyDescent="0.25">
      <c r="A7" s="32" t="s">
        <v>51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IFERROR(__xludf.DUMMYFUNCTION("""COMPUTED_VALUE"""),157)</f>
        <v>157</v>
      </c>
    </row>
    <row r="8" spans="1:3" ht="15.75" customHeight="1" x14ac:dyDescent="0.25">
      <c r="A8" s="32" t="s">
        <v>395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IFERROR(__xludf.DUMMYFUNCTION("""COMPUTED_VALUE"""),1.23676)</f>
        <v>1.2367600000000001</v>
      </c>
    </row>
    <row r="9" spans="1:3" ht="15.75" customHeight="1" x14ac:dyDescent="0.25">
      <c r="A9" s="32" t="s">
        <v>396</v>
      </c>
      <c r="B9" s="33" t="str">
        <f ca="1">IFERROR(__xludf.DUMMYFUNCTION("split(A9,"":"")"),"time of matching")</f>
        <v>time of matching</v>
      </c>
      <c r="C9" s="33">
        <f ca="1">IFERROR(__xludf.DUMMYFUNCTION("""COMPUTED_VALUE"""),0.765788)</f>
        <v>0.76578800000000002</v>
      </c>
    </row>
    <row r="10" spans="1:3" ht="15.75" customHeight="1" x14ac:dyDescent="0.25">
      <c r="A10" s="32" t="s">
        <v>397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IFERROR(__xludf.DUMMYFUNCTION("""COMPUTED_VALUE"""),136)</f>
        <v>136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398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IFERROR(__xludf.DUMMYFUNCTION("""COMPUTED_VALUE"""),110.659)</f>
        <v>110.65900000000001</v>
      </c>
    </row>
    <row r="13" spans="1:3" ht="15.75" customHeight="1" x14ac:dyDescent="0.25">
      <c r="A13" s="32" t="s">
        <v>399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IFERROR(__xludf.DUMMYFUNCTION("""COMPUTED_VALUE"""),159)</f>
        <v>159</v>
      </c>
    </row>
    <row r="14" spans="1:3" ht="15.75" customHeight="1" x14ac:dyDescent="0.25">
      <c r="A14" s="32" t="s">
        <v>400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IFERROR(__xludf.DUMMYFUNCTION("""COMPUTED_VALUE"""),1.81684)</f>
        <v>1.81684</v>
      </c>
    </row>
    <row r="15" spans="1:3" ht="15.75" customHeight="1" x14ac:dyDescent="0.25">
      <c r="A15" s="32" t="s">
        <v>401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IFERROR(__xludf.DUMMYFUNCTION("""COMPUTED_VALUE"""),0.728937)</f>
        <v>0.72893699999999995</v>
      </c>
    </row>
    <row r="16" spans="1:3" ht="15.75" customHeight="1" x14ac:dyDescent="0.25">
      <c r="A16" s="32" t="s">
        <v>402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IFERROR(__xludf.DUMMYFUNCTION("""COMPUTED_VALUE"""),132)</f>
        <v>132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403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IFERROR(__xludf.DUMMYFUNCTION("""COMPUTED_VALUE"""),106.991)</f>
        <v>106.991</v>
      </c>
    </row>
    <row r="19" spans="1:3" ht="15.75" customHeight="1" x14ac:dyDescent="0.25">
      <c r="A19" s="32" t="s">
        <v>404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IFERROR(__xludf.DUMMYFUNCTION("""COMPUTED_VALUE"""),154)</f>
        <v>154</v>
      </c>
    </row>
    <row r="20" spans="1:3" ht="15.75" customHeight="1" x14ac:dyDescent="0.25">
      <c r="A20" s="32" t="s">
        <v>405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IFERROR(__xludf.DUMMYFUNCTION("""COMPUTED_VALUE"""),0.879075)</f>
        <v>0.87907500000000005</v>
      </c>
    </row>
    <row r="21" spans="1:3" ht="15.75" customHeight="1" x14ac:dyDescent="0.25">
      <c r="A21" s="32" t="s">
        <v>406</v>
      </c>
      <c r="B21" s="33" t="str">
        <f ca="1">IFERROR(__xludf.DUMMYFUNCTION("split(A21,"":"")"),"time of matching")</f>
        <v>time of matching</v>
      </c>
      <c r="C21" s="33">
        <f ca="1">IFERROR(__xludf.DUMMYFUNCTION("""COMPUTED_VALUE"""),1.04339)</f>
        <v>1.04339</v>
      </c>
    </row>
    <row r="22" spans="1:3" ht="15.75" customHeight="1" x14ac:dyDescent="0.25">
      <c r="A22" s="32" t="s">
        <v>48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IFERROR(__xludf.DUMMYFUNCTION("""COMPUTED_VALUE"""),129)</f>
        <v>129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407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IFERROR(__xludf.DUMMYFUNCTION("""COMPUTED_VALUE"""),105.48)</f>
        <v>105.48</v>
      </c>
    </row>
    <row r="25" spans="1:3" ht="15.75" customHeight="1" x14ac:dyDescent="0.25">
      <c r="A25" s="32" t="s">
        <v>392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IFERROR(__xludf.DUMMYFUNCTION("""COMPUTED_VALUE"""),162)</f>
        <v>162</v>
      </c>
    </row>
    <row r="26" spans="1:3" ht="15.75" customHeight="1" x14ac:dyDescent="0.25">
      <c r="A26" s="32" t="s">
        <v>408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IFERROR(__xludf.DUMMYFUNCTION("""COMPUTED_VALUE"""),1.69069)</f>
        <v>1.69069</v>
      </c>
    </row>
    <row r="27" spans="1:3" ht="15.75" customHeight="1" x14ac:dyDescent="0.25">
      <c r="A27" s="32" t="s">
        <v>409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IFERROR(__xludf.DUMMYFUNCTION("""COMPUTED_VALUE"""),0.759719)</f>
        <v>0.75971900000000003</v>
      </c>
    </row>
    <row r="28" spans="1:3" ht="15.75" customHeight="1" x14ac:dyDescent="0.25">
      <c r="A28" s="32" t="s">
        <v>402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IFERROR(__xludf.DUMMYFUNCTION("""COMPUTED_VALUE"""),132)</f>
        <v>132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410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IFERROR(__xludf.DUMMYFUNCTION("""COMPUTED_VALUE"""),106.594)</f>
        <v>106.59399999999999</v>
      </c>
    </row>
    <row r="31" spans="1:3" ht="15.75" customHeight="1" x14ac:dyDescent="0.25">
      <c r="A31" s="32" t="s">
        <v>411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IFERROR(__xludf.DUMMYFUNCTION("""COMPUTED_VALUE"""),163)</f>
        <v>163</v>
      </c>
    </row>
    <row r="32" spans="1:3" ht="15.75" customHeight="1" x14ac:dyDescent="0.25">
      <c r="A32" s="32" t="s">
        <v>412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IFERROR(__xludf.DUMMYFUNCTION("""COMPUTED_VALUE"""),1.66984)</f>
        <v>1.66984</v>
      </c>
    </row>
    <row r="33" spans="1:3" ht="15.75" customHeight="1" x14ac:dyDescent="0.25">
      <c r="A33" s="32" t="s">
        <v>413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IFERROR(__xludf.DUMMYFUNCTION("""COMPUTED_VALUE"""),0.764286)</f>
        <v>0.76428600000000002</v>
      </c>
    </row>
    <row r="34" spans="1:3" ht="15.75" customHeight="1" x14ac:dyDescent="0.25">
      <c r="A34" s="32" t="s">
        <v>414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IFERROR(__xludf.DUMMYFUNCTION("""COMPUTED_VALUE"""),135)</f>
        <v>135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415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IFERROR(__xludf.DUMMYFUNCTION("""COMPUTED_VALUE"""),106.362)</f>
        <v>106.36199999999999</v>
      </c>
    </row>
    <row r="37" spans="1:3" ht="15.75" customHeight="1" x14ac:dyDescent="0.25">
      <c r="A37" s="32" t="s">
        <v>416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IFERROR(__xludf.DUMMYFUNCTION("""COMPUTED_VALUE"""),173)</f>
        <v>173</v>
      </c>
    </row>
    <row r="38" spans="1:3" ht="15.75" customHeight="1" x14ac:dyDescent="0.25">
      <c r="A38" s="32" t="s">
        <v>417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IFERROR(__xludf.DUMMYFUNCTION("""COMPUTED_VALUE"""),1.7181)</f>
        <v>1.7181</v>
      </c>
    </row>
    <row r="39" spans="1:3" ht="15.75" customHeight="1" x14ac:dyDescent="0.25">
      <c r="A39" s="32" t="s">
        <v>418</v>
      </c>
      <c r="B39" s="33" t="str">
        <f ca="1">IFERROR(__xludf.DUMMYFUNCTION("split(A39,"":"")"),"time of matching")</f>
        <v>time of matching</v>
      </c>
      <c r="C39" s="33">
        <f ca="1">IFERROR(__xludf.DUMMYFUNCTION("""COMPUTED_VALUE"""),1.11214)</f>
        <v>1.1121399999999999</v>
      </c>
    </row>
    <row r="40" spans="1:3" ht="12.5" x14ac:dyDescent="0.25">
      <c r="A40" s="32" t="s">
        <v>419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IFERROR(__xludf.DUMMYFUNCTION("""COMPUTED_VALUE"""),145)</f>
        <v>145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420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IFERROR(__xludf.DUMMYFUNCTION("""COMPUTED_VALUE"""),113.354)</f>
        <v>113.354</v>
      </c>
    </row>
    <row r="43" spans="1:3" ht="12.5" x14ac:dyDescent="0.25">
      <c r="A43" s="32" t="s">
        <v>421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IFERROR(__xludf.DUMMYFUNCTION("""COMPUTED_VALUE"""),175)</f>
        <v>175</v>
      </c>
    </row>
    <row r="44" spans="1:3" ht="12.5" x14ac:dyDescent="0.25">
      <c r="A44" s="32" t="s">
        <v>422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IFERROR(__xludf.DUMMYFUNCTION("""COMPUTED_VALUE"""),1.68978)</f>
        <v>1.6897800000000001</v>
      </c>
    </row>
    <row r="45" spans="1:3" ht="12.5" x14ac:dyDescent="0.25">
      <c r="A45" s="32" t="s">
        <v>423</v>
      </c>
      <c r="B45" s="33" t="str">
        <f ca="1">IFERROR(__xludf.DUMMYFUNCTION("split(A45,"":"")"),"time of matching")</f>
        <v>time of matching</v>
      </c>
      <c r="C45" s="33">
        <f ca="1">IFERROR(__xludf.DUMMYFUNCTION("""COMPUTED_VALUE"""),1.10623)</f>
        <v>1.10623</v>
      </c>
    </row>
    <row r="46" spans="1:3" ht="12.5" x14ac:dyDescent="0.25">
      <c r="A46" s="32" t="s">
        <v>424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IFERROR(__xludf.DUMMYFUNCTION("""COMPUTED_VALUE"""),149)</f>
        <v>149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425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IFERROR(__xludf.DUMMYFUNCTION("""COMPUTED_VALUE"""),109.325)</f>
        <v>109.325</v>
      </c>
    </row>
    <row r="49" spans="1:3" ht="12.5" x14ac:dyDescent="0.25">
      <c r="A49" s="32" t="s">
        <v>421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IFERROR(__xludf.DUMMYFUNCTION("""COMPUTED_VALUE"""),175)</f>
        <v>175</v>
      </c>
    </row>
    <row r="50" spans="1:3" ht="12.5" x14ac:dyDescent="0.25">
      <c r="A50" s="32" t="s">
        <v>426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IFERROR(__xludf.DUMMYFUNCTION("""COMPUTED_VALUE"""),1.83818)</f>
        <v>1.8381799999999999</v>
      </c>
    </row>
    <row r="51" spans="1:3" ht="12.5" x14ac:dyDescent="0.25">
      <c r="A51" s="32" t="s">
        <v>427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IFERROR(__xludf.DUMMYFUNCTION("""COMPUTED_VALUE"""),0.99014)</f>
        <v>0.99014000000000002</v>
      </c>
    </row>
    <row r="52" spans="1:3" ht="12.5" x14ac:dyDescent="0.25">
      <c r="A52" s="32" t="s">
        <v>428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IFERROR(__xludf.DUMMYFUNCTION("""COMPUTED_VALUE"""),148)</f>
        <v>148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429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IFERROR(__xludf.DUMMYFUNCTION("""COMPUTED_VALUE"""),107.778)</f>
        <v>107.77800000000001</v>
      </c>
    </row>
    <row r="55" spans="1:3" ht="12.5" x14ac:dyDescent="0.25">
      <c r="A55" s="32" t="s">
        <v>421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IFERROR(__xludf.DUMMYFUNCTION("""COMPUTED_VALUE"""),175)</f>
        <v>175</v>
      </c>
    </row>
    <row r="56" spans="1:3" ht="12.5" x14ac:dyDescent="0.25">
      <c r="A56" s="32" t="s">
        <v>430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IFERROR(__xludf.DUMMYFUNCTION("""COMPUTED_VALUE"""),1.73294)</f>
        <v>1.7329399999999999</v>
      </c>
    </row>
    <row r="57" spans="1:3" ht="12.5" x14ac:dyDescent="0.25">
      <c r="A57" s="32" t="s">
        <v>431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IFERROR(__xludf.DUMMYFUNCTION("""COMPUTED_VALUE"""),0.851118)</f>
        <v>0.85111800000000004</v>
      </c>
    </row>
    <row r="58" spans="1:3" ht="12.5" x14ac:dyDescent="0.25">
      <c r="A58" s="32" t="s">
        <v>432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IFERROR(__xludf.DUMMYFUNCTION("""COMPUTED_VALUE"""),151)</f>
        <v>151</v>
      </c>
    </row>
  </sheetData>
  <phoneticPr fontId="1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629</v>
      </c>
      <c r="B2" s="33" t="str">
        <f ca="1">IFERROR(__xludf.DUMMYFUNCTION("split(A2,"":"")"),"time of detection")</f>
        <v>time of detection</v>
      </c>
      <c r="C2" s="33">
        <f ca="1">IFERROR(__xludf.DUMMYFUNCTION("""COMPUTED_VALUE"""),115.215)</f>
        <v>115.215</v>
      </c>
    </row>
    <row r="3" spans="1:3" ht="15.75" customHeight="1" x14ac:dyDescent="0.25">
      <c r="A3" s="32" t="s">
        <v>392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IFERROR(__xludf.DUMMYFUNCTION("""COMPUTED_VALUE"""),162)</f>
        <v>162</v>
      </c>
    </row>
    <row r="4" spans="1:3" ht="15.75" customHeight="1" x14ac:dyDescent="0.25">
      <c r="A4" s="32" t="s">
        <v>630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IFERROR(__xludf.DUMMYFUNCTION("""COMPUTED_VALUE"""),3.31884)</f>
        <v>3.3188399999999998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631</v>
      </c>
      <c r="B6" s="33" t="str">
        <f ca="1">IFERROR(__xludf.DUMMYFUNCTION("split(A6,"":"")"),"time of detection")</f>
        <v>time of detection</v>
      </c>
      <c r="C6" s="33">
        <f ca="1">IFERROR(__xludf.DUMMYFUNCTION("""COMPUTED_VALUE"""),107.965)</f>
        <v>107.965</v>
      </c>
    </row>
    <row r="7" spans="1:3" ht="15.75" customHeight="1" x14ac:dyDescent="0.25">
      <c r="A7" s="32" t="s">
        <v>51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IFERROR(__xludf.DUMMYFUNCTION("""COMPUTED_VALUE"""),157)</f>
        <v>157</v>
      </c>
    </row>
    <row r="8" spans="1:3" ht="15.75" customHeight="1" x14ac:dyDescent="0.25">
      <c r="A8" s="32" t="s">
        <v>632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IFERROR(__xludf.DUMMYFUNCTION("""COMPUTED_VALUE"""),3.61989)</f>
        <v>3.6198899999999998</v>
      </c>
    </row>
    <row r="9" spans="1:3" ht="15.75" customHeight="1" x14ac:dyDescent="0.25">
      <c r="A9" s="32" t="s">
        <v>633</v>
      </c>
      <c r="B9" s="33" t="str">
        <f ca="1">IFERROR(__xludf.DUMMYFUNCTION("split(A9,"":"")"),"time of matching")</f>
        <v>time of matching</v>
      </c>
      <c r="C9" s="33">
        <f ca="1">IFERROR(__xludf.DUMMYFUNCTION("""COMPUTED_VALUE"""),0.809523)</f>
        <v>0.80952299999999999</v>
      </c>
    </row>
    <row r="10" spans="1:3" ht="15.75" customHeight="1" x14ac:dyDescent="0.25">
      <c r="A10" s="32" t="s">
        <v>441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IFERROR(__xludf.DUMMYFUNCTION("""COMPUTED_VALUE"""),127)</f>
        <v>127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634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IFERROR(__xludf.DUMMYFUNCTION("""COMPUTED_VALUE"""),110.881)</f>
        <v>110.881</v>
      </c>
    </row>
    <row r="13" spans="1:3" ht="15.75" customHeight="1" x14ac:dyDescent="0.25">
      <c r="A13" s="32" t="s">
        <v>399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IFERROR(__xludf.DUMMYFUNCTION("""COMPUTED_VALUE"""),159)</f>
        <v>159</v>
      </c>
    </row>
    <row r="14" spans="1:3" ht="15.75" customHeight="1" x14ac:dyDescent="0.25">
      <c r="A14" s="32" t="s">
        <v>635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IFERROR(__xludf.DUMMYFUNCTION("""COMPUTED_VALUE"""),3.94477)</f>
        <v>3.9447700000000001</v>
      </c>
    </row>
    <row r="15" spans="1:3" ht="15.75" customHeight="1" x14ac:dyDescent="0.25">
      <c r="A15" s="32" t="s">
        <v>636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IFERROR(__xludf.DUMMYFUNCTION("""COMPUTED_VALUE"""),0.819858)</f>
        <v>0.81985799999999998</v>
      </c>
    </row>
    <row r="16" spans="1:3" ht="15.75" customHeight="1" x14ac:dyDescent="0.25">
      <c r="A16" s="32" t="s">
        <v>441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IFERROR(__xludf.DUMMYFUNCTION("""COMPUTED_VALUE"""),127)</f>
        <v>127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637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IFERROR(__xludf.DUMMYFUNCTION("""COMPUTED_VALUE"""),107.291)</f>
        <v>107.291</v>
      </c>
    </row>
    <row r="19" spans="1:3" ht="15.75" customHeight="1" x14ac:dyDescent="0.25">
      <c r="A19" s="32" t="s">
        <v>404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IFERROR(__xludf.DUMMYFUNCTION("""COMPUTED_VALUE"""),154)</f>
        <v>154</v>
      </c>
    </row>
    <row r="20" spans="1:3" ht="15.75" customHeight="1" x14ac:dyDescent="0.25">
      <c r="A20" s="32" t="s">
        <v>638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IFERROR(__xludf.DUMMYFUNCTION("""COMPUTED_VALUE"""),2.35197)</f>
        <v>2.3519700000000001</v>
      </c>
    </row>
    <row r="21" spans="1:3" ht="15.75" customHeight="1" x14ac:dyDescent="0.25">
      <c r="A21" s="32" t="s">
        <v>639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IFERROR(__xludf.DUMMYFUNCTION("""COMPUTED_VALUE"""),0.783795)</f>
        <v>0.78379500000000002</v>
      </c>
    </row>
    <row r="22" spans="1:3" ht="15.75" customHeight="1" x14ac:dyDescent="0.25">
      <c r="A22" s="32" t="s">
        <v>640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IFERROR(__xludf.DUMMYFUNCTION("""COMPUTED_VALUE"""),125)</f>
        <v>125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641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IFERROR(__xludf.DUMMYFUNCTION("""COMPUTED_VALUE"""),110.185)</f>
        <v>110.185</v>
      </c>
    </row>
    <row r="25" spans="1:3" ht="15.75" customHeight="1" x14ac:dyDescent="0.25">
      <c r="A25" s="32" t="s">
        <v>392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IFERROR(__xludf.DUMMYFUNCTION("""COMPUTED_VALUE"""),162)</f>
        <v>162</v>
      </c>
    </row>
    <row r="26" spans="1:3" ht="15.75" customHeight="1" x14ac:dyDescent="0.25">
      <c r="A26" s="32" t="s">
        <v>642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IFERROR(__xludf.DUMMYFUNCTION("""COMPUTED_VALUE"""),2.40301)</f>
        <v>2.4030100000000001</v>
      </c>
    </row>
    <row r="27" spans="1:3" ht="15.75" customHeight="1" x14ac:dyDescent="0.25">
      <c r="A27" s="32" t="s">
        <v>643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IFERROR(__xludf.DUMMYFUNCTION("""COMPUTED_VALUE"""),0.780914)</f>
        <v>0.780914</v>
      </c>
    </row>
    <row r="28" spans="1:3" ht="15.75" customHeight="1" x14ac:dyDescent="0.25">
      <c r="A28" s="32" t="s">
        <v>43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IFERROR(__xludf.DUMMYFUNCTION("""COMPUTED_VALUE"""),119)</f>
        <v>119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644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IFERROR(__xludf.DUMMYFUNCTION("""COMPUTED_VALUE"""),107.999)</f>
        <v>107.999</v>
      </c>
    </row>
    <row r="31" spans="1:3" ht="15.75" customHeight="1" x14ac:dyDescent="0.25">
      <c r="A31" s="32" t="s">
        <v>411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IFERROR(__xludf.DUMMYFUNCTION("""COMPUTED_VALUE"""),163)</f>
        <v>163</v>
      </c>
    </row>
    <row r="32" spans="1:3" ht="15.75" customHeight="1" x14ac:dyDescent="0.25">
      <c r="A32" s="32" t="s">
        <v>645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IFERROR(__xludf.DUMMYFUNCTION("""COMPUTED_VALUE"""),2.96095)</f>
        <v>2.96095</v>
      </c>
    </row>
    <row r="33" spans="1:3" ht="15.75" customHeight="1" x14ac:dyDescent="0.25">
      <c r="A33" s="32" t="s">
        <v>646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IFERROR(__xludf.DUMMYFUNCTION("""COMPUTED_VALUE"""),0.824594)</f>
        <v>0.82459400000000005</v>
      </c>
    </row>
    <row r="34" spans="1:3" ht="15.75" customHeight="1" x14ac:dyDescent="0.25">
      <c r="A34" s="32" t="s">
        <v>48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IFERROR(__xludf.DUMMYFUNCTION("""COMPUTED_VALUE"""),129)</f>
        <v>129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647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IFERROR(__xludf.DUMMYFUNCTION("""COMPUTED_VALUE"""),106.597)</f>
        <v>106.59699999999999</v>
      </c>
    </row>
    <row r="37" spans="1:3" ht="15.75" customHeight="1" x14ac:dyDescent="0.25">
      <c r="A37" s="32" t="s">
        <v>416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IFERROR(__xludf.DUMMYFUNCTION("""COMPUTED_VALUE"""),173)</f>
        <v>173</v>
      </c>
    </row>
    <row r="38" spans="1:3" ht="15.75" customHeight="1" x14ac:dyDescent="0.25">
      <c r="A38" s="32" t="s">
        <v>648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IFERROR(__xludf.DUMMYFUNCTION("""COMPUTED_VALUE"""),3.28918)</f>
        <v>3.28918</v>
      </c>
    </row>
    <row r="39" spans="1:3" ht="15.75" customHeight="1" x14ac:dyDescent="0.25">
      <c r="A39" s="32" t="s">
        <v>649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IFERROR(__xludf.DUMMYFUNCTION("""COMPUTED_VALUE"""),0.814527)</f>
        <v>0.814527</v>
      </c>
    </row>
    <row r="40" spans="1:3" ht="12.5" x14ac:dyDescent="0.25">
      <c r="A40" s="32" t="s">
        <v>515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IFERROR(__xludf.DUMMYFUNCTION("""COMPUTED_VALUE"""),130)</f>
        <v>130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650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IFERROR(__xludf.DUMMYFUNCTION("""COMPUTED_VALUE"""),107.208)</f>
        <v>107.208</v>
      </c>
    </row>
    <row r="43" spans="1:3" ht="12.5" x14ac:dyDescent="0.25">
      <c r="A43" s="32" t="s">
        <v>421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IFERROR(__xludf.DUMMYFUNCTION("""COMPUTED_VALUE"""),175)</f>
        <v>175</v>
      </c>
    </row>
    <row r="44" spans="1:3" ht="12.5" x14ac:dyDescent="0.25">
      <c r="A44" s="32" t="s">
        <v>651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IFERROR(__xludf.DUMMYFUNCTION("""COMPUTED_VALUE"""),3.09979)</f>
        <v>3.09979</v>
      </c>
    </row>
    <row r="45" spans="1:3" ht="12.5" x14ac:dyDescent="0.25">
      <c r="A45" s="32" t="s">
        <v>652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IFERROR(__xludf.DUMMYFUNCTION("""COMPUTED_VALUE"""),0.963161)</f>
        <v>0.96316100000000004</v>
      </c>
    </row>
    <row r="46" spans="1:3" ht="12.5" x14ac:dyDescent="0.25">
      <c r="A46" s="32" t="s">
        <v>414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IFERROR(__xludf.DUMMYFUNCTION("""COMPUTED_VALUE"""),135)</f>
        <v>135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653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IFERROR(__xludf.DUMMYFUNCTION("""COMPUTED_VALUE"""),106.998)</f>
        <v>106.998</v>
      </c>
    </row>
    <row r="49" spans="1:3" ht="12.5" x14ac:dyDescent="0.25">
      <c r="A49" s="32" t="s">
        <v>421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IFERROR(__xludf.DUMMYFUNCTION("""COMPUTED_VALUE"""),175)</f>
        <v>175</v>
      </c>
    </row>
    <row r="50" spans="1:3" ht="12.5" x14ac:dyDescent="0.25">
      <c r="A50" s="32" t="s">
        <v>654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IFERROR(__xludf.DUMMYFUNCTION("""COMPUTED_VALUE"""),3.02697)</f>
        <v>3.0269699999999999</v>
      </c>
    </row>
    <row r="51" spans="1:3" ht="12.5" x14ac:dyDescent="0.25">
      <c r="A51" s="32" t="s">
        <v>655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IFERROR(__xludf.DUMMYFUNCTION("""COMPUTED_VALUE"""),0.919649)</f>
        <v>0.91964900000000005</v>
      </c>
    </row>
    <row r="52" spans="1:3" ht="12.5" x14ac:dyDescent="0.25">
      <c r="A52" s="32" t="s">
        <v>397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IFERROR(__xludf.DUMMYFUNCTION("""COMPUTED_VALUE"""),136)</f>
        <v>136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656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IFERROR(__xludf.DUMMYFUNCTION("""COMPUTED_VALUE"""),108.723)</f>
        <v>108.723</v>
      </c>
    </row>
    <row r="55" spans="1:3" ht="12.5" x14ac:dyDescent="0.25">
      <c r="A55" s="32" t="s">
        <v>421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IFERROR(__xludf.DUMMYFUNCTION("""COMPUTED_VALUE"""),175)</f>
        <v>175</v>
      </c>
    </row>
    <row r="56" spans="1:3" ht="12.5" x14ac:dyDescent="0.25">
      <c r="A56" s="32" t="s">
        <v>657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IFERROR(__xludf.DUMMYFUNCTION("""COMPUTED_VALUE"""),3.89045)</f>
        <v>3.89045</v>
      </c>
    </row>
    <row r="57" spans="1:3" ht="12.5" x14ac:dyDescent="0.25">
      <c r="A57" s="32" t="s">
        <v>658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IFERROR(__xludf.DUMMYFUNCTION("""COMPUTED_VALUE"""),0.911367)</f>
        <v>0.91136700000000004</v>
      </c>
    </row>
    <row r="58" spans="1:3" ht="12.5" x14ac:dyDescent="0.25">
      <c r="A58" s="32" t="s">
        <v>659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IFERROR(__xludf.DUMMYFUNCTION("""COMPUTED_VALUE"""),143)</f>
        <v>143</v>
      </c>
    </row>
  </sheetData>
  <phoneticPr fontId="1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433</v>
      </c>
      <c r="B2" s="33" t="str">
        <f ca="1">IFERROR(__xludf.DUMMYFUNCTION("split(A2,"":"")"),"time of detection")</f>
        <v>time of detection</v>
      </c>
      <c r="C2" s="33">
        <f ca="1">IFERROR(__xludf.DUMMYFUNCTION("""COMPUTED_VALUE"""),110.733)</f>
        <v>110.733</v>
      </c>
    </row>
    <row r="3" spans="1:3" ht="15.75" customHeight="1" x14ac:dyDescent="0.25">
      <c r="A3" s="32" t="s">
        <v>392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IFERROR(__xludf.DUMMYFUNCTION("""COMPUTED_VALUE"""),162)</f>
        <v>162</v>
      </c>
    </row>
    <row r="4" spans="1:3" ht="15.75" customHeight="1" x14ac:dyDescent="0.25">
      <c r="A4" s="32" t="s">
        <v>434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IFERROR(__xludf.DUMMYFUNCTION("""COMPUTED_VALUE"""),41.5468)</f>
        <v>41.546799999999998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435</v>
      </c>
      <c r="B6" s="33" t="str">
        <f ca="1">IFERROR(__xludf.DUMMYFUNCTION("split(A6,"":"")"),"time of detection")</f>
        <v>time of detection</v>
      </c>
      <c r="C6" s="33">
        <f ca="1">IFERROR(__xludf.DUMMYFUNCTION("""COMPUTED_VALUE"""),104.694)</f>
        <v>104.694</v>
      </c>
    </row>
    <row r="7" spans="1:3" ht="15.75" customHeight="1" x14ac:dyDescent="0.25">
      <c r="A7" s="32" t="s">
        <v>51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IFERROR(__xludf.DUMMYFUNCTION("""COMPUTED_VALUE"""),157)</f>
        <v>157</v>
      </c>
    </row>
    <row r="8" spans="1:3" ht="15.75" customHeight="1" x14ac:dyDescent="0.25">
      <c r="A8" s="32" t="s">
        <v>436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IFERROR(__xludf.DUMMYFUNCTION("""COMPUTED_VALUE"""),44.704)</f>
        <v>44.704000000000001</v>
      </c>
    </row>
    <row r="9" spans="1:3" ht="15.75" customHeight="1" x14ac:dyDescent="0.25">
      <c r="A9" s="32" t="s">
        <v>437</v>
      </c>
      <c r="B9" s="33" t="str">
        <f ca="1">IFERROR(__xludf.DUMMYFUNCTION("split(A9,"":"")"),"time of matching")</f>
        <v>time of matching</v>
      </c>
      <c r="C9" s="33">
        <f ca="1">IFERROR(__xludf.DUMMYFUNCTION("""COMPUTED_VALUE"""),0.790489)</f>
        <v>0.790489</v>
      </c>
    </row>
    <row r="10" spans="1:3" ht="15.75" customHeight="1" x14ac:dyDescent="0.25">
      <c r="A10" s="32" t="s">
        <v>69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IFERROR(__xludf.DUMMYFUNCTION("""COMPUTED_VALUE"""),123)</f>
        <v>123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438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IFERROR(__xludf.DUMMYFUNCTION("""COMPUTED_VALUE"""),111.798)</f>
        <v>111.798</v>
      </c>
    </row>
    <row r="13" spans="1:3" ht="15.75" customHeight="1" x14ac:dyDescent="0.25">
      <c r="A13" s="32" t="s">
        <v>399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IFERROR(__xludf.DUMMYFUNCTION("""COMPUTED_VALUE"""),159)</f>
        <v>159</v>
      </c>
    </row>
    <row r="14" spans="1:3" ht="15.75" customHeight="1" x14ac:dyDescent="0.25">
      <c r="A14" s="32" t="s">
        <v>439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IFERROR(__xludf.DUMMYFUNCTION("""COMPUTED_VALUE"""),46.1021)</f>
        <v>46.1021</v>
      </c>
    </row>
    <row r="15" spans="1:3" ht="15.75" customHeight="1" x14ac:dyDescent="0.25">
      <c r="A15" s="32" t="s">
        <v>440</v>
      </c>
      <c r="B15" s="33" t="str">
        <f ca="1">IFERROR(__xludf.DUMMYFUNCTION("split(A15,"":"")"),"time of matching")</f>
        <v>time of matching</v>
      </c>
      <c r="C15" s="33">
        <f ca="1">IFERROR(__xludf.DUMMYFUNCTION("""COMPUTED_VALUE"""),1.04223)</f>
        <v>1.04223</v>
      </c>
    </row>
    <row r="16" spans="1:3" ht="15.75" customHeight="1" x14ac:dyDescent="0.25">
      <c r="A16" s="32" t="s">
        <v>441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IFERROR(__xludf.DUMMYFUNCTION("""COMPUTED_VALUE"""),127)</f>
        <v>127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442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IFERROR(__xludf.DUMMYFUNCTION("""COMPUTED_VALUE"""),104.656)</f>
        <v>104.65600000000001</v>
      </c>
    </row>
    <row r="19" spans="1:3" ht="15.75" customHeight="1" x14ac:dyDescent="0.25">
      <c r="A19" s="32" t="s">
        <v>404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IFERROR(__xludf.DUMMYFUNCTION("""COMPUTED_VALUE"""),154)</f>
        <v>154</v>
      </c>
    </row>
    <row r="20" spans="1:3" ht="15.75" customHeight="1" x14ac:dyDescent="0.25">
      <c r="A20" s="32" t="s">
        <v>443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IFERROR(__xludf.DUMMYFUNCTION("""COMPUTED_VALUE"""),46.0588)</f>
        <v>46.058799999999998</v>
      </c>
    </row>
    <row r="21" spans="1:3" ht="15.75" customHeight="1" x14ac:dyDescent="0.25">
      <c r="A21" s="32" t="s">
        <v>444</v>
      </c>
      <c r="B21" s="33" t="str">
        <f ca="1">IFERROR(__xludf.DUMMYFUNCTION("split(A21,"":"")"),"time of matching")</f>
        <v>time of matching</v>
      </c>
      <c r="C21" s="33">
        <f ca="1">IFERROR(__xludf.DUMMYFUNCTION("""COMPUTED_VALUE"""),1.04258)</f>
        <v>1.0425800000000001</v>
      </c>
    </row>
    <row r="22" spans="1:3" ht="15.75" customHeight="1" x14ac:dyDescent="0.25">
      <c r="A22" s="32" t="s">
        <v>445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IFERROR(__xludf.DUMMYFUNCTION("""COMPUTED_VALUE"""),128)</f>
        <v>128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446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IFERROR(__xludf.DUMMYFUNCTION("""COMPUTED_VALUE"""),102.417)</f>
        <v>102.417</v>
      </c>
    </row>
    <row r="25" spans="1:3" ht="15.75" customHeight="1" x14ac:dyDescent="0.25">
      <c r="A25" s="32" t="s">
        <v>392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IFERROR(__xludf.DUMMYFUNCTION("""COMPUTED_VALUE"""),162)</f>
        <v>162</v>
      </c>
    </row>
    <row r="26" spans="1:3" ht="15.75" customHeight="1" x14ac:dyDescent="0.25">
      <c r="A26" s="32" t="s">
        <v>447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IFERROR(__xludf.DUMMYFUNCTION("""COMPUTED_VALUE"""),45.0558)</f>
        <v>45.055799999999998</v>
      </c>
    </row>
    <row r="27" spans="1:3" ht="15.75" customHeight="1" x14ac:dyDescent="0.25">
      <c r="A27" s="32" t="s">
        <v>448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IFERROR(__xludf.DUMMYFUNCTION("""COMPUTED_VALUE"""),0.820908)</f>
        <v>0.82090799999999997</v>
      </c>
    </row>
    <row r="28" spans="1:3" ht="15.75" customHeight="1" x14ac:dyDescent="0.25">
      <c r="A28" s="32" t="s">
        <v>449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IFERROR(__xludf.DUMMYFUNCTION("""COMPUTED_VALUE"""),122)</f>
        <v>122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450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IFERROR(__xludf.DUMMYFUNCTION("""COMPUTED_VALUE"""),105.018)</f>
        <v>105.018</v>
      </c>
    </row>
    <row r="31" spans="1:3" ht="15.75" customHeight="1" x14ac:dyDescent="0.25">
      <c r="A31" s="32" t="s">
        <v>411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IFERROR(__xludf.DUMMYFUNCTION("""COMPUTED_VALUE"""),163)</f>
        <v>163</v>
      </c>
    </row>
    <row r="32" spans="1:3" ht="15.75" customHeight="1" x14ac:dyDescent="0.25">
      <c r="A32" s="32" t="s">
        <v>451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IFERROR(__xludf.DUMMYFUNCTION("""COMPUTED_VALUE"""),40.9302)</f>
        <v>40.930199999999999</v>
      </c>
    </row>
    <row r="33" spans="1:3" ht="15.75" customHeight="1" x14ac:dyDescent="0.25">
      <c r="A33" s="32" t="s">
        <v>452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IFERROR(__xludf.DUMMYFUNCTION("""COMPUTED_VALUE"""),0.85398)</f>
        <v>0.85397999999999996</v>
      </c>
    </row>
    <row r="34" spans="1:3" ht="15.75" customHeight="1" x14ac:dyDescent="0.25">
      <c r="A34" s="32" t="s">
        <v>69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IFERROR(__xludf.DUMMYFUNCTION("""COMPUTED_VALUE"""),123)</f>
        <v>123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453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IFERROR(__xludf.DUMMYFUNCTION("""COMPUTED_VALUE"""),111.747)</f>
        <v>111.747</v>
      </c>
    </row>
    <row r="37" spans="1:3" ht="15.75" customHeight="1" x14ac:dyDescent="0.25">
      <c r="A37" s="32" t="s">
        <v>416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IFERROR(__xludf.DUMMYFUNCTION("""COMPUTED_VALUE"""),173)</f>
        <v>173</v>
      </c>
    </row>
    <row r="38" spans="1:3" ht="15.75" customHeight="1" x14ac:dyDescent="0.25">
      <c r="A38" s="32" t="s">
        <v>454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IFERROR(__xludf.DUMMYFUNCTION("""COMPUTED_VALUE"""),47.1745)</f>
        <v>47.174500000000002</v>
      </c>
    </row>
    <row r="39" spans="1:3" ht="15.75" customHeight="1" x14ac:dyDescent="0.25">
      <c r="A39" s="32" t="s">
        <v>455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IFERROR(__xludf.DUMMYFUNCTION("""COMPUTED_VALUE"""),0.835479)</f>
        <v>0.83547899999999997</v>
      </c>
    </row>
    <row r="40" spans="1:3" ht="12.5" x14ac:dyDescent="0.25">
      <c r="A40" s="32" t="s">
        <v>456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IFERROR(__xludf.DUMMYFUNCTION("""COMPUTED_VALUE"""),133)</f>
        <v>133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457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IFERROR(__xludf.DUMMYFUNCTION("""COMPUTED_VALUE"""),102.166)</f>
        <v>102.166</v>
      </c>
    </row>
    <row r="43" spans="1:3" ht="12.5" x14ac:dyDescent="0.25">
      <c r="A43" s="32" t="s">
        <v>421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IFERROR(__xludf.DUMMYFUNCTION("""COMPUTED_VALUE"""),175)</f>
        <v>175</v>
      </c>
    </row>
    <row r="44" spans="1:3" ht="12.5" x14ac:dyDescent="0.25">
      <c r="A44" s="32" t="s">
        <v>458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IFERROR(__xludf.DUMMYFUNCTION("""COMPUTED_VALUE"""),44.979)</f>
        <v>44.978999999999999</v>
      </c>
    </row>
    <row r="45" spans="1:3" ht="12.5" x14ac:dyDescent="0.25">
      <c r="A45" s="32" t="s">
        <v>459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IFERROR(__xludf.DUMMYFUNCTION("""COMPUTED_VALUE"""),0.906127)</f>
        <v>0.90612700000000002</v>
      </c>
    </row>
    <row r="46" spans="1:3" ht="12.5" x14ac:dyDescent="0.25">
      <c r="A46" s="32" t="s">
        <v>419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IFERROR(__xludf.DUMMYFUNCTION("""COMPUTED_VALUE"""),145)</f>
        <v>145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460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IFERROR(__xludf.DUMMYFUNCTION("""COMPUTED_VALUE"""),99.4587)</f>
        <v>99.458699999999993</v>
      </c>
    </row>
    <row r="49" spans="1:3" ht="12.5" x14ac:dyDescent="0.25">
      <c r="A49" s="32" t="s">
        <v>421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IFERROR(__xludf.DUMMYFUNCTION("""COMPUTED_VALUE"""),175)</f>
        <v>175</v>
      </c>
    </row>
    <row r="50" spans="1:3" ht="12.5" x14ac:dyDescent="0.25">
      <c r="A50" s="32" t="s">
        <v>461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IFERROR(__xludf.DUMMYFUNCTION("""COMPUTED_VALUE"""),40.6808)</f>
        <v>40.680799999999998</v>
      </c>
    </row>
    <row r="51" spans="1:3" ht="12.5" x14ac:dyDescent="0.25">
      <c r="A51" s="32" t="s">
        <v>462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IFERROR(__xludf.DUMMYFUNCTION("""COMPUTED_VALUE"""),0.931869)</f>
        <v>0.93186899999999995</v>
      </c>
    </row>
    <row r="52" spans="1:3" ht="12.5" x14ac:dyDescent="0.25">
      <c r="A52" s="32" t="s">
        <v>419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IFERROR(__xludf.DUMMYFUNCTION("""COMPUTED_VALUE"""),145)</f>
        <v>145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463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IFERROR(__xludf.DUMMYFUNCTION("""COMPUTED_VALUE"""),104.349)</f>
        <v>104.349</v>
      </c>
    </row>
    <row r="55" spans="1:3" ht="12.5" x14ac:dyDescent="0.25">
      <c r="A55" s="32" t="s">
        <v>421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IFERROR(__xludf.DUMMYFUNCTION("""COMPUTED_VALUE"""),175)</f>
        <v>175</v>
      </c>
    </row>
    <row r="56" spans="1:3" ht="12.5" x14ac:dyDescent="0.25">
      <c r="A56" s="32" t="s">
        <v>464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IFERROR(__xludf.DUMMYFUNCTION("""COMPUTED_VALUE"""),41.5772)</f>
        <v>41.577199999999998</v>
      </c>
    </row>
    <row r="57" spans="1:3" ht="12.5" x14ac:dyDescent="0.25">
      <c r="A57" s="32" t="s">
        <v>465</v>
      </c>
      <c r="B57" s="33" t="str">
        <f ca="1">IFERROR(__xludf.DUMMYFUNCTION("split(A57,"":"")"),"time of matching")</f>
        <v>time of matching</v>
      </c>
      <c r="C57" s="33">
        <f ca="1">IFERROR(__xludf.DUMMYFUNCTION("""COMPUTED_VALUE"""),1.16052)</f>
        <v>1.16052</v>
      </c>
    </row>
    <row r="58" spans="1:3" ht="12.5" x14ac:dyDescent="0.25">
      <c r="A58" s="32" t="s">
        <v>414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IFERROR(__xludf.DUMMYFUNCTION("""COMPUTED_VALUE"""),135)</f>
        <v>135</v>
      </c>
    </row>
  </sheetData>
  <phoneticPr fontId="1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466</v>
      </c>
      <c r="B2" s="33" t="str">
        <f ca="1">IFERROR(__xludf.DUMMYFUNCTION("split(A2,"":"")"),"time of detection")</f>
        <v>time of detection</v>
      </c>
      <c r="C2" s="33">
        <f ca="1">IFERROR(__xludf.DUMMYFUNCTION("""COMPUTED_VALUE"""),112.078)</f>
        <v>112.078</v>
      </c>
    </row>
    <row r="3" spans="1:3" ht="15.75" customHeight="1" x14ac:dyDescent="0.25">
      <c r="A3" s="32" t="s">
        <v>392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IFERROR(__xludf.DUMMYFUNCTION("""COMPUTED_VALUE"""),162)</f>
        <v>162</v>
      </c>
    </row>
    <row r="4" spans="1:3" ht="15.75" customHeight="1" x14ac:dyDescent="0.25">
      <c r="A4" s="32" t="s">
        <v>467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IFERROR(__xludf.DUMMYFUNCTION("""COMPUTED_VALUE"""),90.6275)</f>
        <v>90.627499999999998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468</v>
      </c>
      <c r="B6" s="33" t="str">
        <f ca="1">IFERROR(__xludf.DUMMYFUNCTION("split(A6,"":"")"),"time of detection")</f>
        <v>time of detection</v>
      </c>
      <c r="C6" s="33">
        <f ca="1">IFERROR(__xludf.DUMMYFUNCTION("""COMPUTED_VALUE"""),97.3746)</f>
        <v>97.374600000000001</v>
      </c>
    </row>
    <row r="7" spans="1:3" ht="15.75" customHeight="1" x14ac:dyDescent="0.25">
      <c r="A7" s="32" t="s">
        <v>51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IFERROR(__xludf.DUMMYFUNCTION("""COMPUTED_VALUE"""),157)</f>
        <v>157</v>
      </c>
    </row>
    <row r="8" spans="1:3" ht="15.75" customHeight="1" x14ac:dyDescent="0.25">
      <c r="A8" s="32" t="s">
        <v>469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IFERROR(__xludf.DUMMYFUNCTION("""COMPUTED_VALUE"""),91.0764)</f>
        <v>91.076400000000007</v>
      </c>
    </row>
    <row r="9" spans="1:3" ht="15.75" customHeight="1" x14ac:dyDescent="0.25">
      <c r="A9" s="32" t="s">
        <v>470</v>
      </c>
      <c r="B9" s="33" t="str">
        <f ca="1">IFERROR(__xludf.DUMMYFUNCTION("split(A9,"":"")"),"time of matching")</f>
        <v>time of matching</v>
      </c>
      <c r="C9" s="33">
        <f ca="1">IFERROR(__xludf.DUMMYFUNCTION("""COMPUTED_VALUE"""),1.03522)</f>
        <v>1.03522</v>
      </c>
    </row>
    <row r="10" spans="1:3" ht="15.75" customHeight="1" x14ac:dyDescent="0.25">
      <c r="A10" s="32" t="s">
        <v>471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IFERROR(__xludf.DUMMYFUNCTION("""COMPUTED_VALUE"""),134)</f>
        <v>134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472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IFERROR(__xludf.DUMMYFUNCTION("""COMPUTED_VALUE"""),106.784)</f>
        <v>106.78400000000001</v>
      </c>
    </row>
    <row r="13" spans="1:3" ht="15.75" customHeight="1" x14ac:dyDescent="0.25">
      <c r="A13" s="32" t="s">
        <v>399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IFERROR(__xludf.DUMMYFUNCTION("""COMPUTED_VALUE"""),159)</f>
        <v>159</v>
      </c>
    </row>
    <row r="14" spans="1:3" ht="15.75" customHeight="1" x14ac:dyDescent="0.25">
      <c r="A14" s="32" t="s">
        <v>473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IFERROR(__xludf.DUMMYFUNCTION("""COMPUTED_VALUE"""),87.8568)</f>
        <v>87.856800000000007</v>
      </c>
    </row>
    <row r="15" spans="1:3" ht="15.75" customHeight="1" x14ac:dyDescent="0.25">
      <c r="A15" s="32" t="s">
        <v>474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IFERROR(__xludf.DUMMYFUNCTION("""COMPUTED_VALUE"""),0.887216)</f>
        <v>0.887216</v>
      </c>
    </row>
    <row r="16" spans="1:3" ht="15.75" customHeight="1" x14ac:dyDescent="0.25">
      <c r="A16" s="32" t="s">
        <v>475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IFERROR(__xludf.DUMMYFUNCTION("""COMPUTED_VALUE"""),137)</f>
        <v>137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476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IFERROR(__xludf.DUMMYFUNCTION("""COMPUTED_VALUE"""),106.151)</f>
        <v>106.151</v>
      </c>
    </row>
    <row r="19" spans="1:3" ht="15.75" customHeight="1" x14ac:dyDescent="0.25">
      <c r="A19" s="32" t="s">
        <v>404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IFERROR(__xludf.DUMMYFUNCTION("""COMPUTED_VALUE"""),154)</f>
        <v>154</v>
      </c>
    </row>
    <row r="20" spans="1:3" ht="15.75" customHeight="1" x14ac:dyDescent="0.25">
      <c r="A20" s="32" t="s">
        <v>477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IFERROR(__xludf.DUMMYFUNCTION("""COMPUTED_VALUE"""),90.2037)</f>
        <v>90.203699999999998</v>
      </c>
    </row>
    <row r="21" spans="1:3" ht="15.75" customHeight="1" x14ac:dyDescent="0.25">
      <c r="A21" s="32" t="s">
        <v>478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IFERROR(__xludf.DUMMYFUNCTION("""COMPUTED_VALUE"""),0.900078)</f>
        <v>0.90007800000000004</v>
      </c>
    </row>
    <row r="22" spans="1:3" ht="15.75" customHeight="1" x14ac:dyDescent="0.25">
      <c r="A22" s="32" t="s">
        <v>74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IFERROR(__xludf.DUMMYFUNCTION("""COMPUTED_VALUE"""),131)</f>
        <v>131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479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IFERROR(__xludf.DUMMYFUNCTION("""COMPUTED_VALUE"""),104.001)</f>
        <v>104.001</v>
      </c>
    </row>
    <row r="25" spans="1:3" ht="15.75" customHeight="1" x14ac:dyDescent="0.25">
      <c r="A25" s="32" t="s">
        <v>392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IFERROR(__xludf.DUMMYFUNCTION("""COMPUTED_VALUE"""),162)</f>
        <v>162</v>
      </c>
    </row>
    <row r="26" spans="1:3" ht="15.75" customHeight="1" x14ac:dyDescent="0.25">
      <c r="A26" s="32" t="s">
        <v>480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IFERROR(__xludf.DUMMYFUNCTION("""COMPUTED_VALUE"""),92.0284)</f>
        <v>92.028400000000005</v>
      </c>
    </row>
    <row r="27" spans="1:3" ht="15.75" customHeight="1" x14ac:dyDescent="0.25">
      <c r="A27" s="32" t="s">
        <v>481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IFERROR(__xludf.DUMMYFUNCTION("""COMPUTED_VALUE"""),0.933006)</f>
        <v>0.933006</v>
      </c>
    </row>
    <row r="28" spans="1:3" ht="15.75" customHeight="1" x14ac:dyDescent="0.25">
      <c r="A28" s="32" t="s">
        <v>441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IFERROR(__xludf.DUMMYFUNCTION("""COMPUTED_VALUE"""),127)</f>
        <v>127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482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IFERROR(__xludf.DUMMYFUNCTION("""COMPUTED_VALUE"""),102.742)</f>
        <v>102.742</v>
      </c>
    </row>
    <row r="31" spans="1:3" ht="15.75" customHeight="1" x14ac:dyDescent="0.25">
      <c r="A31" s="32" t="s">
        <v>411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IFERROR(__xludf.DUMMYFUNCTION("""COMPUTED_VALUE"""),163)</f>
        <v>163</v>
      </c>
    </row>
    <row r="32" spans="1:3" ht="15.75" customHeight="1" x14ac:dyDescent="0.25">
      <c r="A32" s="32" t="s">
        <v>483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IFERROR(__xludf.DUMMYFUNCTION("""COMPUTED_VALUE"""),88.9479)</f>
        <v>88.947900000000004</v>
      </c>
    </row>
    <row r="33" spans="1:3" ht="15.75" customHeight="1" x14ac:dyDescent="0.25">
      <c r="A33" s="32" t="s">
        <v>484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IFERROR(__xludf.DUMMYFUNCTION("""COMPUTED_VALUE"""),0.963785)</f>
        <v>0.963785</v>
      </c>
    </row>
    <row r="34" spans="1:3" ht="15.75" customHeight="1" x14ac:dyDescent="0.25">
      <c r="A34" s="32" t="s">
        <v>445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IFERROR(__xludf.DUMMYFUNCTION("""COMPUTED_VALUE"""),128)</f>
        <v>128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485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IFERROR(__xludf.DUMMYFUNCTION("""COMPUTED_VALUE"""),100.763)</f>
        <v>100.76300000000001</v>
      </c>
    </row>
    <row r="37" spans="1:3" ht="15.75" customHeight="1" x14ac:dyDescent="0.25">
      <c r="A37" s="32" t="s">
        <v>416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IFERROR(__xludf.DUMMYFUNCTION("""COMPUTED_VALUE"""),173)</f>
        <v>173</v>
      </c>
    </row>
    <row r="38" spans="1:3" ht="15.75" customHeight="1" x14ac:dyDescent="0.25">
      <c r="A38" s="32" t="s">
        <v>486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IFERROR(__xludf.DUMMYFUNCTION("""COMPUTED_VALUE"""),90.4385)</f>
        <v>90.438500000000005</v>
      </c>
    </row>
    <row r="39" spans="1:3" ht="15.75" customHeight="1" x14ac:dyDescent="0.25">
      <c r="A39" s="32" t="s">
        <v>487</v>
      </c>
      <c r="B39" s="33" t="str">
        <f ca="1">IFERROR(__xludf.DUMMYFUNCTION("split(A39,"":"")"),"time of matching")</f>
        <v>time of matching</v>
      </c>
      <c r="C39" s="33">
        <f ca="1">IFERROR(__xludf.DUMMYFUNCTION("""COMPUTED_VALUE"""),1.00647)</f>
        <v>1.00647</v>
      </c>
    </row>
    <row r="40" spans="1:3" ht="12.5" x14ac:dyDescent="0.25">
      <c r="A40" s="32" t="s">
        <v>419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IFERROR(__xludf.DUMMYFUNCTION("""COMPUTED_VALUE"""),145)</f>
        <v>145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488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IFERROR(__xludf.DUMMYFUNCTION("""COMPUTED_VALUE"""),103.043)</f>
        <v>103.04300000000001</v>
      </c>
    </row>
    <row r="43" spans="1:3" ht="12.5" x14ac:dyDescent="0.25">
      <c r="A43" s="32" t="s">
        <v>421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IFERROR(__xludf.DUMMYFUNCTION("""COMPUTED_VALUE"""),175)</f>
        <v>175</v>
      </c>
    </row>
    <row r="44" spans="1:3" ht="12.5" x14ac:dyDescent="0.25">
      <c r="A44" s="32" t="s">
        <v>489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IFERROR(__xludf.DUMMYFUNCTION("""COMPUTED_VALUE"""),91.78)</f>
        <v>91.78</v>
      </c>
    </row>
    <row r="45" spans="1:3" ht="12.5" x14ac:dyDescent="0.25">
      <c r="A45" s="32" t="s">
        <v>490</v>
      </c>
      <c r="B45" s="33" t="str">
        <f ca="1">IFERROR(__xludf.DUMMYFUNCTION("split(A45,"":"")"),"time of matching")</f>
        <v>time of matching</v>
      </c>
      <c r="C45" s="33">
        <f ca="1">IFERROR(__xludf.DUMMYFUNCTION("""COMPUTED_VALUE"""),1.04184)</f>
        <v>1.0418400000000001</v>
      </c>
    </row>
    <row r="46" spans="1:3" ht="12.5" x14ac:dyDescent="0.25">
      <c r="A46" s="32" t="s">
        <v>491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IFERROR(__xludf.DUMMYFUNCTION("""COMPUTED_VALUE"""),146)</f>
        <v>146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492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IFERROR(__xludf.DUMMYFUNCTION("""COMPUTED_VALUE"""),102.831)</f>
        <v>102.831</v>
      </c>
    </row>
    <row r="49" spans="1:3" ht="12.5" x14ac:dyDescent="0.25">
      <c r="A49" s="32" t="s">
        <v>421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IFERROR(__xludf.DUMMYFUNCTION("""COMPUTED_VALUE"""),175)</f>
        <v>175</v>
      </c>
    </row>
    <row r="50" spans="1:3" ht="12.5" x14ac:dyDescent="0.25">
      <c r="A50" s="32" t="s">
        <v>493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IFERROR(__xludf.DUMMYFUNCTION("""COMPUTED_VALUE"""),90.2435)</f>
        <v>90.243499999999997</v>
      </c>
    </row>
    <row r="51" spans="1:3" ht="12.5" x14ac:dyDescent="0.25">
      <c r="A51" s="32" t="s">
        <v>494</v>
      </c>
      <c r="B51" s="33" t="str">
        <f ca="1">IFERROR(__xludf.DUMMYFUNCTION("split(A51,"":"")"),"time of matching")</f>
        <v>time of matching</v>
      </c>
      <c r="C51" s="33">
        <f ca="1">IFERROR(__xludf.DUMMYFUNCTION("""COMPUTED_VALUE"""),1.05441)</f>
        <v>1.0544100000000001</v>
      </c>
    </row>
    <row r="52" spans="1:3" ht="12.5" x14ac:dyDescent="0.25">
      <c r="A52" s="32" t="s">
        <v>424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IFERROR(__xludf.DUMMYFUNCTION("""COMPUTED_VALUE"""),149)</f>
        <v>149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495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IFERROR(__xludf.DUMMYFUNCTION("""COMPUTED_VALUE"""),102.245)</f>
        <v>102.245</v>
      </c>
    </row>
    <row r="55" spans="1:3" ht="12.5" x14ac:dyDescent="0.25">
      <c r="A55" s="32" t="s">
        <v>421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IFERROR(__xludf.DUMMYFUNCTION("""COMPUTED_VALUE"""),175)</f>
        <v>175</v>
      </c>
    </row>
    <row r="56" spans="1:3" ht="12.5" x14ac:dyDescent="0.25">
      <c r="A56" s="32" t="s">
        <v>496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IFERROR(__xludf.DUMMYFUNCTION("""COMPUTED_VALUE"""),92.004)</f>
        <v>92.004000000000005</v>
      </c>
    </row>
    <row r="57" spans="1:3" ht="12.5" x14ac:dyDescent="0.25">
      <c r="A57" s="32" t="s">
        <v>497</v>
      </c>
      <c r="B57" s="33" t="str">
        <f ca="1">IFERROR(__xludf.DUMMYFUNCTION("split(A57,"":"")"),"time of matching")</f>
        <v>time of matching</v>
      </c>
      <c r="C57" s="33">
        <f ca="1">IFERROR(__xludf.DUMMYFUNCTION("""COMPUTED_VALUE"""),1.06404)</f>
        <v>1.0640400000000001</v>
      </c>
    </row>
    <row r="58" spans="1:3" ht="12.5" x14ac:dyDescent="0.25">
      <c r="A58" s="32" t="s">
        <v>428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IFERROR(__xludf.DUMMYFUNCTION("""COMPUTED_VALUE"""),148)</f>
        <v>148</v>
      </c>
    </row>
  </sheetData>
  <phoneticPr fontId="1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498</v>
      </c>
      <c r="B2" s="33" t="str">
        <f ca="1">IFERROR(__xludf.DUMMYFUNCTION("split(A2,"":"")"),"time of detection")</f>
        <v>time of detection</v>
      </c>
      <c r="C2" s="33">
        <f ca="1">IFERROR(__xludf.DUMMYFUNCTION("""COMPUTED_VALUE"""),116.777)</f>
        <v>116.777</v>
      </c>
    </row>
    <row r="3" spans="1:3" ht="15.75" customHeight="1" x14ac:dyDescent="0.25">
      <c r="A3" s="32" t="s">
        <v>392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IFERROR(__xludf.DUMMYFUNCTION("""COMPUTED_VALUE"""),162)</f>
        <v>162</v>
      </c>
    </row>
    <row r="4" spans="1:3" ht="15.75" customHeight="1" x14ac:dyDescent="0.25">
      <c r="A4" s="32" t="s">
        <v>499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IFERROR(__xludf.DUMMYFUNCTION("""COMPUTED_VALUE"""),337.973)</f>
        <v>337.97300000000001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500</v>
      </c>
      <c r="B6" s="33" t="str">
        <f ca="1">IFERROR(__xludf.DUMMYFUNCTION("split(A6,"":"")"),"time of detection")</f>
        <v>time of detection</v>
      </c>
      <c r="C6" s="33">
        <f ca="1">IFERROR(__xludf.DUMMYFUNCTION("""COMPUTED_VALUE"""),111.307)</f>
        <v>111.307</v>
      </c>
    </row>
    <row r="7" spans="1:3" ht="15.75" customHeight="1" x14ac:dyDescent="0.25">
      <c r="A7" s="32" t="s">
        <v>51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IFERROR(__xludf.DUMMYFUNCTION("""COMPUTED_VALUE"""),157)</f>
        <v>157</v>
      </c>
    </row>
    <row r="8" spans="1:3" ht="15.75" customHeight="1" x14ac:dyDescent="0.25">
      <c r="A8" s="32" t="s">
        <v>501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IFERROR(__xludf.DUMMYFUNCTION("""COMPUTED_VALUE"""),337.926)</f>
        <v>337.92599999999999</v>
      </c>
    </row>
    <row r="9" spans="1:3" ht="15.75" customHeight="1" x14ac:dyDescent="0.25">
      <c r="A9" s="32" t="s">
        <v>502</v>
      </c>
      <c r="B9" s="33" t="str">
        <f ca="1">IFERROR(__xludf.DUMMYFUNCTION("split(A9,"":"")"),"time of matching")</f>
        <v>time of matching</v>
      </c>
      <c r="C9" s="33">
        <f ca="1">IFERROR(__xludf.DUMMYFUNCTION("""COMPUTED_VALUE"""),0.871452)</f>
        <v>0.871452</v>
      </c>
    </row>
    <row r="10" spans="1:3" ht="15.75" customHeight="1" x14ac:dyDescent="0.25">
      <c r="A10" s="32" t="s">
        <v>456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IFERROR(__xludf.DUMMYFUNCTION("""COMPUTED_VALUE"""),133)</f>
        <v>133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503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IFERROR(__xludf.DUMMYFUNCTION("""COMPUTED_VALUE"""),108.57)</f>
        <v>108.57</v>
      </c>
    </row>
    <row r="13" spans="1:3" ht="15.75" customHeight="1" x14ac:dyDescent="0.25">
      <c r="A13" s="32" t="s">
        <v>399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IFERROR(__xludf.DUMMYFUNCTION("""COMPUTED_VALUE"""),159)</f>
        <v>159</v>
      </c>
    </row>
    <row r="14" spans="1:3" ht="15.75" customHeight="1" x14ac:dyDescent="0.25">
      <c r="A14" s="32" t="s">
        <v>504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IFERROR(__xludf.DUMMYFUNCTION("""COMPUTED_VALUE"""),335.299)</f>
        <v>335.29899999999998</v>
      </c>
    </row>
    <row r="15" spans="1:3" ht="15.75" customHeight="1" x14ac:dyDescent="0.25">
      <c r="A15" s="32" t="s">
        <v>505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IFERROR(__xludf.DUMMYFUNCTION("""COMPUTED_VALUE"""),0.911336)</f>
        <v>0.91133600000000003</v>
      </c>
    </row>
    <row r="16" spans="1:3" ht="15.75" customHeight="1" x14ac:dyDescent="0.25">
      <c r="A16" s="32" t="s">
        <v>69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IFERROR(__xludf.DUMMYFUNCTION("""COMPUTED_VALUE"""),123)</f>
        <v>123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506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IFERROR(__xludf.DUMMYFUNCTION("""COMPUTED_VALUE"""),108.99)</f>
        <v>108.99</v>
      </c>
    </row>
    <row r="19" spans="1:3" ht="15.75" customHeight="1" x14ac:dyDescent="0.25">
      <c r="A19" s="32" t="s">
        <v>404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IFERROR(__xludf.DUMMYFUNCTION("""COMPUTED_VALUE"""),154)</f>
        <v>154</v>
      </c>
    </row>
    <row r="20" spans="1:3" ht="15.75" customHeight="1" x14ac:dyDescent="0.25">
      <c r="A20" s="32" t="s">
        <v>507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IFERROR(__xludf.DUMMYFUNCTION("""COMPUTED_VALUE"""),341.263)</f>
        <v>341.26299999999998</v>
      </c>
    </row>
    <row r="21" spans="1:3" ht="15.75" customHeight="1" x14ac:dyDescent="0.25">
      <c r="A21" s="32" t="s">
        <v>508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IFERROR(__xludf.DUMMYFUNCTION("""COMPUTED_VALUE"""),0.854824)</f>
        <v>0.85482400000000003</v>
      </c>
    </row>
    <row r="22" spans="1:3" ht="15.75" customHeight="1" x14ac:dyDescent="0.25">
      <c r="A22" s="32" t="s">
        <v>445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IFERROR(__xludf.DUMMYFUNCTION("""COMPUTED_VALUE"""),128)</f>
        <v>128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509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IFERROR(__xludf.DUMMYFUNCTION("""COMPUTED_VALUE"""),110.391)</f>
        <v>110.39100000000001</v>
      </c>
    </row>
    <row r="25" spans="1:3" ht="15.75" customHeight="1" x14ac:dyDescent="0.25">
      <c r="A25" s="32" t="s">
        <v>392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IFERROR(__xludf.DUMMYFUNCTION("""COMPUTED_VALUE"""),162)</f>
        <v>162</v>
      </c>
    </row>
    <row r="26" spans="1:3" ht="15.75" customHeight="1" x14ac:dyDescent="0.25">
      <c r="A26" s="32" t="s">
        <v>510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IFERROR(__xludf.DUMMYFUNCTION("""COMPUTED_VALUE"""),328.38)</f>
        <v>328.38</v>
      </c>
    </row>
    <row r="27" spans="1:3" ht="15.75" customHeight="1" x14ac:dyDescent="0.25">
      <c r="A27" s="32" t="s">
        <v>511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IFERROR(__xludf.DUMMYFUNCTION("""COMPUTED_VALUE"""),0.828554)</f>
        <v>0.82855400000000001</v>
      </c>
    </row>
    <row r="28" spans="1:3" ht="15.75" customHeight="1" x14ac:dyDescent="0.25">
      <c r="A28" s="32" t="s">
        <v>48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IFERROR(__xludf.DUMMYFUNCTION("""COMPUTED_VALUE"""),129)</f>
        <v>129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512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IFERROR(__xludf.DUMMYFUNCTION("""COMPUTED_VALUE"""),106.704)</f>
        <v>106.70399999999999</v>
      </c>
    </row>
    <row r="31" spans="1:3" ht="15.75" customHeight="1" x14ac:dyDescent="0.25">
      <c r="A31" s="32" t="s">
        <v>411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IFERROR(__xludf.DUMMYFUNCTION("""COMPUTED_VALUE"""),163)</f>
        <v>163</v>
      </c>
    </row>
    <row r="32" spans="1:3" ht="15.75" customHeight="1" x14ac:dyDescent="0.25">
      <c r="A32" s="32" t="s">
        <v>513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IFERROR(__xludf.DUMMYFUNCTION("""COMPUTED_VALUE"""),341.391)</f>
        <v>341.39100000000002</v>
      </c>
    </row>
    <row r="33" spans="1:3" ht="15.75" customHeight="1" x14ac:dyDescent="0.25">
      <c r="A33" s="32" t="s">
        <v>514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IFERROR(__xludf.DUMMYFUNCTION("""COMPUTED_VALUE"""),0.864782)</f>
        <v>0.86478200000000005</v>
      </c>
    </row>
    <row r="34" spans="1:3" ht="15.75" customHeight="1" x14ac:dyDescent="0.25">
      <c r="A34" s="32" t="s">
        <v>515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IFERROR(__xludf.DUMMYFUNCTION("""COMPUTED_VALUE"""),130)</f>
        <v>130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516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IFERROR(__xludf.DUMMYFUNCTION("""COMPUTED_VALUE"""),107.037)</f>
        <v>107.03700000000001</v>
      </c>
    </row>
    <row r="37" spans="1:3" ht="15.75" customHeight="1" x14ac:dyDescent="0.25">
      <c r="A37" s="32" t="s">
        <v>416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IFERROR(__xludf.DUMMYFUNCTION("""COMPUTED_VALUE"""),173)</f>
        <v>173</v>
      </c>
    </row>
    <row r="38" spans="1:3" ht="15.75" customHeight="1" x14ac:dyDescent="0.25">
      <c r="A38" s="32" t="s">
        <v>517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IFERROR(__xludf.DUMMYFUNCTION("""COMPUTED_VALUE"""),334.452)</f>
        <v>334.452</v>
      </c>
    </row>
    <row r="39" spans="1:3" ht="15.75" customHeight="1" x14ac:dyDescent="0.25">
      <c r="A39" s="32" t="s">
        <v>518</v>
      </c>
      <c r="B39" s="33" t="str">
        <f ca="1">IFERROR(__xludf.DUMMYFUNCTION("split(A39,"":"")"),"time of matching")</f>
        <v>time of matching</v>
      </c>
      <c r="C39" s="33">
        <f ca="1">IFERROR(__xludf.DUMMYFUNCTION("""COMPUTED_VALUE"""),1.20638)</f>
        <v>1.20638</v>
      </c>
    </row>
    <row r="40" spans="1:3" ht="12.5" x14ac:dyDescent="0.25">
      <c r="A40" s="32" t="s">
        <v>74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IFERROR(__xludf.DUMMYFUNCTION("""COMPUTED_VALUE"""),131)</f>
        <v>131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519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IFERROR(__xludf.DUMMYFUNCTION("""COMPUTED_VALUE"""),108.603)</f>
        <v>108.60299999999999</v>
      </c>
    </row>
    <row r="43" spans="1:3" ht="12.5" x14ac:dyDescent="0.25">
      <c r="A43" s="32" t="s">
        <v>421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IFERROR(__xludf.DUMMYFUNCTION("""COMPUTED_VALUE"""),175)</f>
        <v>175</v>
      </c>
    </row>
    <row r="44" spans="1:3" ht="12.5" x14ac:dyDescent="0.25">
      <c r="A44" s="32" t="s">
        <v>520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IFERROR(__xludf.DUMMYFUNCTION("""COMPUTED_VALUE"""),341.287)</f>
        <v>341.28699999999998</v>
      </c>
    </row>
    <row r="45" spans="1:3" ht="12.5" x14ac:dyDescent="0.25">
      <c r="A45" s="32" t="s">
        <v>521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IFERROR(__xludf.DUMMYFUNCTION("""COMPUTED_VALUE"""),0.94613)</f>
        <v>0.94613000000000003</v>
      </c>
    </row>
    <row r="46" spans="1:3" ht="12.5" x14ac:dyDescent="0.25">
      <c r="A46" s="32" t="s">
        <v>522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IFERROR(__xludf.DUMMYFUNCTION("""COMPUTED_VALUE"""),141)</f>
        <v>141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523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IFERROR(__xludf.DUMMYFUNCTION("""COMPUTED_VALUE"""),107.545)</f>
        <v>107.545</v>
      </c>
    </row>
    <row r="49" spans="1:3" ht="12.5" x14ac:dyDescent="0.25">
      <c r="A49" s="32" t="s">
        <v>421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IFERROR(__xludf.DUMMYFUNCTION("""COMPUTED_VALUE"""),175)</f>
        <v>175</v>
      </c>
    </row>
    <row r="50" spans="1:3" ht="12.5" x14ac:dyDescent="0.25">
      <c r="A50" s="32" t="s">
        <v>524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IFERROR(__xludf.DUMMYFUNCTION("""COMPUTED_VALUE"""),335.995)</f>
        <v>335.995</v>
      </c>
    </row>
    <row r="51" spans="1:3" ht="12.5" x14ac:dyDescent="0.25">
      <c r="A51" s="32" t="s">
        <v>525</v>
      </c>
      <c r="B51" s="33" t="str">
        <f ca="1">IFERROR(__xludf.DUMMYFUNCTION("split(A51,"":"")"),"time of matching")</f>
        <v>time of matching</v>
      </c>
      <c r="C51" s="33">
        <f ca="1">IFERROR(__xludf.DUMMYFUNCTION("""COMPUTED_VALUE"""),1.25773)</f>
        <v>1.25773</v>
      </c>
    </row>
    <row r="52" spans="1:3" ht="12.5" x14ac:dyDescent="0.25">
      <c r="A52" s="32" t="s">
        <v>526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IFERROR(__xludf.DUMMYFUNCTION("""COMPUTED_VALUE"""),144)</f>
        <v>144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476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IFERROR(__xludf.DUMMYFUNCTION("""COMPUTED_VALUE"""),106.151)</f>
        <v>106.151</v>
      </c>
    </row>
    <row r="55" spans="1:3" ht="12.5" x14ac:dyDescent="0.25">
      <c r="A55" s="32" t="s">
        <v>421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IFERROR(__xludf.DUMMYFUNCTION("""COMPUTED_VALUE"""),175)</f>
        <v>175</v>
      </c>
    </row>
    <row r="56" spans="1:3" ht="12.5" x14ac:dyDescent="0.25">
      <c r="A56" s="32" t="s">
        <v>527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IFERROR(__xludf.DUMMYFUNCTION("""COMPUTED_VALUE"""),329.357)</f>
        <v>329.35700000000003</v>
      </c>
    </row>
    <row r="57" spans="1:3" ht="12.5" x14ac:dyDescent="0.25">
      <c r="A57" s="32" t="s">
        <v>528</v>
      </c>
      <c r="B57" s="33" t="str">
        <f ca="1">IFERROR(__xludf.DUMMYFUNCTION("split(A57,"":"")"),"time of matching")</f>
        <v>time of matching</v>
      </c>
      <c r="C57" s="33">
        <f ca="1">IFERROR(__xludf.DUMMYFUNCTION("""COMPUTED_VALUE"""),1.18129)</f>
        <v>1.18129</v>
      </c>
    </row>
    <row r="58" spans="1:3" ht="12.5" x14ac:dyDescent="0.25">
      <c r="A58" s="32" t="s">
        <v>529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IFERROR(__xludf.DUMMYFUNCTION("""COMPUTED_VALUE"""),140)</f>
        <v>140</v>
      </c>
    </row>
  </sheetData>
  <phoneticPr fontId="1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660</v>
      </c>
      <c r="B2" s="33" t="str">
        <f ca="1">IFERROR(__xludf.DUMMYFUNCTION("split(A2,"":"")"),"time of detection")</f>
        <v>time of detection</v>
      </c>
      <c r="C2" s="33">
        <f ca="1">IFERROR(__xludf.DUMMYFUNCTION("""COMPUTED_VALUE"""),184.574)</f>
        <v>184.57400000000001</v>
      </c>
    </row>
    <row r="3" spans="1:3" ht="15.75" customHeight="1" x14ac:dyDescent="0.25">
      <c r="A3" s="32" t="s">
        <v>661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IFERROR(__xludf.DUMMYFUNCTION("""COMPUTED_VALUE"""),137)</f>
        <v>137</v>
      </c>
    </row>
    <row r="4" spans="1:3" ht="15.75" customHeight="1" x14ac:dyDescent="0.25">
      <c r="A4" s="32" t="s">
        <v>662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IFERROR(__xludf.DUMMYFUNCTION("""COMPUTED_VALUE"""),124.67)</f>
        <v>124.67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663</v>
      </c>
      <c r="B6" s="33" t="str">
        <f ca="1">IFERROR(__xludf.DUMMYFUNCTION("split(A6,"":"")"),"time of detection")</f>
        <v>time of detection</v>
      </c>
      <c r="C6" s="33">
        <f ca="1">IFERROR(__xludf.DUMMYFUNCTION("""COMPUTED_VALUE"""),136.688)</f>
        <v>136.68799999999999</v>
      </c>
    </row>
    <row r="7" spans="1:3" ht="15.75" customHeight="1" x14ac:dyDescent="0.25">
      <c r="A7" s="32" t="s">
        <v>664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IFERROR(__xludf.DUMMYFUNCTION("""COMPUTED_VALUE"""),131)</f>
        <v>131</v>
      </c>
    </row>
    <row r="8" spans="1:3" ht="15.75" customHeight="1" x14ac:dyDescent="0.25">
      <c r="A8" s="32" t="s">
        <v>665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IFERROR(__xludf.DUMMYFUNCTION("""COMPUTED_VALUE"""),97.5485)</f>
        <v>97.548500000000004</v>
      </c>
    </row>
    <row r="9" spans="1:3" ht="15.75" customHeight="1" x14ac:dyDescent="0.25">
      <c r="A9" s="32" t="s">
        <v>666</v>
      </c>
      <c r="B9" s="33" t="str">
        <f ca="1">IFERROR(__xludf.DUMMYFUNCTION("split(A9,"":"")"),"time of matching")</f>
        <v>time of matching</v>
      </c>
      <c r="C9" s="33">
        <f ca="1">IFERROR(__xludf.DUMMYFUNCTION("""COMPUTED_VALUE"""),0.985874)</f>
        <v>0.98587400000000003</v>
      </c>
    </row>
    <row r="10" spans="1:3" ht="15.75" customHeight="1" x14ac:dyDescent="0.25">
      <c r="A10" s="32" t="s">
        <v>667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IFERROR(__xludf.DUMMYFUNCTION("""COMPUTED_VALUE"""),81)</f>
        <v>81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668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IFERROR(__xludf.DUMMYFUNCTION("""COMPUTED_VALUE"""),155.113)</f>
        <v>155.113</v>
      </c>
    </row>
    <row r="13" spans="1:3" ht="15.75" customHeight="1" x14ac:dyDescent="0.25">
      <c r="A13" s="32" t="s">
        <v>669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IFERROR(__xludf.DUMMYFUNCTION("""COMPUTED_VALUE"""),121)</f>
        <v>121</v>
      </c>
    </row>
    <row r="14" spans="1:3" ht="15.75" customHeight="1" x14ac:dyDescent="0.25">
      <c r="A14" s="32" t="s">
        <v>670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IFERROR(__xludf.DUMMYFUNCTION("""COMPUTED_VALUE"""),101.444)</f>
        <v>101.444</v>
      </c>
    </row>
    <row r="15" spans="1:3" ht="15.75" customHeight="1" x14ac:dyDescent="0.25">
      <c r="A15" s="32" t="s">
        <v>671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IFERROR(__xludf.DUMMYFUNCTION("""COMPUTED_VALUE"""),0.933354)</f>
        <v>0.93335400000000002</v>
      </c>
    </row>
    <row r="16" spans="1:3" ht="15.75" customHeight="1" x14ac:dyDescent="0.25">
      <c r="A16" s="32" t="s">
        <v>368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IFERROR(__xludf.DUMMYFUNCTION("""COMPUTED_VALUE"""),78)</f>
        <v>78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672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IFERROR(__xludf.DUMMYFUNCTION("""COMPUTED_VALUE"""),137.529)</f>
        <v>137.529</v>
      </c>
    </row>
    <row r="19" spans="1:3" ht="15.75" customHeight="1" x14ac:dyDescent="0.25">
      <c r="A19" s="32" t="s">
        <v>673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IFERROR(__xludf.DUMMYFUNCTION("""COMPUTED_VALUE"""),135)</f>
        <v>135</v>
      </c>
    </row>
    <row r="20" spans="1:3" ht="15.75" customHeight="1" x14ac:dyDescent="0.25">
      <c r="A20" s="32" t="s">
        <v>674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IFERROR(__xludf.DUMMYFUNCTION("""COMPUTED_VALUE"""),102.801)</f>
        <v>102.801</v>
      </c>
    </row>
    <row r="21" spans="1:3" ht="15.75" customHeight="1" x14ac:dyDescent="0.25">
      <c r="A21" s="32" t="s">
        <v>675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IFERROR(__xludf.DUMMYFUNCTION("""COMPUTED_VALUE"""),0.885753)</f>
        <v>0.88575300000000001</v>
      </c>
    </row>
    <row r="22" spans="1:3" ht="15.75" customHeight="1" x14ac:dyDescent="0.25">
      <c r="A22" s="32" t="s">
        <v>315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IFERROR(__xludf.DUMMYFUNCTION("""COMPUTED_VALUE"""),82)</f>
        <v>82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676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IFERROR(__xludf.DUMMYFUNCTION("""COMPUTED_VALUE"""),146.503)</f>
        <v>146.50299999999999</v>
      </c>
    </row>
    <row r="25" spans="1:3" ht="15.75" customHeight="1" x14ac:dyDescent="0.25">
      <c r="A25" s="32" t="s">
        <v>677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IFERROR(__xludf.DUMMYFUNCTION("""COMPUTED_VALUE"""),134)</f>
        <v>134</v>
      </c>
    </row>
    <row r="26" spans="1:3" ht="15.75" customHeight="1" x14ac:dyDescent="0.25">
      <c r="A26" s="32" t="s">
        <v>678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IFERROR(__xludf.DUMMYFUNCTION("""COMPUTED_VALUE"""),100.818)</f>
        <v>100.818</v>
      </c>
    </row>
    <row r="27" spans="1:3" ht="15.75" customHeight="1" x14ac:dyDescent="0.25">
      <c r="A27" s="32" t="s">
        <v>679</v>
      </c>
      <c r="B27" s="33" t="str">
        <f ca="1">IFERROR(__xludf.DUMMYFUNCTION("split(A27,"":"")"),"time of matching")</f>
        <v>time of matching</v>
      </c>
      <c r="C27" s="33">
        <f ca="1">IFERROR(__xludf.DUMMYFUNCTION("""COMPUTED_VALUE"""),1.00233)</f>
        <v>1.0023299999999999</v>
      </c>
    </row>
    <row r="28" spans="1:3" ht="15.75" customHeight="1" x14ac:dyDescent="0.25">
      <c r="A28" s="32" t="s">
        <v>680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IFERROR(__xludf.DUMMYFUNCTION("""COMPUTED_VALUE"""),91)</f>
        <v>91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681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IFERROR(__xludf.DUMMYFUNCTION("""COMPUTED_VALUE"""),136.148)</f>
        <v>136.148</v>
      </c>
    </row>
    <row r="31" spans="1:3" ht="15.75" customHeight="1" x14ac:dyDescent="0.25">
      <c r="A31" s="32" t="s">
        <v>77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IFERROR(__xludf.DUMMYFUNCTION("""COMPUTED_VALUE"""),139)</f>
        <v>139</v>
      </c>
    </row>
    <row r="32" spans="1:3" ht="15.75" customHeight="1" x14ac:dyDescent="0.25">
      <c r="A32" s="32" t="s">
        <v>682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IFERROR(__xludf.DUMMYFUNCTION("""COMPUTED_VALUE"""),98.0218)</f>
        <v>98.021799999999999</v>
      </c>
    </row>
    <row r="33" spans="1:3" ht="15.75" customHeight="1" x14ac:dyDescent="0.25">
      <c r="A33" s="32" t="s">
        <v>683</v>
      </c>
      <c r="B33" s="33" t="str">
        <f ca="1">IFERROR(__xludf.DUMMYFUNCTION("split(A33,"":"")"),"time of matching")</f>
        <v>time of matching</v>
      </c>
      <c r="C33" s="33">
        <f ca="1">IFERROR(__xludf.DUMMYFUNCTION("""COMPUTED_VALUE"""),1.02865)</f>
        <v>1.0286500000000001</v>
      </c>
    </row>
    <row r="34" spans="1:3" ht="15.75" customHeight="1" x14ac:dyDescent="0.25">
      <c r="A34" s="32" t="s">
        <v>628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IFERROR(__xludf.DUMMYFUNCTION("""COMPUTED_VALUE"""),89)</f>
        <v>89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684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IFERROR(__xludf.DUMMYFUNCTION("""COMPUTED_VALUE"""),136.649)</f>
        <v>136.649</v>
      </c>
    </row>
    <row r="37" spans="1:3" ht="15.75" customHeight="1" x14ac:dyDescent="0.25">
      <c r="A37" s="32" t="s">
        <v>685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IFERROR(__xludf.DUMMYFUNCTION("""COMPUTED_VALUE"""),136)</f>
        <v>136</v>
      </c>
    </row>
    <row r="38" spans="1:3" ht="15.75" customHeight="1" x14ac:dyDescent="0.25">
      <c r="A38" s="32" t="s">
        <v>686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IFERROR(__xludf.DUMMYFUNCTION("""COMPUTED_VALUE"""),96.8322)</f>
        <v>96.8322</v>
      </c>
    </row>
    <row r="39" spans="1:3" ht="15.75" customHeight="1" x14ac:dyDescent="0.25">
      <c r="A39" s="32" t="s">
        <v>687</v>
      </c>
      <c r="B39" s="33" t="str">
        <f ca="1">IFERROR(__xludf.DUMMYFUNCTION("split(A39,"":"")"),"time of matching")</f>
        <v>time of matching</v>
      </c>
      <c r="C39" s="33">
        <f ca="1">IFERROR(__xludf.DUMMYFUNCTION("""COMPUTED_VALUE"""),1.04945)</f>
        <v>1.04945</v>
      </c>
    </row>
    <row r="40" spans="1:3" ht="12.5" x14ac:dyDescent="0.25">
      <c r="A40" s="32" t="s">
        <v>688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IFERROR(__xludf.DUMMYFUNCTION("""COMPUTED_VALUE"""),80)</f>
        <v>80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689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IFERROR(__xludf.DUMMYFUNCTION("""COMPUTED_VALUE"""),135.736)</f>
        <v>135.73599999999999</v>
      </c>
    </row>
    <row r="43" spans="1:3" ht="12.5" x14ac:dyDescent="0.25">
      <c r="A43" s="32" t="s">
        <v>690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IFERROR(__xludf.DUMMYFUNCTION("""COMPUTED_VALUE"""),147)</f>
        <v>147</v>
      </c>
    </row>
    <row r="44" spans="1:3" ht="12.5" x14ac:dyDescent="0.25">
      <c r="A44" s="32" t="s">
        <v>691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IFERROR(__xludf.DUMMYFUNCTION("""COMPUTED_VALUE"""),98.0981)</f>
        <v>98.098100000000002</v>
      </c>
    </row>
    <row r="45" spans="1:3" ht="12.5" x14ac:dyDescent="0.25">
      <c r="A45" s="32" t="s">
        <v>692</v>
      </c>
      <c r="B45" s="33" t="str">
        <f ca="1">IFERROR(__xludf.DUMMYFUNCTION("split(A45,"":"")"),"time of matching")</f>
        <v>time of matching</v>
      </c>
      <c r="C45" s="33">
        <f ca="1">IFERROR(__xludf.DUMMYFUNCTION("""COMPUTED_VALUE"""),1.05558)</f>
        <v>1.05558</v>
      </c>
    </row>
    <row r="46" spans="1:3" ht="12.5" x14ac:dyDescent="0.25">
      <c r="A46" s="32" t="s">
        <v>315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IFERROR(__xludf.DUMMYFUNCTION("""COMPUTED_VALUE"""),82)</f>
        <v>82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693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IFERROR(__xludf.DUMMYFUNCTION("""COMPUTED_VALUE"""),135.557)</f>
        <v>135.55699999999999</v>
      </c>
    </row>
    <row r="49" spans="1:3" ht="12.5" x14ac:dyDescent="0.25">
      <c r="A49" s="32" t="s">
        <v>694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IFERROR(__xludf.DUMMYFUNCTION("""COMPUTED_VALUE"""),156)</f>
        <v>156</v>
      </c>
    </row>
    <row r="50" spans="1:3" ht="12.5" x14ac:dyDescent="0.25">
      <c r="A50" s="32" t="s">
        <v>695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IFERROR(__xludf.DUMMYFUNCTION("""COMPUTED_VALUE"""),98.9082)</f>
        <v>98.908199999999994</v>
      </c>
    </row>
    <row r="51" spans="1:3" ht="12.5" x14ac:dyDescent="0.25">
      <c r="A51" s="32" t="s">
        <v>696</v>
      </c>
      <c r="B51" s="33" t="str">
        <f ca="1">IFERROR(__xludf.DUMMYFUNCTION("split(A51,"":"")"),"time of matching")</f>
        <v>time of matching</v>
      </c>
      <c r="C51" s="33">
        <f ca="1">IFERROR(__xludf.DUMMYFUNCTION("""COMPUTED_VALUE"""),1.17654)</f>
        <v>1.1765399999999999</v>
      </c>
    </row>
    <row r="52" spans="1:3" ht="12.5" x14ac:dyDescent="0.25">
      <c r="A52" s="32" t="s">
        <v>95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IFERROR(__xludf.DUMMYFUNCTION("""COMPUTED_VALUE"""),99)</f>
        <v>99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697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IFERROR(__xludf.DUMMYFUNCTION("""COMPUTED_VALUE"""),135.544)</f>
        <v>135.54400000000001</v>
      </c>
    </row>
    <row r="55" spans="1:3" ht="12.5" x14ac:dyDescent="0.25">
      <c r="A55" s="32" t="s">
        <v>673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IFERROR(__xludf.DUMMYFUNCTION("""COMPUTED_VALUE"""),135)</f>
        <v>135</v>
      </c>
    </row>
    <row r="56" spans="1:3" ht="12.5" x14ac:dyDescent="0.25">
      <c r="A56" s="32" t="s">
        <v>698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IFERROR(__xludf.DUMMYFUNCTION("""COMPUTED_VALUE"""),98.3626)</f>
        <v>98.3626</v>
      </c>
    </row>
    <row r="57" spans="1:3" ht="12.5" x14ac:dyDescent="0.25">
      <c r="A57" s="32" t="s">
        <v>699</v>
      </c>
      <c r="B57" s="33" t="str">
        <f ca="1">IFERROR(__xludf.DUMMYFUNCTION("split(A57,"":"")"),"time of matching")</f>
        <v>time of matching</v>
      </c>
      <c r="C57" s="33">
        <f ca="1">IFERROR(__xludf.DUMMYFUNCTION("""COMPUTED_VALUE"""),1.11249)</f>
        <v>1.11249</v>
      </c>
    </row>
    <row r="58" spans="1:3" ht="12.5" x14ac:dyDescent="0.25">
      <c r="A58" s="32" t="s">
        <v>154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IFERROR(__xludf.DUMMYFUNCTION("""COMPUTED_VALUE"""),100)</f>
        <v>100</v>
      </c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35</v>
      </c>
      <c r="B2" s="33" t="str">
        <f ca="1">IFERROR(__xludf.DUMMYFUNCTION("split(A2,"":"")"),"time of detection")</f>
        <v>time of detection</v>
      </c>
      <c r="C2" s="33">
        <f ca="1">IFERROR(__xludf.DUMMYFUNCTION("""COMPUTED_VALUE"""),4.47211)</f>
        <v>4.4721099999999998</v>
      </c>
    </row>
    <row r="3" spans="1:3" ht="15.75" customHeight="1" x14ac:dyDescent="0.25">
      <c r="A3" s="32" t="s">
        <v>36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IFERROR(__xludf.DUMMYFUNCTION("""COMPUTED_VALUE"""),149)</f>
        <v>149</v>
      </c>
    </row>
    <row r="4" spans="1:3" ht="15.75" customHeight="1" x14ac:dyDescent="0.25">
      <c r="A4" s="32" t="s">
        <v>37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IFERROR(__xludf.DUMMYFUNCTION("""COMPUTED_VALUE"""),9.31271)</f>
        <v>9.3127099999999992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39</v>
      </c>
      <c r="B6" s="33" t="str">
        <f ca="1">IFERROR(__xludf.DUMMYFUNCTION("split(A6,"":"")"),"time of detection")</f>
        <v>time of detection</v>
      </c>
      <c r="C6" s="33">
        <f ca="1">IFERROR(__xludf.DUMMYFUNCTION("""COMPUTED_VALUE"""),1.01689)</f>
        <v>1.0168900000000001</v>
      </c>
    </row>
    <row r="7" spans="1:3" ht="15.75" customHeight="1" x14ac:dyDescent="0.25">
      <c r="A7" s="32" t="s">
        <v>40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IFERROR(__xludf.DUMMYFUNCTION("""COMPUTED_VALUE"""),152)</f>
        <v>152</v>
      </c>
    </row>
    <row r="8" spans="1:3" ht="15.75" customHeight="1" x14ac:dyDescent="0.25">
      <c r="A8" s="32" t="s">
        <v>41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IFERROR(__xludf.DUMMYFUNCTION("""COMPUTED_VALUE"""),1.61516)</f>
        <v>1.6151599999999999</v>
      </c>
    </row>
    <row r="9" spans="1:3" ht="15.75" customHeight="1" x14ac:dyDescent="0.25">
      <c r="A9" s="32" t="s">
        <v>42</v>
      </c>
      <c r="B9" s="33" t="str">
        <f ca="1">IFERROR(__xludf.DUMMYFUNCTION("split(A9,"":"")"),"time of matching")</f>
        <v>time of matching</v>
      </c>
      <c r="C9" s="33">
        <f ca="1">IFERROR(__xludf.DUMMYFUNCTION("""COMPUTED_VALUE"""),4.63752)</f>
        <v>4.6375200000000003</v>
      </c>
    </row>
    <row r="10" spans="1:3" ht="15.75" customHeight="1" x14ac:dyDescent="0.25">
      <c r="A10" s="32" t="s">
        <v>43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IFERROR(__xludf.DUMMYFUNCTION("""COMPUTED_VALUE"""),119)</f>
        <v>119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45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IFERROR(__xludf.DUMMYFUNCTION("""COMPUTED_VALUE"""),0.977079)</f>
        <v>0.97707900000000003</v>
      </c>
    </row>
    <row r="13" spans="1:3" ht="15.75" customHeight="1" x14ac:dyDescent="0.25">
      <c r="A13" s="32" t="s">
        <v>40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IFERROR(__xludf.DUMMYFUNCTION("""COMPUTED_VALUE"""),152)</f>
        <v>152</v>
      </c>
    </row>
    <row r="14" spans="1:3" ht="15.75" customHeight="1" x14ac:dyDescent="0.25">
      <c r="A14" s="32" t="s">
        <v>46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IFERROR(__xludf.DUMMYFUNCTION("""COMPUTED_VALUE"""),1.61252)</f>
        <v>1.61252</v>
      </c>
    </row>
    <row r="15" spans="1:3" ht="15.75" customHeight="1" x14ac:dyDescent="0.25">
      <c r="A15" s="32" t="s">
        <v>47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IFERROR(__xludf.DUMMYFUNCTION("""COMPUTED_VALUE"""),0.867261)</f>
        <v>0.86726099999999995</v>
      </c>
    </row>
    <row r="16" spans="1:3" ht="15.75" customHeight="1" x14ac:dyDescent="0.25">
      <c r="A16" s="32" t="s">
        <v>48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IFERROR(__xludf.DUMMYFUNCTION("""COMPUTED_VALUE"""),129)</f>
        <v>129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50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IFERROR(__xludf.DUMMYFUNCTION("""COMPUTED_VALUE"""),1.05075)</f>
        <v>1.0507500000000001</v>
      </c>
    </row>
    <row r="19" spans="1:3" ht="15.75" customHeight="1" x14ac:dyDescent="0.25">
      <c r="A19" s="32" t="s">
        <v>51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IFERROR(__xludf.DUMMYFUNCTION("""COMPUTED_VALUE"""),157)</f>
        <v>157</v>
      </c>
    </row>
    <row r="20" spans="1:3" ht="15.75" customHeight="1" x14ac:dyDescent="0.25">
      <c r="A20" s="32" t="s">
        <v>52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IFERROR(__xludf.DUMMYFUNCTION("""COMPUTED_VALUE"""),0.868051)</f>
        <v>0.86805100000000002</v>
      </c>
    </row>
    <row r="21" spans="1:3" ht="15.75" customHeight="1" x14ac:dyDescent="0.25">
      <c r="A21" s="32" t="s">
        <v>53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IFERROR(__xludf.DUMMYFUNCTION("""COMPUTED_VALUE"""),0.754904)</f>
        <v>0.75490400000000002</v>
      </c>
    </row>
    <row r="22" spans="1:3" ht="15.75" customHeight="1" x14ac:dyDescent="0.25">
      <c r="A22" s="32" t="s">
        <v>43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IFERROR(__xludf.DUMMYFUNCTION("""COMPUTED_VALUE"""),119)</f>
        <v>119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55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IFERROR(__xludf.DUMMYFUNCTION("""COMPUTED_VALUE"""),0.922915)</f>
        <v>0.92291500000000004</v>
      </c>
    </row>
    <row r="25" spans="1:3" ht="15.75" customHeight="1" x14ac:dyDescent="0.25">
      <c r="A25" s="32" t="s">
        <v>36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IFERROR(__xludf.DUMMYFUNCTION("""COMPUTED_VALUE"""),149)</f>
        <v>149</v>
      </c>
    </row>
    <row r="26" spans="1:3" ht="15.75" customHeight="1" x14ac:dyDescent="0.25">
      <c r="A26" s="32" t="s">
        <v>56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IFERROR(__xludf.DUMMYFUNCTION("""COMPUTED_VALUE"""),0.792136)</f>
        <v>0.79213599999999995</v>
      </c>
    </row>
    <row r="27" spans="1:3" ht="15.75" customHeight="1" x14ac:dyDescent="0.25">
      <c r="A27" s="32" t="s">
        <v>57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IFERROR(__xludf.DUMMYFUNCTION("""COMPUTED_VALUE"""),0.675263)</f>
        <v>0.67526299999999995</v>
      </c>
    </row>
    <row r="28" spans="1:3" ht="15.75" customHeight="1" x14ac:dyDescent="0.25">
      <c r="A28" s="32" t="s">
        <v>58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IFERROR(__xludf.DUMMYFUNCTION("""COMPUTED_VALUE"""),126)</f>
        <v>126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60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IFERROR(__xludf.DUMMYFUNCTION("""COMPUTED_VALUE"""),1.02609)</f>
        <v>1.0260899999999999</v>
      </c>
    </row>
    <row r="31" spans="1:3" ht="15.75" customHeight="1" x14ac:dyDescent="0.25">
      <c r="A31" s="32" t="s">
        <v>61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IFERROR(__xludf.DUMMYFUNCTION("""COMPUTED_VALUE"""),150)</f>
        <v>150</v>
      </c>
    </row>
    <row r="32" spans="1:3" ht="15.75" customHeight="1" x14ac:dyDescent="0.25">
      <c r="A32" s="32" t="s">
        <v>62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IFERROR(__xludf.DUMMYFUNCTION("""COMPUTED_VALUE"""),1.07331)</f>
        <v>1.07331</v>
      </c>
    </row>
    <row r="33" spans="1:3" ht="15.75" customHeight="1" x14ac:dyDescent="0.25">
      <c r="A33" s="32" t="s">
        <v>63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IFERROR(__xludf.DUMMYFUNCTION("""COMPUTED_VALUE"""),0.644351)</f>
        <v>0.64435100000000001</v>
      </c>
    </row>
    <row r="34" spans="1:3" ht="15.75" customHeight="1" x14ac:dyDescent="0.25">
      <c r="A34" s="32" t="s">
        <v>64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IFERROR(__xludf.DUMMYFUNCTION("""COMPUTED_VALUE"""),109)</f>
        <v>109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66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IFERROR(__xludf.DUMMYFUNCTION("""COMPUTED_VALUE"""),0.912575)</f>
        <v>0.91257500000000003</v>
      </c>
    </row>
    <row r="37" spans="1:3" ht="15.75" customHeight="1" x14ac:dyDescent="0.25">
      <c r="A37" s="32" t="s">
        <v>51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IFERROR(__xludf.DUMMYFUNCTION("""COMPUTED_VALUE"""),157)</f>
        <v>157</v>
      </c>
    </row>
    <row r="38" spans="1:3" ht="15.75" customHeight="1" x14ac:dyDescent="0.25">
      <c r="A38" s="32" t="s">
        <v>67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IFERROR(__xludf.DUMMYFUNCTION("""COMPUTED_VALUE"""),0.948196)</f>
        <v>0.94819600000000004</v>
      </c>
    </row>
    <row r="39" spans="1:3" ht="15.75" customHeight="1" x14ac:dyDescent="0.25">
      <c r="A39" s="32" t="s">
        <v>68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IFERROR(__xludf.DUMMYFUNCTION("""COMPUTED_VALUE"""),0.725927)</f>
        <v>0.72592699999999999</v>
      </c>
    </row>
    <row r="40" spans="1:3" ht="12.5" x14ac:dyDescent="0.25">
      <c r="A40" s="32" t="s">
        <v>69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IFERROR(__xludf.DUMMYFUNCTION("""COMPUTED_VALUE"""),123)</f>
        <v>123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71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IFERROR(__xludf.DUMMYFUNCTION("""COMPUTED_VALUE"""),1.01826)</f>
        <v>1.0182599999999999</v>
      </c>
    </row>
    <row r="43" spans="1:3" ht="12.5" x14ac:dyDescent="0.25">
      <c r="A43" s="32" t="s">
        <v>40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IFERROR(__xludf.DUMMYFUNCTION("""COMPUTED_VALUE"""),152)</f>
        <v>152</v>
      </c>
    </row>
    <row r="44" spans="1:3" ht="12.5" x14ac:dyDescent="0.25">
      <c r="A44" s="32" t="s">
        <v>72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IFERROR(__xludf.DUMMYFUNCTION("""COMPUTED_VALUE"""),0.904504)</f>
        <v>0.90450399999999997</v>
      </c>
    </row>
    <row r="45" spans="1:3" ht="12.5" x14ac:dyDescent="0.25">
      <c r="A45" s="32" t="s">
        <v>73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IFERROR(__xludf.DUMMYFUNCTION("""COMPUTED_VALUE"""),0.705301)</f>
        <v>0.70530099999999996</v>
      </c>
    </row>
    <row r="46" spans="1:3" ht="12.5" x14ac:dyDescent="0.25">
      <c r="A46" s="32" t="s">
        <v>74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IFERROR(__xludf.DUMMYFUNCTION("""COMPUTED_VALUE"""),131)</f>
        <v>131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76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IFERROR(__xludf.DUMMYFUNCTION("""COMPUTED_VALUE"""),1.00407)</f>
        <v>1.00407</v>
      </c>
    </row>
    <row r="49" spans="1:3" ht="12.5" x14ac:dyDescent="0.25">
      <c r="A49" s="32" t="s">
        <v>77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IFERROR(__xludf.DUMMYFUNCTION("""COMPUTED_VALUE"""),139)</f>
        <v>139</v>
      </c>
    </row>
    <row r="50" spans="1:3" ht="12.5" x14ac:dyDescent="0.25">
      <c r="A50" s="32" t="s">
        <v>78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IFERROR(__xludf.DUMMYFUNCTION("""COMPUTED_VALUE"""),0.799921)</f>
        <v>0.79992099999999999</v>
      </c>
    </row>
    <row r="51" spans="1:3" ht="12.5" x14ac:dyDescent="0.25">
      <c r="A51" s="32" t="s">
        <v>79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IFERROR(__xludf.DUMMYFUNCTION("""COMPUTED_VALUE"""),0.65376)</f>
        <v>0.65376000000000001</v>
      </c>
    </row>
    <row r="52" spans="1:3" ht="12.5" x14ac:dyDescent="0.25">
      <c r="A52" s="32" t="s">
        <v>80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IFERROR(__xludf.DUMMYFUNCTION("""COMPUTED_VALUE"""),124)</f>
        <v>124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82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IFERROR(__xludf.DUMMYFUNCTION("""COMPUTED_VALUE"""),0.99013)</f>
        <v>0.99012999999999995</v>
      </c>
    </row>
    <row r="55" spans="1:3" ht="12.5" x14ac:dyDescent="0.25">
      <c r="A55" s="32" t="s">
        <v>83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IFERROR(__xludf.DUMMYFUNCTION("""COMPUTED_VALUE"""),144)</f>
        <v>144</v>
      </c>
    </row>
    <row r="56" spans="1:3" ht="12.5" x14ac:dyDescent="0.25">
      <c r="A56" s="32" t="s">
        <v>84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IFERROR(__xludf.DUMMYFUNCTION("""COMPUTED_VALUE"""),1.66265)</f>
        <v>1.66265</v>
      </c>
    </row>
    <row r="57" spans="1:3" ht="12.5" x14ac:dyDescent="0.25">
      <c r="A57" s="32" t="s">
        <v>85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IFERROR(__xludf.DUMMYFUNCTION("""COMPUTED_VALUE"""),0.597197)</f>
        <v>0.59719699999999998</v>
      </c>
    </row>
    <row r="58" spans="1:3" ht="12.5" x14ac:dyDescent="0.25">
      <c r="A58" s="32" t="s">
        <v>43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IFERROR(__xludf.DUMMYFUNCTION("""COMPUTED_VALUE"""),119)</f>
        <v>119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530</v>
      </c>
      <c r="B2" s="33" t="str">
        <f ca="1">IFERROR(__xludf.DUMMYFUNCTION("split(A2,"":"")"),"time of detection")</f>
        <v>time of detection</v>
      </c>
      <c r="C2" s="33">
        <f ca="1">IFERROR(__xludf.DUMMYFUNCTION("""COMPUTED_VALUE"""),1.28694)</f>
        <v>1.28694</v>
      </c>
    </row>
    <row r="3" spans="1:3" ht="15.75" customHeight="1" x14ac:dyDescent="0.25">
      <c r="A3" s="32" t="s">
        <v>36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IFERROR(__xludf.DUMMYFUNCTION("""COMPUTED_VALUE"""),149)</f>
        <v>149</v>
      </c>
    </row>
    <row r="4" spans="1:3" ht="15.75" customHeight="1" x14ac:dyDescent="0.25">
      <c r="A4" s="32" t="s">
        <v>531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IFERROR(__xludf.DUMMYFUNCTION("""COMPUTED_VALUE"""),2.62803)</f>
        <v>2.6280299999999999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532</v>
      </c>
      <c r="B6" s="33" t="str">
        <f ca="1">IFERROR(__xludf.DUMMYFUNCTION("split(A6,"":"")"),"time of detection")</f>
        <v>time of detection</v>
      </c>
      <c r="C6" s="33">
        <f ca="1">IFERROR(__xludf.DUMMYFUNCTION("""COMPUTED_VALUE"""),1.06461)</f>
        <v>1.0646100000000001</v>
      </c>
    </row>
    <row r="7" spans="1:3" ht="15.75" customHeight="1" x14ac:dyDescent="0.25">
      <c r="A7" s="32" t="s">
        <v>40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IFERROR(__xludf.DUMMYFUNCTION("""COMPUTED_VALUE"""),152)</f>
        <v>152</v>
      </c>
    </row>
    <row r="8" spans="1:3" ht="15.75" customHeight="1" x14ac:dyDescent="0.25">
      <c r="A8" s="32" t="s">
        <v>533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IFERROR(__xludf.DUMMYFUNCTION("""COMPUTED_VALUE"""),1.40305)</f>
        <v>1.4030499999999999</v>
      </c>
    </row>
    <row r="9" spans="1:3" ht="15.75" customHeight="1" x14ac:dyDescent="0.25">
      <c r="A9" s="32" t="s">
        <v>534</v>
      </c>
      <c r="B9" s="33" t="str">
        <f ca="1">IFERROR(__xludf.DUMMYFUNCTION("split(A9,"":"")"),"time of matching")</f>
        <v>time of matching</v>
      </c>
      <c r="C9" s="33">
        <f ca="1">IFERROR(__xludf.DUMMYFUNCTION("""COMPUTED_VALUE"""),0.858059)</f>
        <v>0.85805900000000002</v>
      </c>
    </row>
    <row r="10" spans="1:3" ht="15.75" customHeight="1" x14ac:dyDescent="0.25">
      <c r="A10" s="32" t="s">
        <v>535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IFERROR(__xludf.DUMMYFUNCTION("""COMPUTED_VALUE"""),118)</f>
        <v>118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536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IFERROR(__xludf.DUMMYFUNCTION("""COMPUTED_VALUE"""),1.12735)</f>
        <v>1.1273500000000001</v>
      </c>
    </row>
    <row r="13" spans="1:3" ht="15.75" customHeight="1" x14ac:dyDescent="0.25">
      <c r="A13" s="32" t="s">
        <v>40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IFERROR(__xludf.DUMMYFUNCTION("""COMPUTED_VALUE"""),152)</f>
        <v>152</v>
      </c>
    </row>
    <row r="14" spans="1:3" ht="15.75" customHeight="1" x14ac:dyDescent="0.25">
      <c r="A14" s="32" t="s">
        <v>537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IFERROR(__xludf.DUMMYFUNCTION("""COMPUTED_VALUE"""),1.70664)</f>
        <v>1.7066399999999999</v>
      </c>
    </row>
    <row r="15" spans="1:3" ht="15.75" customHeight="1" x14ac:dyDescent="0.25">
      <c r="A15" s="32" t="s">
        <v>538</v>
      </c>
      <c r="B15" s="33" t="str">
        <f ca="1">IFERROR(__xludf.DUMMYFUNCTION("split(A15,"":"")"),"time of matching")</f>
        <v>time of matching</v>
      </c>
      <c r="C15" s="33">
        <f ca="1">IFERROR(__xludf.DUMMYFUNCTION("""COMPUTED_VALUE"""),2.41171)</f>
        <v>2.4117099999999998</v>
      </c>
    </row>
    <row r="16" spans="1:3" ht="15.75" customHeight="1" x14ac:dyDescent="0.25">
      <c r="A16" s="32" t="s">
        <v>69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IFERROR(__xludf.DUMMYFUNCTION("""COMPUTED_VALUE"""),123)</f>
        <v>123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539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IFERROR(__xludf.DUMMYFUNCTION("""COMPUTED_VALUE"""),1.46642)</f>
        <v>1.4664200000000001</v>
      </c>
    </row>
    <row r="19" spans="1:3" ht="15.75" customHeight="1" x14ac:dyDescent="0.25">
      <c r="A19" s="32" t="s">
        <v>51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IFERROR(__xludf.DUMMYFUNCTION("""COMPUTED_VALUE"""),157)</f>
        <v>157</v>
      </c>
    </row>
    <row r="20" spans="1:3" ht="15.75" customHeight="1" x14ac:dyDescent="0.25">
      <c r="A20" s="32" t="s">
        <v>540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IFERROR(__xludf.DUMMYFUNCTION("""COMPUTED_VALUE"""),1.89367)</f>
        <v>1.89367</v>
      </c>
    </row>
    <row r="21" spans="1:3" ht="15.75" customHeight="1" x14ac:dyDescent="0.25">
      <c r="A21" s="32" t="s">
        <v>541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IFERROR(__xludf.DUMMYFUNCTION("""COMPUTED_VALUE"""),0.794592)</f>
        <v>0.79459199999999996</v>
      </c>
    </row>
    <row r="22" spans="1:3" ht="15.75" customHeight="1" x14ac:dyDescent="0.25">
      <c r="A22" s="32" t="s">
        <v>542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IFERROR(__xludf.DUMMYFUNCTION("""COMPUTED_VALUE"""),113)</f>
        <v>113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543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IFERROR(__xludf.DUMMYFUNCTION("""COMPUTED_VALUE"""),0.945488)</f>
        <v>0.945488</v>
      </c>
    </row>
    <row r="25" spans="1:3" ht="15.75" customHeight="1" x14ac:dyDescent="0.25">
      <c r="A25" s="32" t="s">
        <v>36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IFERROR(__xludf.DUMMYFUNCTION("""COMPUTED_VALUE"""),149)</f>
        <v>149</v>
      </c>
    </row>
    <row r="26" spans="1:3" ht="15.75" customHeight="1" x14ac:dyDescent="0.25">
      <c r="A26" s="32" t="s">
        <v>544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IFERROR(__xludf.DUMMYFUNCTION("""COMPUTED_VALUE"""),1.434)</f>
        <v>1.4339999999999999</v>
      </c>
    </row>
    <row r="27" spans="1:3" ht="15.75" customHeight="1" x14ac:dyDescent="0.25">
      <c r="A27" s="32" t="s">
        <v>545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IFERROR(__xludf.DUMMYFUNCTION("""COMPUTED_VALUE"""),0.823462)</f>
        <v>0.82346200000000003</v>
      </c>
    </row>
    <row r="28" spans="1:3" ht="15.75" customHeight="1" x14ac:dyDescent="0.25">
      <c r="A28" s="32" t="s">
        <v>58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IFERROR(__xludf.DUMMYFUNCTION("""COMPUTED_VALUE"""),126)</f>
        <v>126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546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IFERROR(__xludf.DUMMYFUNCTION("""COMPUTED_VALUE"""),0.946538)</f>
        <v>0.94653799999999999</v>
      </c>
    </row>
    <row r="31" spans="1:3" ht="15.75" customHeight="1" x14ac:dyDescent="0.25">
      <c r="A31" s="32" t="s">
        <v>61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IFERROR(__xludf.DUMMYFUNCTION("""COMPUTED_VALUE"""),150)</f>
        <v>150</v>
      </c>
    </row>
    <row r="32" spans="1:3" ht="15.75" customHeight="1" x14ac:dyDescent="0.25">
      <c r="A32" s="32" t="s">
        <v>547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IFERROR(__xludf.DUMMYFUNCTION("""COMPUTED_VALUE"""),1.1691)</f>
        <v>1.1691</v>
      </c>
    </row>
    <row r="33" spans="1:3" ht="15.75" customHeight="1" x14ac:dyDescent="0.25">
      <c r="A33" s="32" t="s">
        <v>548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IFERROR(__xludf.DUMMYFUNCTION("""COMPUTED_VALUE"""),0.729364)</f>
        <v>0.72936400000000001</v>
      </c>
    </row>
    <row r="34" spans="1:3" ht="15.75" customHeight="1" x14ac:dyDescent="0.25">
      <c r="A34" s="32" t="s">
        <v>145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IFERROR(__xludf.DUMMYFUNCTION("""COMPUTED_VALUE"""),107)</f>
        <v>107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549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IFERROR(__xludf.DUMMYFUNCTION("""COMPUTED_VALUE"""),1.23883)</f>
        <v>1.2388300000000001</v>
      </c>
    </row>
    <row r="37" spans="1:3" ht="15.75" customHeight="1" x14ac:dyDescent="0.25">
      <c r="A37" s="32" t="s">
        <v>51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IFERROR(__xludf.DUMMYFUNCTION("""COMPUTED_VALUE"""),157)</f>
        <v>157</v>
      </c>
    </row>
    <row r="38" spans="1:3" ht="15.75" customHeight="1" x14ac:dyDescent="0.25">
      <c r="A38" s="32" t="s">
        <v>550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IFERROR(__xludf.DUMMYFUNCTION("""COMPUTED_VALUE"""),1.18461)</f>
        <v>1.1846099999999999</v>
      </c>
    </row>
    <row r="39" spans="1:3" ht="15.75" customHeight="1" x14ac:dyDescent="0.25">
      <c r="A39" s="32" t="s">
        <v>551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IFERROR(__xludf.DUMMYFUNCTION("""COMPUTED_VALUE"""),0.752839)</f>
        <v>0.75283900000000004</v>
      </c>
    </row>
    <row r="40" spans="1:3" ht="12.5" x14ac:dyDescent="0.25">
      <c r="A40" s="32" t="s">
        <v>449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IFERROR(__xludf.DUMMYFUNCTION("""COMPUTED_VALUE"""),122)</f>
        <v>122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552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IFERROR(__xludf.DUMMYFUNCTION("""COMPUTED_VALUE"""),1.00532)</f>
        <v>1.00532</v>
      </c>
    </row>
    <row r="43" spans="1:3" ht="12.5" x14ac:dyDescent="0.25">
      <c r="A43" s="32" t="s">
        <v>40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IFERROR(__xludf.DUMMYFUNCTION("""COMPUTED_VALUE"""),152)</f>
        <v>152</v>
      </c>
    </row>
    <row r="44" spans="1:3" ht="12.5" x14ac:dyDescent="0.25">
      <c r="A44" s="32" t="s">
        <v>553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IFERROR(__xludf.DUMMYFUNCTION("""COMPUTED_VALUE"""),1.16707)</f>
        <v>1.1670700000000001</v>
      </c>
    </row>
    <row r="45" spans="1:3" ht="12.5" x14ac:dyDescent="0.25">
      <c r="A45" s="32" t="s">
        <v>554</v>
      </c>
      <c r="B45" s="33" t="str">
        <f ca="1">IFERROR(__xludf.DUMMYFUNCTION("split(A45,"":"")"),"time of matching")</f>
        <v>time of matching</v>
      </c>
      <c r="C45" s="33">
        <f ca="1">IFERROR(__xludf.DUMMYFUNCTION("""COMPUTED_VALUE"""),1.41596)</f>
        <v>1.4159600000000001</v>
      </c>
    </row>
    <row r="46" spans="1:3" ht="12.5" x14ac:dyDescent="0.25">
      <c r="A46" s="32" t="s">
        <v>69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IFERROR(__xludf.DUMMYFUNCTION("""COMPUTED_VALUE"""),123)</f>
        <v>123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555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IFERROR(__xludf.DUMMYFUNCTION("""COMPUTED_VALUE"""),1.04754)</f>
        <v>1.0475399999999999</v>
      </c>
    </row>
    <row r="49" spans="1:3" ht="12.5" x14ac:dyDescent="0.25">
      <c r="A49" s="32" t="s">
        <v>77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IFERROR(__xludf.DUMMYFUNCTION("""COMPUTED_VALUE"""),139)</f>
        <v>139</v>
      </c>
    </row>
    <row r="50" spans="1:3" ht="12.5" x14ac:dyDescent="0.25">
      <c r="A50" s="32" t="s">
        <v>556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IFERROR(__xludf.DUMMYFUNCTION("""COMPUTED_VALUE"""),1.09971)</f>
        <v>1.09971</v>
      </c>
    </row>
    <row r="51" spans="1:3" ht="12.5" x14ac:dyDescent="0.25">
      <c r="A51" s="32" t="s">
        <v>557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IFERROR(__xludf.DUMMYFUNCTION("""COMPUTED_VALUE"""),0.696386)</f>
        <v>0.69638599999999995</v>
      </c>
    </row>
    <row r="52" spans="1:3" ht="12.5" x14ac:dyDescent="0.25">
      <c r="A52" s="32" t="s">
        <v>69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IFERROR(__xludf.DUMMYFUNCTION("""COMPUTED_VALUE"""),123)</f>
        <v>123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558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IFERROR(__xludf.DUMMYFUNCTION("""COMPUTED_VALUE"""),0.988585)</f>
        <v>0.98858500000000005</v>
      </c>
    </row>
    <row r="55" spans="1:3" ht="12.5" x14ac:dyDescent="0.25">
      <c r="A55" s="32" t="s">
        <v>83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IFERROR(__xludf.DUMMYFUNCTION("""COMPUTED_VALUE"""),144)</f>
        <v>144</v>
      </c>
    </row>
    <row r="56" spans="1:3" ht="12.5" x14ac:dyDescent="0.25">
      <c r="A56" s="32" t="s">
        <v>559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IFERROR(__xludf.DUMMYFUNCTION("""COMPUTED_VALUE"""),1.38973)</f>
        <v>1.3897299999999999</v>
      </c>
    </row>
    <row r="57" spans="1:3" ht="12.5" x14ac:dyDescent="0.25">
      <c r="A57" s="32" t="s">
        <v>560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IFERROR(__xludf.DUMMYFUNCTION("""COMPUTED_VALUE"""),0.677819)</f>
        <v>0.67781899999999995</v>
      </c>
    </row>
    <row r="58" spans="1:3" ht="12.5" x14ac:dyDescent="0.25">
      <c r="A58" s="32" t="s">
        <v>43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IFERROR(__xludf.DUMMYFUNCTION("""COMPUTED_VALUE"""),119)</f>
        <v>119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86</v>
      </c>
      <c r="B2" s="33" t="str">
        <f ca="1">IFERROR(__xludf.DUMMYFUNCTION("split(A2,"":"")"),"time of detection")</f>
        <v>time of detection</v>
      </c>
      <c r="C2" s="33">
        <f ca="1">IFERROR(__xludf.DUMMYFUNCTION("""COMPUTED_VALUE"""),1.1114)</f>
        <v>1.1113999999999999</v>
      </c>
    </row>
    <row r="3" spans="1:3" ht="15.75" customHeight="1" x14ac:dyDescent="0.25">
      <c r="A3" s="32" t="s">
        <v>36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IFERROR(__xludf.DUMMYFUNCTION("""COMPUTED_VALUE"""),149)</f>
        <v>149</v>
      </c>
    </row>
    <row r="4" spans="1:3" ht="15.75" customHeight="1" x14ac:dyDescent="0.25">
      <c r="A4" s="32" t="s">
        <v>87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IFERROR(__xludf.DUMMYFUNCTION("""COMPUTED_VALUE"""),48.946)</f>
        <v>48.945999999999998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88</v>
      </c>
      <c r="B6" s="33" t="str">
        <f ca="1">IFERROR(__xludf.DUMMYFUNCTION("split(A6,"":"")"),"time of detection")</f>
        <v>time of detection</v>
      </c>
      <c r="C6" s="33">
        <f ca="1">IFERROR(__xludf.DUMMYFUNCTION("""COMPUTED_VALUE"""),1.06516)</f>
        <v>1.0651600000000001</v>
      </c>
    </row>
    <row r="7" spans="1:3" ht="15.75" customHeight="1" x14ac:dyDescent="0.25">
      <c r="A7" s="32" t="s">
        <v>40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IFERROR(__xludf.DUMMYFUNCTION("""COMPUTED_VALUE"""),152)</f>
        <v>152</v>
      </c>
    </row>
    <row r="8" spans="1:3" ht="15.75" customHeight="1" x14ac:dyDescent="0.25">
      <c r="A8" s="32" t="s">
        <v>89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IFERROR(__xludf.DUMMYFUNCTION("""COMPUTED_VALUE"""),46.4072)</f>
        <v>46.407200000000003</v>
      </c>
    </row>
    <row r="9" spans="1:3" ht="15.75" customHeight="1" x14ac:dyDescent="0.25">
      <c r="A9" s="32" t="s">
        <v>90</v>
      </c>
      <c r="B9" s="33" t="str">
        <f ca="1">IFERROR(__xludf.DUMMYFUNCTION("split(A9,"":"")"),"time of matching")</f>
        <v>time of matching</v>
      </c>
      <c r="C9" s="33">
        <f ca="1">IFERROR(__xludf.DUMMYFUNCTION("""COMPUTED_VALUE"""),0.810937)</f>
        <v>0.81093700000000002</v>
      </c>
    </row>
    <row r="10" spans="1:3" ht="15.75" customHeight="1" x14ac:dyDescent="0.25">
      <c r="A10" s="32" t="s">
        <v>91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IFERROR(__xludf.DUMMYFUNCTION("""COMPUTED_VALUE"""),98)</f>
        <v>98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92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IFERROR(__xludf.DUMMYFUNCTION("""COMPUTED_VALUE"""),0.972302)</f>
        <v>0.972302</v>
      </c>
    </row>
    <row r="13" spans="1:3" ht="15.75" customHeight="1" x14ac:dyDescent="0.25">
      <c r="A13" s="32" t="s">
        <v>40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IFERROR(__xludf.DUMMYFUNCTION("""COMPUTED_VALUE"""),152)</f>
        <v>152</v>
      </c>
    </row>
    <row r="14" spans="1:3" ht="15.75" customHeight="1" x14ac:dyDescent="0.25">
      <c r="A14" s="32" t="s">
        <v>93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IFERROR(__xludf.DUMMYFUNCTION("""COMPUTED_VALUE"""),46.1567)</f>
        <v>46.156700000000001</v>
      </c>
    </row>
    <row r="15" spans="1:3" ht="15.75" customHeight="1" x14ac:dyDescent="0.25">
      <c r="A15" s="32" t="s">
        <v>94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IFERROR(__xludf.DUMMYFUNCTION("""COMPUTED_VALUE"""),0.724916)</f>
        <v>0.724916</v>
      </c>
    </row>
    <row r="16" spans="1:3" ht="15.75" customHeight="1" x14ac:dyDescent="0.25">
      <c r="A16" s="32" t="s">
        <v>95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IFERROR(__xludf.DUMMYFUNCTION("""COMPUTED_VALUE"""),99)</f>
        <v>99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96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IFERROR(__xludf.DUMMYFUNCTION("""COMPUTED_VALUE"""),1.0726)</f>
        <v>1.0726</v>
      </c>
    </row>
    <row r="19" spans="1:3" ht="15.75" customHeight="1" x14ac:dyDescent="0.25">
      <c r="A19" s="32" t="s">
        <v>51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IFERROR(__xludf.DUMMYFUNCTION("""COMPUTED_VALUE"""),157)</f>
        <v>157</v>
      </c>
    </row>
    <row r="20" spans="1:3" ht="15.75" customHeight="1" x14ac:dyDescent="0.25">
      <c r="A20" s="32" t="s">
        <v>97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IFERROR(__xludf.DUMMYFUNCTION("""COMPUTED_VALUE"""),43.7176)</f>
        <v>43.717599999999997</v>
      </c>
    </row>
    <row r="21" spans="1:3" ht="15.75" customHeight="1" x14ac:dyDescent="0.25">
      <c r="A21" s="32" t="s">
        <v>98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IFERROR(__xludf.DUMMYFUNCTION("""COMPUTED_VALUE"""),0.712289)</f>
        <v>0.71228899999999995</v>
      </c>
    </row>
    <row r="22" spans="1:3" ht="15.75" customHeight="1" x14ac:dyDescent="0.25">
      <c r="A22" s="32" t="s">
        <v>99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IFERROR(__xludf.DUMMYFUNCTION("""COMPUTED_VALUE"""),92)</f>
        <v>92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100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IFERROR(__xludf.DUMMYFUNCTION("""COMPUTED_VALUE"""),0.936401)</f>
        <v>0.93640100000000004</v>
      </c>
    </row>
    <row r="25" spans="1:3" ht="15.75" customHeight="1" x14ac:dyDescent="0.25">
      <c r="A25" s="32" t="s">
        <v>36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IFERROR(__xludf.DUMMYFUNCTION("""COMPUTED_VALUE"""),149)</f>
        <v>149</v>
      </c>
    </row>
    <row r="26" spans="1:3" ht="15.75" customHeight="1" x14ac:dyDescent="0.25">
      <c r="A26" s="32" t="s">
        <v>101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IFERROR(__xludf.DUMMYFUNCTION("""COMPUTED_VALUE"""),45.5244)</f>
        <v>45.5244</v>
      </c>
    </row>
    <row r="27" spans="1:3" ht="15.75" customHeight="1" x14ac:dyDescent="0.25">
      <c r="A27" s="32" t="s">
        <v>102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IFERROR(__xludf.DUMMYFUNCTION("""COMPUTED_VALUE"""),0.69027)</f>
        <v>0.69027000000000005</v>
      </c>
    </row>
    <row r="28" spans="1:3" ht="15.75" customHeight="1" x14ac:dyDescent="0.25">
      <c r="A28" s="32" t="s">
        <v>91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IFERROR(__xludf.DUMMYFUNCTION("""COMPUTED_VALUE"""),98)</f>
        <v>98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103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IFERROR(__xludf.DUMMYFUNCTION("""COMPUTED_VALUE"""),1.06927)</f>
        <v>1.0692699999999999</v>
      </c>
    </row>
    <row r="31" spans="1:3" ht="15.75" customHeight="1" x14ac:dyDescent="0.25">
      <c r="A31" s="32" t="s">
        <v>61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IFERROR(__xludf.DUMMYFUNCTION("""COMPUTED_VALUE"""),150)</f>
        <v>150</v>
      </c>
    </row>
    <row r="32" spans="1:3" ht="15.75" customHeight="1" x14ac:dyDescent="0.25">
      <c r="A32" s="32" t="s">
        <v>104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IFERROR(__xludf.DUMMYFUNCTION("""COMPUTED_VALUE"""),43.6847)</f>
        <v>43.684699999999999</v>
      </c>
    </row>
    <row r="33" spans="1:3" ht="15.75" customHeight="1" x14ac:dyDescent="0.25">
      <c r="A33" s="32" t="s">
        <v>105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IFERROR(__xludf.DUMMYFUNCTION("""COMPUTED_VALUE"""),0.691578)</f>
        <v>0.69157800000000003</v>
      </c>
    </row>
    <row r="34" spans="1:3" ht="15.75" customHeight="1" x14ac:dyDescent="0.25">
      <c r="A34" s="32" t="s">
        <v>106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IFERROR(__xludf.DUMMYFUNCTION("""COMPUTED_VALUE"""),86)</f>
        <v>86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107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IFERROR(__xludf.DUMMYFUNCTION("""COMPUTED_VALUE"""),1.01758)</f>
        <v>1.0175799999999999</v>
      </c>
    </row>
    <row r="37" spans="1:3" ht="15.75" customHeight="1" x14ac:dyDescent="0.25">
      <c r="A37" s="32" t="s">
        <v>51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IFERROR(__xludf.DUMMYFUNCTION("""COMPUTED_VALUE"""),157)</f>
        <v>157</v>
      </c>
    </row>
    <row r="38" spans="1:3" ht="15.75" customHeight="1" x14ac:dyDescent="0.25">
      <c r="A38" s="32" t="s">
        <v>108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IFERROR(__xludf.DUMMYFUNCTION("""COMPUTED_VALUE"""),43.3003)</f>
        <v>43.3003</v>
      </c>
    </row>
    <row r="39" spans="1:3" ht="15.75" customHeight="1" x14ac:dyDescent="0.25">
      <c r="A39" s="32" t="s">
        <v>109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IFERROR(__xludf.DUMMYFUNCTION("""COMPUTED_VALUE"""),0.688952)</f>
        <v>0.68895200000000001</v>
      </c>
    </row>
    <row r="40" spans="1:3" ht="12.5" x14ac:dyDescent="0.25">
      <c r="A40" s="32" t="s">
        <v>95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IFERROR(__xludf.DUMMYFUNCTION("""COMPUTED_VALUE"""),99)</f>
        <v>99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110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IFERROR(__xludf.DUMMYFUNCTION("""COMPUTED_VALUE"""),0.923731)</f>
        <v>0.92373099999999997</v>
      </c>
    </row>
    <row r="43" spans="1:3" ht="12.5" x14ac:dyDescent="0.25">
      <c r="A43" s="32" t="s">
        <v>40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IFERROR(__xludf.DUMMYFUNCTION("""COMPUTED_VALUE"""),152)</f>
        <v>152</v>
      </c>
    </row>
    <row r="44" spans="1:3" ht="12.5" x14ac:dyDescent="0.25">
      <c r="A44" s="32" t="s">
        <v>111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IFERROR(__xludf.DUMMYFUNCTION("""COMPUTED_VALUE"""),43.445)</f>
        <v>43.445</v>
      </c>
    </row>
    <row r="45" spans="1:3" ht="12.5" x14ac:dyDescent="0.25">
      <c r="A45" s="32" t="s">
        <v>112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IFERROR(__xludf.DUMMYFUNCTION("""COMPUTED_VALUE"""),0.732189)</f>
        <v>0.73218899999999998</v>
      </c>
    </row>
    <row r="46" spans="1:3" ht="12.5" x14ac:dyDescent="0.25">
      <c r="A46" s="32" t="s">
        <v>113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IFERROR(__xludf.DUMMYFUNCTION("""COMPUTED_VALUE"""),104)</f>
        <v>104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114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IFERROR(__xludf.DUMMYFUNCTION("""COMPUTED_VALUE"""),1.01566)</f>
        <v>1.01566</v>
      </c>
    </row>
    <row r="49" spans="1:3" ht="12.5" x14ac:dyDescent="0.25">
      <c r="A49" s="32" t="s">
        <v>77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IFERROR(__xludf.DUMMYFUNCTION("""COMPUTED_VALUE"""),139)</f>
        <v>139</v>
      </c>
    </row>
    <row r="50" spans="1:3" ht="12.5" x14ac:dyDescent="0.25">
      <c r="A50" s="32" t="s">
        <v>115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IFERROR(__xludf.DUMMYFUNCTION("""COMPUTED_VALUE"""),43.216)</f>
        <v>43.216000000000001</v>
      </c>
    </row>
    <row r="51" spans="1:3" ht="12.5" x14ac:dyDescent="0.25">
      <c r="A51" s="32" t="s">
        <v>116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IFERROR(__xludf.DUMMYFUNCTION("""COMPUTED_VALUE"""),0.746679)</f>
        <v>0.74667899999999998</v>
      </c>
    </row>
    <row r="52" spans="1:3" ht="12.5" x14ac:dyDescent="0.25">
      <c r="A52" s="32" t="s">
        <v>117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IFERROR(__xludf.DUMMYFUNCTION("""COMPUTED_VALUE"""),101)</f>
        <v>101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118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IFERROR(__xludf.DUMMYFUNCTION("""COMPUTED_VALUE"""),0.89861)</f>
        <v>0.89861000000000002</v>
      </c>
    </row>
    <row r="55" spans="1:3" ht="12.5" x14ac:dyDescent="0.25">
      <c r="A55" s="32" t="s">
        <v>83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IFERROR(__xludf.DUMMYFUNCTION("""COMPUTED_VALUE"""),144)</f>
        <v>144</v>
      </c>
    </row>
    <row r="56" spans="1:3" ht="12.5" x14ac:dyDescent="0.25">
      <c r="A56" s="32" t="s">
        <v>119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IFERROR(__xludf.DUMMYFUNCTION("""COMPUTED_VALUE"""),42.7753)</f>
        <v>42.775300000000001</v>
      </c>
    </row>
    <row r="57" spans="1:3" ht="12.5" x14ac:dyDescent="0.25">
      <c r="A57" s="32" t="s">
        <v>120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IFERROR(__xludf.DUMMYFUNCTION("""COMPUTED_VALUE"""),0.919347)</f>
        <v>0.91934700000000003</v>
      </c>
    </row>
    <row r="58" spans="1:3" ht="12.5" x14ac:dyDescent="0.25">
      <c r="A58" s="32" t="s">
        <v>121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IFERROR(__xludf.DUMMYFUNCTION("""COMPUTED_VALUE"""),105)</f>
        <v>105</v>
      </c>
    </row>
  </sheetData>
  <phoneticPr fontId="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122</v>
      </c>
      <c r="B2" s="33" t="str">
        <f ca="1">IFERROR(__xludf.DUMMYFUNCTION("split(A2,"":"")"),"time of detection")</f>
        <v>time of detection</v>
      </c>
      <c r="C2" s="33">
        <f ca="1">IFERROR(__xludf.DUMMYFUNCTION("""COMPUTED_VALUE"""),1.10349)</f>
        <v>1.1034900000000001</v>
      </c>
    </row>
    <row r="3" spans="1:3" ht="15.75" customHeight="1" x14ac:dyDescent="0.25">
      <c r="A3" s="32" t="s">
        <v>36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IFERROR(__xludf.DUMMYFUNCTION("""COMPUTED_VALUE"""),149)</f>
        <v>149</v>
      </c>
    </row>
    <row r="4" spans="1:3" ht="15.75" customHeight="1" x14ac:dyDescent="0.25">
      <c r="A4" s="32" t="s">
        <v>123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IFERROR(__xludf.DUMMYFUNCTION("""COMPUTED_VALUE"""),340.89)</f>
        <v>340.89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124</v>
      </c>
      <c r="B6" s="33" t="str">
        <f ca="1">IFERROR(__xludf.DUMMYFUNCTION("split(A6,"":"")"),"time of detection")</f>
        <v>time of detection</v>
      </c>
      <c r="C6" s="33">
        <f ca="1">IFERROR(__xludf.DUMMYFUNCTION("""COMPUTED_VALUE"""),1.23143)</f>
        <v>1.23143</v>
      </c>
    </row>
    <row r="7" spans="1:3" ht="15.75" customHeight="1" x14ac:dyDescent="0.25">
      <c r="A7" s="32" t="s">
        <v>40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IFERROR(__xludf.DUMMYFUNCTION("""COMPUTED_VALUE"""),152)</f>
        <v>152</v>
      </c>
    </row>
    <row r="8" spans="1:3" ht="15.75" customHeight="1" x14ac:dyDescent="0.25">
      <c r="A8" s="32" t="s">
        <v>125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IFERROR(__xludf.DUMMYFUNCTION("""COMPUTED_VALUE"""),333.209)</f>
        <v>333.209</v>
      </c>
    </row>
    <row r="9" spans="1:3" ht="15.75" customHeight="1" x14ac:dyDescent="0.25">
      <c r="A9" s="32" t="s">
        <v>126</v>
      </c>
      <c r="B9" s="33" t="str">
        <f ca="1">IFERROR(__xludf.DUMMYFUNCTION("split(A9,"":"")"),"time of matching")</f>
        <v>time of matching</v>
      </c>
      <c r="C9" s="33">
        <f ca="1">IFERROR(__xludf.DUMMYFUNCTION("""COMPUTED_VALUE"""),0.804227)</f>
        <v>0.80422700000000003</v>
      </c>
    </row>
    <row r="10" spans="1:3" ht="15.75" customHeight="1" x14ac:dyDescent="0.25">
      <c r="A10" s="32" t="s">
        <v>127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IFERROR(__xludf.DUMMYFUNCTION("""COMPUTED_VALUE"""),97)</f>
        <v>97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128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IFERROR(__xludf.DUMMYFUNCTION("""COMPUTED_VALUE"""),1.03925)</f>
        <v>1.03925</v>
      </c>
    </row>
    <row r="13" spans="1:3" ht="15.75" customHeight="1" x14ac:dyDescent="0.25">
      <c r="A13" s="32" t="s">
        <v>40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IFERROR(__xludf.DUMMYFUNCTION("""COMPUTED_VALUE"""),152)</f>
        <v>152</v>
      </c>
    </row>
    <row r="14" spans="1:3" ht="15.75" customHeight="1" x14ac:dyDescent="0.25">
      <c r="A14" s="32" t="s">
        <v>129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IFERROR(__xludf.DUMMYFUNCTION("""COMPUTED_VALUE"""),332.358)</f>
        <v>332.358</v>
      </c>
    </row>
    <row r="15" spans="1:3" ht="15.75" customHeight="1" x14ac:dyDescent="0.25">
      <c r="A15" s="32" t="s">
        <v>130</v>
      </c>
      <c r="B15" s="33" t="str">
        <f ca="1">IFERROR(__xludf.DUMMYFUNCTION("split(A15,"":"")"),"time of matching")</f>
        <v>time of matching</v>
      </c>
      <c r="C15" s="33">
        <f ca="1">IFERROR(__xludf.DUMMYFUNCTION("""COMPUTED_VALUE"""),0.987815)</f>
        <v>0.987815</v>
      </c>
    </row>
    <row r="16" spans="1:3" ht="15.75" customHeight="1" x14ac:dyDescent="0.25">
      <c r="A16" s="32" t="s">
        <v>113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IFERROR(__xludf.DUMMYFUNCTION("""COMPUTED_VALUE"""),104)</f>
        <v>104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131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IFERROR(__xludf.DUMMYFUNCTION("""COMPUTED_VALUE"""),1.03417)</f>
        <v>1.03417</v>
      </c>
    </row>
    <row r="19" spans="1:3" ht="15.75" customHeight="1" x14ac:dyDescent="0.25">
      <c r="A19" s="32" t="s">
        <v>51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IFERROR(__xludf.DUMMYFUNCTION("""COMPUTED_VALUE"""),157)</f>
        <v>157</v>
      </c>
    </row>
    <row r="20" spans="1:3" ht="15.75" customHeight="1" x14ac:dyDescent="0.25">
      <c r="A20" s="32" t="s">
        <v>132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IFERROR(__xludf.DUMMYFUNCTION("""COMPUTED_VALUE"""),335.775)</f>
        <v>335.77499999999998</v>
      </c>
    </row>
    <row r="21" spans="1:3" ht="15.75" customHeight="1" x14ac:dyDescent="0.25">
      <c r="A21" s="32" t="s">
        <v>133</v>
      </c>
      <c r="B21" s="33" t="str">
        <f ca="1">IFERROR(__xludf.DUMMYFUNCTION("split(A21,"":"")"),"time of matching")</f>
        <v>time of matching</v>
      </c>
      <c r="C21" s="33">
        <f ca="1">IFERROR(__xludf.DUMMYFUNCTION("""COMPUTED_VALUE"""),0.770553)</f>
        <v>0.77055300000000004</v>
      </c>
    </row>
    <row r="22" spans="1:3" ht="15.75" customHeight="1" x14ac:dyDescent="0.25">
      <c r="A22" s="32" t="s">
        <v>134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IFERROR(__xludf.DUMMYFUNCTION("""COMPUTED_VALUE"""),102)</f>
        <v>102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135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IFERROR(__xludf.DUMMYFUNCTION("""COMPUTED_VALUE"""),0.920695)</f>
        <v>0.92069500000000004</v>
      </c>
    </row>
    <row r="25" spans="1:3" ht="15.75" customHeight="1" x14ac:dyDescent="0.25">
      <c r="A25" s="32" t="s">
        <v>36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IFERROR(__xludf.DUMMYFUNCTION("""COMPUTED_VALUE"""),149)</f>
        <v>149</v>
      </c>
    </row>
    <row r="26" spans="1:3" ht="15.75" customHeight="1" x14ac:dyDescent="0.25">
      <c r="A26" s="32" t="s">
        <v>136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IFERROR(__xludf.DUMMYFUNCTION("""COMPUTED_VALUE"""),332.947)</f>
        <v>332.947</v>
      </c>
    </row>
    <row r="27" spans="1:3" ht="15.75" customHeight="1" x14ac:dyDescent="0.25">
      <c r="A27" s="32" t="s">
        <v>137</v>
      </c>
      <c r="B27" s="33" t="str">
        <f ca="1">IFERROR(__xludf.DUMMYFUNCTION("split(A27,"":"")"),"time of matching")</f>
        <v>time of matching</v>
      </c>
      <c r="C27" s="33">
        <f ca="1">IFERROR(__xludf.DUMMYFUNCTION("""COMPUTED_VALUE"""),0.713233)</f>
        <v>0.71323300000000001</v>
      </c>
    </row>
    <row r="28" spans="1:3" ht="15.75" customHeight="1" x14ac:dyDescent="0.25">
      <c r="A28" s="32" t="s">
        <v>91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IFERROR(__xludf.DUMMYFUNCTION("""COMPUTED_VALUE"""),98)</f>
        <v>98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138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IFERROR(__xludf.DUMMYFUNCTION("""COMPUTED_VALUE"""),1.01544)</f>
        <v>1.0154399999999999</v>
      </c>
    </row>
    <row r="31" spans="1:3" ht="15.75" customHeight="1" x14ac:dyDescent="0.25">
      <c r="A31" s="32" t="s">
        <v>61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IFERROR(__xludf.DUMMYFUNCTION("""COMPUTED_VALUE"""),150)</f>
        <v>150</v>
      </c>
    </row>
    <row r="32" spans="1:3" ht="15.75" customHeight="1" x14ac:dyDescent="0.25">
      <c r="A32" s="32" t="s">
        <v>139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IFERROR(__xludf.DUMMYFUNCTION("""COMPUTED_VALUE"""),334.366)</f>
        <v>334.36599999999999</v>
      </c>
    </row>
    <row r="33" spans="1:3" ht="15.75" customHeight="1" x14ac:dyDescent="0.25">
      <c r="A33" s="32" t="s">
        <v>140</v>
      </c>
      <c r="B33" s="33" t="str">
        <f ca="1">IFERROR(__xludf.DUMMYFUNCTION("split(A33,"":"")"),"time of matching")</f>
        <v>time of matching</v>
      </c>
      <c r="C33" s="33">
        <f ca="1">IFERROR(__xludf.DUMMYFUNCTION("""COMPUTED_VALUE"""),0.696362)</f>
        <v>0.69636200000000004</v>
      </c>
    </row>
    <row r="34" spans="1:3" ht="15.75" customHeight="1" x14ac:dyDescent="0.25">
      <c r="A34" s="32" t="s">
        <v>141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IFERROR(__xludf.DUMMYFUNCTION("""COMPUTED_VALUE"""),85)</f>
        <v>85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142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IFERROR(__xludf.DUMMYFUNCTION("""COMPUTED_VALUE"""),1.01374)</f>
        <v>1.0137400000000001</v>
      </c>
    </row>
    <row r="37" spans="1:3" ht="15.75" customHeight="1" x14ac:dyDescent="0.25">
      <c r="A37" s="32" t="s">
        <v>51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IFERROR(__xludf.DUMMYFUNCTION("""COMPUTED_VALUE"""),157)</f>
        <v>157</v>
      </c>
    </row>
    <row r="38" spans="1:3" ht="15.75" customHeight="1" x14ac:dyDescent="0.25">
      <c r="A38" s="32" t="s">
        <v>143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IFERROR(__xludf.DUMMYFUNCTION("""COMPUTED_VALUE"""),336.687)</f>
        <v>336.68700000000001</v>
      </c>
    </row>
    <row r="39" spans="1:3" ht="15.75" customHeight="1" x14ac:dyDescent="0.25">
      <c r="A39" s="32" t="s">
        <v>144</v>
      </c>
      <c r="B39" s="33" t="str">
        <f ca="1">IFERROR(__xludf.DUMMYFUNCTION("split(A39,"":"")"),"time of matching")</f>
        <v>time of matching</v>
      </c>
      <c r="C39" s="33">
        <f ca="1">IFERROR(__xludf.DUMMYFUNCTION("""COMPUTED_VALUE"""),0.811761)</f>
        <v>0.81176099999999995</v>
      </c>
    </row>
    <row r="40" spans="1:3" ht="12.5" x14ac:dyDescent="0.25">
      <c r="A40" s="32" t="s">
        <v>145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IFERROR(__xludf.DUMMYFUNCTION("""COMPUTED_VALUE"""),107)</f>
        <v>107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146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IFERROR(__xludf.DUMMYFUNCTION("""COMPUTED_VALUE"""),1.00255)</f>
        <v>1.0025500000000001</v>
      </c>
    </row>
    <row r="43" spans="1:3" ht="12.5" x14ac:dyDescent="0.25">
      <c r="A43" s="32" t="s">
        <v>147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IFERROR(__xludf.DUMMYFUNCTION("""COMPUTED_VALUE"""),153)</f>
        <v>153</v>
      </c>
    </row>
    <row r="44" spans="1:3" ht="12.5" x14ac:dyDescent="0.25">
      <c r="A44" s="32" t="s">
        <v>148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IFERROR(__xludf.DUMMYFUNCTION("""COMPUTED_VALUE"""),336.071)</f>
        <v>336.07100000000003</v>
      </c>
    </row>
    <row r="45" spans="1:3" ht="12.5" x14ac:dyDescent="0.25">
      <c r="A45" s="32" t="s">
        <v>149</v>
      </c>
      <c r="B45" s="33" t="str">
        <f ca="1">IFERROR(__xludf.DUMMYFUNCTION("split(A45,"":"")"),"time of matching")</f>
        <v>time of matching</v>
      </c>
      <c r="C45" s="33">
        <f ca="1">IFERROR(__xludf.DUMMYFUNCTION("""COMPUTED_VALUE"""),0.73745)</f>
        <v>0.73745000000000005</v>
      </c>
    </row>
    <row r="46" spans="1:3" ht="12.5" x14ac:dyDescent="0.25">
      <c r="A46" s="32" t="s">
        <v>150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IFERROR(__xludf.DUMMYFUNCTION("""COMPUTED_VALUE"""),108)</f>
        <v>108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151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IFERROR(__xludf.DUMMYFUNCTION("""COMPUTED_VALUE"""),0.889718)</f>
        <v>0.88971800000000001</v>
      </c>
    </row>
    <row r="49" spans="1:3" ht="12.5" x14ac:dyDescent="0.25">
      <c r="A49" s="32" t="s">
        <v>77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IFERROR(__xludf.DUMMYFUNCTION("""COMPUTED_VALUE"""),139)</f>
        <v>139</v>
      </c>
    </row>
    <row r="50" spans="1:3" ht="12.5" x14ac:dyDescent="0.25">
      <c r="A50" s="32" t="s">
        <v>152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IFERROR(__xludf.DUMMYFUNCTION("""COMPUTED_VALUE"""),329.976)</f>
        <v>329.976</v>
      </c>
    </row>
    <row r="51" spans="1:3" ht="12.5" x14ac:dyDescent="0.25">
      <c r="A51" s="32" t="s">
        <v>153</v>
      </c>
      <c r="B51" s="33" t="str">
        <f ca="1">IFERROR(__xludf.DUMMYFUNCTION("split(A51,"":"")"),"time of matching")</f>
        <v>time of matching</v>
      </c>
      <c r="C51" s="33">
        <f ca="1">IFERROR(__xludf.DUMMYFUNCTION("""COMPUTED_VALUE"""),0.962814)</f>
        <v>0.96281399999999995</v>
      </c>
    </row>
    <row r="52" spans="1:3" ht="12.5" x14ac:dyDescent="0.25">
      <c r="A52" s="32" t="s">
        <v>154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IFERROR(__xludf.DUMMYFUNCTION("""COMPUTED_VALUE"""),100)</f>
        <v>100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155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IFERROR(__xludf.DUMMYFUNCTION("""COMPUTED_VALUE"""),0.946042)</f>
        <v>0.94604200000000005</v>
      </c>
    </row>
    <row r="55" spans="1:3" ht="12.5" x14ac:dyDescent="0.25">
      <c r="A55" s="32" t="s">
        <v>83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IFERROR(__xludf.DUMMYFUNCTION("""COMPUTED_VALUE"""),144)</f>
        <v>144</v>
      </c>
    </row>
    <row r="56" spans="1:3" ht="12.5" x14ac:dyDescent="0.25">
      <c r="A56" s="32" t="s">
        <v>156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IFERROR(__xludf.DUMMYFUNCTION("""COMPUTED_VALUE"""),332.487)</f>
        <v>332.48700000000002</v>
      </c>
    </row>
    <row r="57" spans="1:3" ht="12.5" x14ac:dyDescent="0.25">
      <c r="A57" s="32" t="s">
        <v>157</v>
      </c>
      <c r="B57" s="33" t="str">
        <f ca="1">IFERROR(__xludf.DUMMYFUNCTION("split(A57,"":"")"),"time of matching")</f>
        <v>time of matching</v>
      </c>
      <c r="C57" s="33">
        <f ca="1">IFERROR(__xludf.DUMMYFUNCTION("""COMPUTED_VALUE"""),0.641766)</f>
        <v>0.64176599999999995</v>
      </c>
    </row>
    <row r="58" spans="1:3" ht="12.5" x14ac:dyDescent="0.25">
      <c r="A58" s="32" t="s">
        <v>154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IFERROR(__xludf.DUMMYFUNCTION("""COMPUTED_VALUE"""),100)</f>
        <v>100</v>
      </c>
    </row>
  </sheetData>
  <phoneticPr fontId="1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158</v>
      </c>
      <c r="B2" s="33" t="str">
        <f ca="1">IFERROR(__xludf.DUMMYFUNCTION("split(A2,"":"")"),"time of detection")</f>
        <v>time of detection</v>
      </c>
      <c r="C2" s="33">
        <f ca="1">IFERROR(__xludf.DUMMYFUNCTION("""COMPUTED_VALUE"""),376.738)</f>
        <v>376.738</v>
      </c>
    </row>
    <row r="3" spans="1:3" ht="15.75" customHeight="1" x14ac:dyDescent="0.25">
      <c r="A3" s="32" t="s">
        <v>159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IFERROR(__xludf.DUMMYFUNCTION("""COMPUTED_VALUE"""),254)</f>
        <v>254</v>
      </c>
    </row>
    <row r="4" spans="1:3" ht="15.75" customHeight="1" x14ac:dyDescent="0.25">
      <c r="A4" s="32" t="s">
        <v>160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IFERROR(__xludf.DUMMYFUNCTION("""COMPUTED_VALUE"""),2.84415)</f>
        <v>2.84415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161</v>
      </c>
      <c r="B6" s="33" t="str">
        <f ca="1">IFERROR(__xludf.DUMMYFUNCTION("split(A6,"":"")"),"time of detection")</f>
        <v>time of detection</v>
      </c>
      <c r="C6" s="33">
        <f ca="1">IFERROR(__xludf.DUMMYFUNCTION("""COMPUTED_VALUE"""),373.25)</f>
        <v>373.25</v>
      </c>
    </row>
    <row r="7" spans="1:3" ht="15.75" customHeight="1" x14ac:dyDescent="0.25">
      <c r="A7" s="32" t="s">
        <v>162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IFERROR(__xludf.DUMMYFUNCTION("""COMPUTED_VALUE"""),274)</f>
        <v>274</v>
      </c>
    </row>
    <row r="8" spans="1:3" ht="15.75" customHeight="1" x14ac:dyDescent="0.25">
      <c r="A8" s="32" t="s">
        <v>163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IFERROR(__xludf.DUMMYFUNCTION("""COMPUTED_VALUE"""),1.89927)</f>
        <v>1.89927</v>
      </c>
    </row>
    <row r="9" spans="1:3" ht="15.75" customHeight="1" x14ac:dyDescent="0.25">
      <c r="A9" s="32" t="s">
        <v>164</v>
      </c>
      <c r="B9" s="33" t="str">
        <f ca="1">IFERROR(__xludf.DUMMYFUNCTION("split(A9,"":"")"),"time of matching")</f>
        <v>time of matching</v>
      </c>
      <c r="C9" s="33">
        <f ca="1">IFERROR(__xludf.DUMMYFUNCTION("""COMPUTED_VALUE"""),1.76294)</f>
        <v>1.76294</v>
      </c>
    </row>
    <row r="10" spans="1:3" ht="15.75" customHeight="1" x14ac:dyDescent="0.25">
      <c r="A10" s="32" t="s">
        <v>165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IFERROR(__xludf.DUMMYFUNCTION("""COMPUTED_VALUE"""),172)</f>
        <v>172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166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IFERROR(__xludf.DUMMYFUNCTION("""COMPUTED_VALUE"""),381.34)</f>
        <v>381.34</v>
      </c>
    </row>
    <row r="13" spans="1:3" ht="15.75" customHeight="1" x14ac:dyDescent="0.25">
      <c r="A13" s="32" t="s">
        <v>167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IFERROR(__xludf.DUMMYFUNCTION("""COMPUTED_VALUE"""),276)</f>
        <v>276</v>
      </c>
    </row>
    <row r="14" spans="1:3" ht="15.75" customHeight="1" x14ac:dyDescent="0.25">
      <c r="A14" s="32" t="s">
        <v>168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IFERROR(__xludf.DUMMYFUNCTION("""COMPUTED_VALUE"""),1.73944)</f>
        <v>1.7394400000000001</v>
      </c>
    </row>
    <row r="15" spans="1:3" ht="15.75" customHeight="1" x14ac:dyDescent="0.25">
      <c r="A15" s="32" t="s">
        <v>169</v>
      </c>
      <c r="B15" s="33" t="str">
        <f ca="1">IFERROR(__xludf.DUMMYFUNCTION("split(A15,"":"")"),"time of matching")</f>
        <v>time of matching</v>
      </c>
      <c r="C15" s="33">
        <f ca="1">IFERROR(__xludf.DUMMYFUNCTION("""COMPUTED_VALUE"""),1.78608)</f>
        <v>1.7860799999999999</v>
      </c>
    </row>
    <row r="16" spans="1:3" ht="15.75" customHeight="1" x14ac:dyDescent="0.25">
      <c r="A16" s="32" t="s">
        <v>170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IFERROR(__xludf.DUMMYFUNCTION("""COMPUTED_VALUE"""),194)</f>
        <v>194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171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IFERROR(__xludf.DUMMYFUNCTION("""COMPUTED_VALUE"""),369.202)</f>
        <v>369.202</v>
      </c>
    </row>
    <row r="19" spans="1:3" ht="15.75" customHeight="1" x14ac:dyDescent="0.25">
      <c r="A19" s="32" t="s">
        <v>172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IFERROR(__xludf.DUMMYFUNCTION("""COMPUTED_VALUE"""),275)</f>
        <v>275</v>
      </c>
    </row>
    <row r="20" spans="1:3" ht="15.75" customHeight="1" x14ac:dyDescent="0.25">
      <c r="A20" s="32" t="s">
        <v>173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IFERROR(__xludf.DUMMYFUNCTION("""COMPUTED_VALUE"""),1.16148)</f>
        <v>1.1614800000000001</v>
      </c>
    </row>
    <row r="21" spans="1:3" ht="15.75" customHeight="1" x14ac:dyDescent="0.25">
      <c r="A21" s="32" t="s">
        <v>174</v>
      </c>
      <c r="B21" s="33" t="str">
        <f ca="1">IFERROR(__xludf.DUMMYFUNCTION("split(A21,"":"")"),"time of matching")</f>
        <v>time of matching</v>
      </c>
      <c r="C21" s="33">
        <f ca="1">IFERROR(__xludf.DUMMYFUNCTION("""COMPUTED_VALUE"""),2.31475)</f>
        <v>2.3147500000000001</v>
      </c>
    </row>
    <row r="22" spans="1:3" ht="15.75" customHeight="1" x14ac:dyDescent="0.25">
      <c r="A22" s="32" t="s">
        <v>175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IFERROR(__xludf.DUMMYFUNCTION("""COMPUTED_VALUE"""),181)</f>
        <v>181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176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IFERROR(__xludf.DUMMYFUNCTION("""COMPUTED_VALUE"""),372.312)</f>
        <v>372.31200000000001</v>
      </c>
    </row>
    <row r="25" spans="1:3" ht="15.75" customHeight="1" x14ac:dyDescent="0.25">
      <c r="A25" s="32" t="s">
        <v>177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IFERROR(__xludf.DUMMYFUNCTION("""COMPUTED_VALUE"""),293)</f>
        <v>293</v>
      </c>
    </row>
    <row r="26" spans="1:3" ht="15.75" customHeight="1" x14ac:dyDescent="0.25">
      <c r="A26" s="32" t="s">
        <v>178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IFERROR(__xludf.DUMMYFUNCTION("""COMPUTED_VALUE"""),1.64616)</f>
        <v>1.6461600000000001</v>
      </c>
    </row>
    <row r="27" spans="1:3" ht="15.75" customHeight="1" x14ac:dyDescent="0.25">
      <c r="A27" s="32" t="s">
        <v>179</v>
      </c>
      <c r="B27" s="33" t="str">
        <f ca="1">IFERROR(__xludf.DUMMYFUNCTION("split(A27,"":"")"),"time of matching")</f>
        <v>time of matching</v>
      </c>
      <c r="C27" s="33">
        <f ca="1">IFERROR(__xludf.DUMMYFUNCTION("""COMPUTED_VALUE"""),1.98294)</f>
        <v>1.9829399999999999</v>
      </c>
    </row>
    <row r="28" spans="1:3" ht="15.75" customHeight="1" x14ac:dyDescent="0.25">
      <c r="A28" s="32" t="s">
        <v>180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IFERROR(__xludf.DUMMYFUNCTION("""COMPUTED_VALUE"""),176)</f>
        <v>176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181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IFERROR(__xludf.DUMMYFUNCTION("""COMPUTED_VALUE"""),374.218)</f>
        <v>374.21800000000002</v>
      </c>
    </row>
    <row r="31" spans="1:3" ht="15.75" customHeight="1" x14ac:dyDescent="0.25">
      <c r="A31" s="32" t="s">
        <v>172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IFERROR(__xludf.DUMMYFUNCTION("""COMPUTED_VALUE"""),275)</f>
        <v>275</v>
      </c>
    </row>
    <row r="32" spans="1:3" ht="15.75" customHeight="1" x14ac:dyDescent="0.25">
      <c r="A32" s="32" t="s">
        <v>182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IFERROR(__xludf.DUMMYFUNCTION("""COMPUTED_VALUE"""),1.67689)</f>
        <v>1.67689</v>
      </c>
    </row>
    <row r="33" spans="1:3" ht="15.75" customHeight="1" x14ac:dyDescent="0.25">
      <c r="A33" s="32" t="s">
        <v>183</v>
      </c>
      <c r="B33" s="33" t="str">
        <f ca="1">IFERROR(__xludf.DUMMYFUNCTION("split(A33,"":"")"),"time of matching")</f>
        <v>time of matching</v>
      </c>
      <c r="C33" s="33">
        <f ca="1">IFERROR(__xludf.DUMMYFUNCTION("""COMPUTED_VALUE"""),1.92858)</f>
        <v>1.92858</v>
      </c>
    </row>
    <row r="34" spans="1:3" ht="15.75" customHeight="1" x14ac:dyDescent="0.25">
      <c r="A34" s="32" t="s">
        <v>175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IFERROR(__xludf.DUMMYFUNCTION("""COMPUTED_VALUE"""),181)</f>
        <v>181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184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IFERROR(__xludf.DUMMYFUNCTION("""COMPUTED_VALUE"""),369.614)</f>
        <v>369.61399999999998</v>
      </c>
    </row>
    <row r="37" spans="1:3" ht="15.75" customHeight="1" x14ac:dyDescent="0.25">
      <c r="A37" s="32" t="s">
        <v>185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IFERROR(__xludf.DUMMYFUNCTION("""COMPUTED_VALUE"""),289)</f>
        <v>289</v>
      </c>
    </row>
    <row r="38" spans="1:3" ht="15.75" customHeight="1" x14ac:dyDescent="0.25">
      <c r="A38" s="32" t="s">
        <v>186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IFERROR(__xludf.DUMMYFUNCTION("""COMPUTED_VALUE"""),1.67672)</f>
        <v>1.67672</v>
      </c>
    </row>
    <row r="39" spans="1:3" ht="15.75" customHeight="1" x14ac:dyDescent="0.25">
      <c r="A39" s="32" t="s">
        <v>187</v>
      </c>
      <c r="B39" s="33" t="str">
        <f ca="1">IFERROR(__xludf.DUMMYFUNCTION("split(A39,"":"")"),"time of matching")</f>
        <v>time of matching</v>
      </c>
      <c r="C39" s="33">
        <f ca="1">IFERROR(__xludf.DUMMYFUNCTION("""COMPUTED_VALUE"""),1.89275)</f>
        <v>1.8927499999999999</v>
      </c>
    </row>
    <row r="40" spans="1:3" ht="12.5" x14ac:dyDescent="0.25">
      <c r="A40" s="32" t="s">
        <v>188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IFERROR(__xludf.DUMMYFUNCTION("""COMPUTED_VALUE"""),192)</f>
        <v>192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189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IFERROR(__xludf.DUMMYFUNCTION("""COMPUTED_VALUE"""),377.236)</f>
        <v>377.23599999999999</v>
      </c>
    </row>
    <row r="43" spans="1:3" ht="12.5" x14ac:dyDescent="0.25">
      <c r="A43" s="32" t="s">
        <v>190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IFERROR(__xludf.DUMMYFUNCTION("""COMPUTED_VALUE"""),268)</f>
        <v>268</v>
      </c>
    </row>
    <row r="44" spans="1:3" ht="12.5" x14ac:dyDescent="0.25">
      <c r="A44" s="32" t="s">
        <v>191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IFERROR(__xludf.DUMMYFUNCTION("""COMPUTED_VALUE"""),1.147)</f>
        <v>1.147</v>
      </c>
    </row>
    <row r="45" spans="1:3" ht="12.5" x14ac:dyDescent="0.25">
      <c r="A45" s="32" t="s">
        <v>192</v>
      </c>
      <c r="B45" s="33" t="str">
        <f ca="1">IFERROR(__xludf.DUMMYFUNCTION("split(A45,"":"")"),"time of matching")</f>
        <v>time of matching</v>
      </c>
      <c r="C45" s="33">
        <f ca="1">IFERROR(__xludf.DUMMYFUNCTION("""COMPUTED_VALUE"""),2.18199)</f>
        <v>2.1819899999999999</v>
      </c>
    </row>
    <row r="46" spans="1:3" ht="12.5" x14ac:dyDescent="0.25">
      <c r="A46" s="32" t="s">
        <v>193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IFERROR(__xludf.DUMMYFUNCTION("""COMPUTED_VALUE"""),207)</f>
        <v>207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194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IFERROR(__xludf.DUMMYFUNCTION("""COMPUTED_VALUE"""),367.411)</f>
        <v>367.411</v>
      </c>
    </row>
    <row r="49" spans="1:3" ht="12.5" x14ac:dyDescent="0.25">
      <c r="A49" s="32" t="s">
        <v>195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IFERROR(__xludf.DUMMYFUNCTION("""COMPUTED_VALUE"""),260)</f>
        <v>260</v>
      </c>
    </row>
    <row r="50" spans="1:3" ht="12.5" x14ac:dyDescent="0.25">
      <c r="A50" s="32" t="s">
        <v>196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IFERROR(__xludf.DUMMYFUNCTION("""COMPUTED_VALUE"""),2.07802)</f>
        <v>2.07802</v>
      </c>
    </row>
    <row r="51" spans="1:3" ht="12.5" x14ac:dyDescent="0.25">
      <c r="A51" s="32" t="s">
        <v>197</v>
      </c>
      <c r="B51" s="33" t="str">
        <f ca="1">IFERROR(__xludf.DUMMYFUNCTION("split(A51,"":"")"),"time of matching")</f>
        <v>time of matching</v>
      </c>
      <c r="C51" s="33">
        <f ca="1">IFERROR(__xludf.DUMMYFUNCTION("""COMPUTED_VALUE"""),1.73295)</f>
        <v>1.73295</v>
      </c>
    </row>
    <row r="52" spans="1:3" ht="12.5" x14ac:dyDescent="0.25">
      <c r="A52" s="32" t="s">
        <v>198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IFERROR(__xludf.DUMMYFUNCTION("""COMPUTED_VALUE"""),185)</f>
        <v>185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199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IFERROR(__xludf.DUMMYFUNCTION("""COMPUTED_VALUE"""),369.096)</f>
        <v>369.096</v>
      </c>
    </row>
    <row r="55" spans="1:3" ht="12.5" x14ac:dyDescent="0.25">
      <c r="A55" s="32" t="s">
        <v>200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IFERROR(__xludf.DUMMYFUNCTION("""COMPUTED_VALUE"""),250)</f>
        <v>250</v>
      </c>
    </row>
    <row r="56" spans="1:3" ht="12.5" x14ac:dyDescent="0.25">
      <c r="A56" s="32" t="s">
        <v>201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IFERROR(__xludf.DUMMYFUNCTION("""COMPUTED_VALUE"""),1.06987)</f>
        <v>1.0698700000000001</v>
      </c>
    </row>
    <row r="57" spans="1:3" ht="12.5" x14ac:dyDescent="0.25">
      <c r="A57" s="32" t="s">
        <v>202</v>
      </c>
      <c r="B57" s="33" t="str">
        <f ca="1">IFERROR(__xludf.DUMMYFUNCTION("split(A57,"":"")"),"time of matching")</f>
        <v>time of matching</v>
      </c>
      <c r="C57" s="33">
        <f ca="1">IFERROR(__xludf.DUMMYFUNCTION("""COMPUTED_VALUE"""),1.92933)</f>
        <v>1.92933</v>
      </c>
    </row>
    <row r="58" spans="1:3" ht="12.5" x14ac:dyDescent="0.25">
      <c r="A58" s="32" t="s">
        <v>203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IFERROR(__xludf.DUMMYFUNCTION("""COMPUTED_VALUE"""),178)</f>
        <v>178</v>
      </c>
    </row>
  </sheetData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561</v>
      </c>
      <c r="B2" s="33" t="str">
        <f ca="1">IFERROR(__xludf.DUMMYFUNCTION("split(A2,"":"")"),"time of detection")</f>
        <v>time of detection</v>
      </c>
      <c r="C2" s="33">
        <f ca="1">IFERROR(__xludf.DUMMYFUNCTION("""COMPUTED_VALUE"""),383.432)</f>
        <v>383.43200000000002</v>
      </c>
    </row>
    <row r="3" spans="1:3" ht="15.75" customHeight="1" x14ac:dyDescent="0.25">
      <c r="A3" s="32" t="s">
        <v>159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IFERROR(__xludf.DUMMYFUNCTION("""COMPUTED_VALUE"""),254)</f>
        <v>254</v>
      </c>
    </row>
    <row r="4" spans="1:3" ht="15.75" customHeight="1" x14ac:dyDescent="0.25">
      <c r="A4" s="32" t="s">
        <v>562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IFERROR(__xludf.DUMMYFUNCTION("""COMPUTED_VALUE"""),15.0849)</f>
        <v>15.084899999999999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563</v>
      </c>
      <c r="B6" s="33" t="str">
        <f ca="1">IFERROR(__xludf.DUMMYFUNCTION("split(A6,"":"")"),"time of detection")</f>
        <v>time of detection</v>
      </c>
      <c r="C6" s="33">
        <f ca="1">IFERROR(__xludf.DUMMYFUNCTION("""COMPUTED_VALUE"""),366.574)</f>
        <v>366.57400000000001</v>
      </c>
    </row>
    <row r="7" spans="1:3" ht="15.75" customHeight="1" x14ac:dyDescent="0.25">
      <c r="A7" s="32" t="s">
        <v>162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IFERROR(__xludf.DUMMYFUNCTION("""COMPUTED_VALUE"""),274)</f>
        <v>274</v>
      </c>
    </row>
    <row r="8" spans="1:3" ht="15.75" customHeight="1" x14ac:dyDescent="0.25">
      <c r="A8" s="32" t="s">
        <v>564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IFERROR(__xludf.DUMMYFUNCTION("""COMPUTED_VALUE"""),5.18564)</f>
        <v>5.1856400000000002</v>
      </c>
    </row>
    <row r="9" spans="1:3" ht="15.75" customHeight="1" x14ac:dyDescent="0.25">
      <c r="A9" s="32" t="s">
        <v>565</v>
      </c>
      <c r="B9" s="33" t="str">
        <f ca="1">IFERROR(__xludf.DUMMYFUNCTION("split(A9,"":"")"),"time of matching")</f>
        <v>time of matching</v>
      </c>
      <c r="C9" s="33">
        <f ca="1">IFERROR(__xludf.DUMMYFUNCTION("""COMPUTED_VALUE"""),5.47242)</f>
        <v>5.4724199999999996</v>
      </c>
    </row>
    <row r="10" spans="1:3" ht="15.75" customHeight="1" x14ac:dyDescent="0.25">
      <c r="A10" s="32" t="s">
        <v>209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IFERROR(__xludf.DUMMYFUNCTION("""COMPUTED_VALUE"""),154)</f>
        <v>154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566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IFERROR(__xludf.DUMMYFUNCTION("""COMPUTED_VALUE"""),368.598)</f>
        <v>368.59800000000001</v>
      </c>
    </row>
    <row r="13" spans="1:3" ht="15.75" customHeight="1" x14ac:dyDescent="0.25">
      <c r="A13" s="32" t="s">
        <v>167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IFERROR(__xludf.DUMMYFUNCTION("""COMPUTED_VALUE"""),276)</f>
        <v>276</v>
      </c>
    </row>
    <row r="14" spans="1:3" ht="15.75" customHeight="1" x14ac:dyDescent="0.25">
      <c r="A14" s="32" t="s">
        <v>567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IFERROR(__xludf.DUMMYFUNCTION("""COMPUTED_VALUE"""),6.9516)</f>
        <v>6.9516</v>
      </c>
    </row>
    <row r="15" spans="1:3" ht="15.75" customHeight="1" x14ac:dyDescent="0.25">
      <c r="A15" s="32" t="s">
        <v>568</v>
      </c>
      <c r="B15" s="33" t="str">
        <f ca="1">IFERROR(__xludf.DUMMYFUNCTION("split(A15,"":"")"),"time of matching")</f>
        <v>time of matching</v>
      </c>
      <c r="C15" s="33">
        <f ca="1">IFERROR(__xludf.DUMMYFUNCTION("""COMPUTED_VALUE"""),1.96971)</f>
        <v>1.9697100000000001</v>
      </c>
    </row>
    <row r="16" spans="1:3" ht="15.75" customHeight="1" x14ac:dyDescent="0.25">
      <c r="A16" s="32" t="s">
        <v>569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IFERROR(__xludf.DUMMYFUNCTION("""COMPUTED_VALUE"""),166)</f>
        <v>166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570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IFERROR(__xludf.DUMMYFUNCTION("""COMPUTED_VALUE"""),365.429)</f>
        <v>365.42899999999997</v>
      </c>
    </row>
    <row r="19" spans="1:3" ht="15.75" customHeight="1" x14ac:dyDescent="0.25">
      <c r="A19" s="32" t="s">
        <v>172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IFERROR(__xludf.DUMMYFUNCTION("""COMPUTED_VALUE"""),275)</f>
        <v>275</v>
      </c>
    </row>
    <row r="20" spans="1:3" ht="15.75" customHeight="1" x14ac:dyDescent="0.25">
      <c r="A20" s="32" t="s">
        <v>571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IFERROR(__xludf.DUMMYFUNCTION("""COMPUTED_VALUE"""),6.96859)</f>
        <v>6.9685899999999998</v>
      </c>
    </row>
    <row r="21" spans="1:3" ht="15.75" customHeight="1" x14ac:dyDescent="0.25">
      <c r="A21" s="32" t="s">
        <v>572</v>
      </c>
      <c r="B21" s="33" t="str">
        <f ca="1">IFERROR(__xludf.DUMMYFUNCTION("split(A21,"":"")"),"time of matching")</f>
        <v>time of matching</v>
      </c>
      <c r="C21" s="33">
        <f ca="1">IFERROR(__xludf.DUMMYFUNCTION("""COMPUTED_VALUE"""),1.89399)</f>
        <v>1.8939900000000001</v>
      </c>
    </row>
    <row r="22" spans="1:3" ht="15.75" customHeight="1" x14ac:dyDescent="0.25">
      <c r="A22" s="32" t="s">
        <v>209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IFERROR(__xludf.DUMMYFUNCTION("""COMPUTED_VALUE"""),154)</f>
        <v>154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573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IFERROR(__xludf.DUMMYFUNCTION("""COMPUTED_VALUE"""),366.331)</f>
        <v>366.33100000000002</v>
      </c>
    </row>
    <row r="25" spans="1:3" ht="15.75" customHeight="1" x14ac:dyDescent="0.25">
      <c r="A25" s="32" t="s">
        <v>177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IFERROR(__xludf.DUMMYFUNCTION("""COMPUTED_VALUE"""),293)</f>
        <v>293</v>
      </c>
    </row>
    <row r="26" spans="1:3" ht="15.75" customHeight="1" x14ac:dyDescent="0.25">
      <c r="A26" s="32" t="s">
        <v>574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IFERROR(__xludf.DUMMYFUNCTION("""COMPUTED_VALUE"""),5.74771)</f>
        <v>5.7477099999999997</v>
      </c>
    </row>
    <row r="27" spans="1:3" ht="15.75" customHeight="1" x14ac:dyDescent="0.25">
      <c r="A27" s="32" t="s">
        <v>575</v>
      </c>
      <c r="B27" s="33" t="str">
        <f ca="1">IFERROR(__xludf.DUMMYFUNCTION("split(A27,"":"")"),"time of matching")</f>
        <v>time of matching</v>
      </c>
      <c r="C27" s="33">
        <f ca="1">IFERROR(__xludf.DUMMYFUNCTION("""COMPUTED_VALUE"""),1.94231)</f>
        <v>1.94231</v>
      </c>
    </row>
    <row r="28" spans="1:3" ht="15.75" customHeight="1" x14ac:dyDescent="0.25">
      <c r="A28" s="32" t="s">
        <v>576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IFERROR(__xludf.DUMMYFUNCTION("""COMPUTED_VALUE"""),160)</f>
        <v>160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577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IFERROR(__xludf.DUMMYFUNCTION("""COMPUTED_VALUE"""),365.556)</f>
        <v>365.55599999999998</v>
      </c>
    </row>
    <row r="31" spans="1:3" ht="15.75" customHeight="1" x14ac:dyDescent="0.25">
      <c r="A31" s="32" t="s">
        <v>172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IFERROR(__xludf.DUMMYFUNCTION("""COMPUTED_VALUE"""),275)</f>
        <v>275</v>
      </c>
    </row>
    <row r="32" spans="1:3" ht="15.75" customHeight="1" x14ac:dyDescent="0.25">
      <c r="A32" s="32" t="s">
        <v>578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IFERROR(__xludf.DUMMYFUNCTION("""COMPUTED_VALUE"""),6.35883)</f>
        <v>6.3588300000000002</v>
      </c>
    </row>
    <row r="33" spans="1:3" ht="15.75" customHeight="1" x14ac:dyDescent="0.25">
      <c r="A33" s="32" t="s">
        <v>579</v>
      </c>
      <c r="B33" s="33" t="str">
        <f ca="1">IFERROR(__xludf.DUMMYFUNCTION("split(A33,"":"")"),"time of matching")</f>
        <v>time of matching</v>
      </c>
      <c r="C33" s="33">
        <f ca="1">IFERROR(__xludf.DUMMYFUNCTION("""COMPUTED_VALUE"""),1.93494)</f>
        <v>1.9349400000000001</v>
      </c>
    </row>
    <row r="34" spans="1:3" ht="15.75" customHeight="1" x14ac:dyDescent="0.25">
      <c r="A34" s="32" t="s">
        <v>253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IFERROR(__xludf.DUMMYFUNCTION("""COMPUTED_VALUE"""),156)</f>
        <v>156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580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IFERROR(__xludf.DUMMYFUNCTION("""COMPUTED_VALUE"""),364.987)</f>
        <v>364.98700000000002</v>
      </c>
    </row>
    <row r="37" spans="1:3" ht="15.75" customHeight="1" x14ac:dyDescent="0.25">
      <c r="A37" s="32" t="s">
        <v>185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IFERROR(__xludf.DUMMYFUNCTION("""COMPUTED_VALUE"""),289)</f>
        <v>289</v>
      </c>
    </row>
    <row r="38" spans="1:3" ht="15.75" customHeight="1" x14ac:dyDescent="0.25">
      <c r="A38" s="32" t="s">
        <v>581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IFERROR(__xludf.DUMMYFUNCTION("""COMPUTED_VALUE"""),6.25604)</f>
        <v>6.2560399999999996</v>
      </c>
    </row>
    <row r="39" spans="1:3" ht="15.75" customHeight="1" x14ac:dyDescent="0.25">
      <c r="A39" s="32" t="s">
        <v>582</v>
      </c>
      <c r="B39" s="33" t="str">
        <f ca="1">IFERROR(__xludf.DUMMYFUNCTION("split(A39,"":"")"),"time of matching")</f>
        <v>time of matching</v>
      </c>
      <c r="C39" s="33">
        <f ca="1">IFERROR(__xludf.DUMMYFUNCTION("""COMPUTED_VALUE"""),1.93482)</f>
        <v>1.93482</v>
      </c>
    </row>
    <row r="40" spans="1:3" ht="12.5" x14ac:dyDescent="0.25">
      <c r="A40" s="32" t="s">
        <v>583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IFERROR(__xludf.DUMMYFUNCTION("""COMPUTED_VALUE"""),180)</f>
        <v>180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584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IFERROR(__xludf.DUMMYFUNCTION("""COMPUTED_VALUE"""),366.37)</f>
        <v>366.37</v>
      </c>
    </row>
    <row r="43" spans="1:3" ht="12.5" x14ac:dyDescent="0.25">
      <c r="A43" s="32" t="s">
        <v>190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IFERROR(__xludf.DUMMYFUNCTION("""COMPUTED_VALUE"""),268)</f>
        <v>268</v>
      </c>
    </row>
    <row r="44" spans="1:3" ht="12.5" x14ac:dyDescent="0.25">
      <c r="A44" s="32" t="s">
        <v>585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IFERROR(__xludf.DUMMYFUNCTION("""COMPUTED_VALUE"""),6.80009)</f>
        <v>6.80009</v>
      </c>
    </row>
    <row r="45" spans="1:3" ht="12.5" x14ac:dyDescent="0.25">
      <c r="A45" s="32" t="s">
        <v>586</v>
      </c>
      <c r="B45" s="33" t="str">
        <f ca="1">IFERROR(__xludf.DUMMYFUNCTION("split(A45,"":"")"),"time of matching")</f>
        <v>time of matching</v>
      </c>
      <c r="C45" s="33">
        <f ca="1">IFERROR(__xludf.DUMMYFUNCTION("""COMPUTED_VALUE"""),1.89594)</f>
        <v>1.89594</v>
      </c>
    </row>
    <row r="46" spans="1:3" ht="12.5" x14ac:dyDescent="0.25">
      <c r="A46" s="32" t="s">
        <v>587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IFERROR(__xludf.DUMMYFUNCTION("""COMPUTED_VALUE"""),164)</f>
        <v>164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588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IFERROR(__xludf.DUMMYFUNCTION("""COMPUTED_VALUE"""),365.229)</f>
        <v>365.22899999999998</v>
      </c>
    </row>
    <row r="49" spans="1:3" ht="12.5" x14ac:dyDescent="0.25">
      <c r="A49" s="32" t="s">
        <v>195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IFERROR(__xludf.DUMMYFUNCTION("""COMPUTED_VALUE"""),260)</f>
        <v>260</v>
      </c>
    </row>
    <row r="50" spans="1:3" ht="12.5" x14ac:dyDescent="0.25">
      <c r="A50" s="32" t="s">
        <v>589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IFERROR(__xludf.DUMMYFUNCTION("""COMPUTED_VALUE"""),6.6405)</f>
        <v>6.6405000000000003</v>
      </c>
    </row>
    <row r="51" spans="1:3" ht="12.5" x14ac:dyDescent="0.25">
      <c r="A51" s="32" t="s">
        <v>590</v>
      </c>
      <c r="B51" s="33" t="str">
        <f ca="1">IFERROR(__xludf.DUMMYFUNCTION("split(A51,"":"")"),"time of matching")</f>
        <v>time of matching</v>
      </c>
      <c r="C51" s="33">
        <f ca="1">IFERROR(__xludf.DUMMYFUNCTION("""COMPUTED_VALUE"""),1.7106)</f>
        <v>1.7105999999999999</v>
      </c>
    </row>
    <row r="52" spans="1:3" ht="12.5" x14ac:dyDescent="0.25">
      <c r="A52" s="32" t="s">
        <v>232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IFERROR(__xludf.DUMMYFUNCTION("""COMPUTED_VALUE"""),169)</f>
        <v>169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591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IFERROR(__xludf.DUMMYFUNCTION("""COMPUTED_VALUE"""),370.936)</f>
        <v>370.93599999999998</v>
      </c>
    </row>
    <row r="55" spans="1:3" ht="12.5" x14ac:dyDescent="0.25">
      <c r="A55" s="32" t="s">
        <v>200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IFERROR(__xludf.DUMMYFUNCTION("""COMPUTED_VALUE"""),250)</f>
        <v>250</v>
      </c>
    </row>
    <row r="56" spans="1:3" ht="12.5" x14ac:dyDescent="0.25">
      <c r="A56" s="32" t="s">
        <v>592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IFERROR(__xludf.DUMMYFUNCTION("""COMPUTED_VALUE"""),8.22254)</f>
        <v>8.2225400000000004</v>
      </c>
    </row>
    <row r="57" spans="1:3" ht="12.5" x14ac:dyDescent="0.25">
      <c r="A57" s="32" t="s">
        <v>593</v>
      </c>
      <c r="B57" s="33" t="str">
        <f ca="1">IFERROR(__xludf.DUMMYFUNCTION("split(A57,"":"")"),"time of matching")</f>
        <v>time of matching</v>
      </c>
      <c r="C57" s="33">
        <f ca="1">IFERROR(__xludf.DUMMYFUNCTION("""COMPUTED_VALUE"""),1.6239)</f>
        <v>1.6238999999999999</v>
      </c>
    </row>
    <row r="58" spans="1:3" ht="12.5" x14ac:dyDescent="0.25">
      <c r="A58" s="32" t="s">
        <v>594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IFERROR(__xludf.DUMMYFUNCTION("""COMPUTED_VALUE"""),170)</f>
        <v>170</v>
      </c>
    </row>
  </sheetData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204</v>
      </c>
      <c r="B2" s="33" t="str">
        <f ca="1">IFERROR(__xludf.DUMMYFUNCTION("split(A2,"":"")"),"time of detection")</f>
        <v>time of detection</v>
      </c>
      <c r="C2" s="33">
        <f ca="1">IFERROR(__xludf.DUMMYFUNCTION("""COMPUTED_VALUE"""),379.323)</f>
        <v>379.32299999999998</v>
      </c>
    </row>
    <row r="3" spans="1:3" ht="15.75" customHeight="1" x14ac:dyDescent="0.25">
      <c r="A3" s="32" t="s">
        <v>159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IFERROR(__xludf.DUMMYFUNCTION("""COMPUTED_VALUE"""),254)</f>
        <v>254</v>
      </c>
    </row>
    <row r="4" spans="1:3" ht="15.75" customHeight="1" x14ac:dyDescent="0.25">
      <c r="A4" s="32" t="s">
        <v>205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IFERROR(__xludf.DUMMYFUNCTION("""COMPUTED_VALUE"""),48.7769)</f>
        <v>48.776899999999998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206</v>
      </c>
      <c r="B6" s="33" t="str">
        <f ca="1">IFERROR(__xludf.DUMMYFUNCTION("split(A6,"":"")"),"time of detection")</f>
        <v>time of detection</v>
      </c>
      <c r="C6" s="33">
        <f ca="1">IFERROR(__xludf.DUMMYFUNCTION("""COMPUTED_VALUE"""),369.451)</f>
        <v>369.45100000000002</v>
      </c>
    </row>
    <row r="7" spans="1:3" ht="15.75" customHeight="1" x14ac:dyDescent="0.25">
      <c r="A7" s="32" t="s">
        <v>162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IFERROR(__xludf.DUMMYFUNCTION("""COMPUTED_VALUE"""),274)</f>
        <v>274</v>
      </c>
    </row>
    <row r="8" spans="1:3" ht="15.75" customHeight="1" x14ac:dyDescent="0.25">
      <c r="A8" s="32" t="s">
        <v>207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IFERROR(__xludf.DUMMYFUNCTION("""COMPUTED_VALUE"""),48.1923)</f>
        <v>48.192300000000003</v>
      </c>
    </row>
    <row r="9" spans="1:3" ht="15.75" customHeight="1" x14ac:dyDescent="0.25">
      <c r="A9" s="32" t="s">
        <v>208</v>
      </c>
      <c r="B9" s="33" t="str">
        <f ca="1">IFERROR(__xludf.DUMMYFUNCTION("split(A9,"":"")"),"time of matching")</f>
        <v>time of matching</v>
      </c>
      <c r="C9" s="33">
        <f ca="1">IFERROR(__xludf.DUMMYFUNCTION("""COMPUTED_VALUE"""),1.94882)</f>
        <v>1.94882</v>
      </c>
    </row>
    <row r="10" spans="1:3" ht="15.75" customHeight="1" x14ac:dyDescent="0.25">
      <c r="A10" s="32" t="s">
        <v>209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IFERROR(__xludf.DUMMYFUNCTION("""COMPUTED_VALUE"""),154)</f>
        <v>154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210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IFERROR(__xludf.DUMMYFUNCTION("""COMPUTED_VALUE"""),380.813)</f>
        <v>380.81299999999999</v>
      </c>
    </row>
    <row r="13" spans="1:3" ht="15.75" customHeight="1" x14ac:dyDescent="0.25">
      <c r="A13" s="32" t="s">
        <v>167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IFERROR(__xludf.DUMMYFUNCTION("""COMPUTED_VALUE"""),276)</f>
        <v>276</v>
      </c>
    </row>
    <row r="14" spans="1:3" ht="15.75" customHeight="1" x14ac:dyDescent="0.25">
      <c r="A14" s="32" t="s">
        <v>211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IFERROR(__xludf.DUMMYFUNCTION("""COMPUTED_VALUE"""),48.2775)</f>
        <v>48.277500000000003</v>
      </c>
    </row>
    <row r="15" spans="1:3" ht="15.75" customHeight="1" x14ac:dyDescent="0.25">
      <c r="A15" s="32" t="s">
        <v>212</v>
      </c>
      <c r="B15" s="33" t="str">
        <f ca="1">IFERROR(__xludf.DUMMYFUNCTION("split(A15,"":"")"),"time of matching")</f>
        <v>time of matching</v>
      </c>
      <c r="C15" s="33">
        <f ca="1">IFERROR(__xludf.DUMMYFUNCTION("""COMPUTED_VALUE"""),1.83899)</f>
        <v>1.8389899999999999</v>
      </c>
    </row>
    <row r="16" spans="1:3" ht="15.75" customHeight="1" x14ac:dyDescent="0.25">
      <c r="A16" s="32" t="s">
        <v>213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IFERROR(__xludf.DUMMYFUNCTION("""COMPUTED_VALUE"""),173)</f>
        <v>173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214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IFERROR(__xludf.DUMMYFUNCTION("""COMPUTED_VALUE"""),371.38)</f>
        <v>371.38</v>
      </c>
    </row>
    <row r="19" spans="1:3" ht="15.75" customHeight="1" x14ac:dyDescent="0.25">
      <c r="A19" s="32" t="s">
        <v>172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IFERROR(__xludf.DUMMYFUNCTION("""COMPUTED_VALUE"""),275)</f>
        <v>275</v>
      </c>
    </row>
    <row r="20" spans="1:3" ht="15.75" customHeight="1" x14ac:dyDescent="0.25">
      <c r="A20" s="32" t="s">
        <v>215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IFERROR(__xludf.DUMMYFUNCTION("""COMPUTED_VALUE"""),44.1793)</f>
        <v>44.179299999999998</v>
      </c>
    </row>
    <row r="21" spans="1:3" ht="15.75" customHeight="1" x14ac:dyDescent="0.25">
      <c r="A21" s="32" t="s">
        <v>216</v>
      </c>
      <c r="B21" s="33" t="str">
        <f ca="1">IFERROR(__xludf.DUMMYFUNCTION("split(A21,"":"")"),"time of matching")</f>
        <v>time of matching</v>
      </c>
      <c r="C21" s="33">
        <f ca="1">IFERROR(__xludf.DUMMYFUNCTION("""COMPUTED_VALUE"""),1.93922)</f>
        <v>1.9392199999999999</v>
      </c>
    </row>
    <row r="22" spans="1:3" ht="15.75" customHeight="1" x14ac:dyDescent="0.25">
      <c r="A22" s="32" t="s">
        <v>217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IFERROR(__xludf.DUMMYFUNCTION("""COMPUTED_VALUE"""),153)</f>
        <v>153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218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IFERROR(__xludf.DUMMYFUNCTION("""COMPUTED_VALUE"""),372.696)</f>
        <v>372.69600000000003</v>
      </c>
    </row>
    <row r="25" spans="1:3" ht="15.75" customHeight="1" x14ac:dyDescent="0.25">
      <c r="A25" s="32" t="s">
        <v>177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IFERROR(__xludf.DUMMYFUNCTION("""COMPUTED_VALUE"""),293)</f>
        <v>293</v>
      </c>
    </row>
    <row r="26" spans="1:3" ht="15.75" customHeight="1" x14ac:dyDescent="0.25">
      <c r="A26" s="32" t="s">
        <v>219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IFERROR(__xludf.DUMMYFUNCTION("""COMPUTED_VALUE"""),43.488)</f>
        <v>43.488</v>
      </c>
    </row>
    <row r="27" spans="1:3" ht="15.75" customHeight="1" x14ac:dyDescent="0.25">
      <c r="A27" s="32" t="s">
        <v>220</v>
      </c>
      <c r="B27" s="33" t="str">
        <f ca="1">IFERROR(__xludf.DUMMYFUNCTION("split(A27,"":"")"),"time of matching")</f>
        <v>time of matching</v>
      </c>
      <c r="C27" s="33">
        <f ca="1">IFERROR(__xludf.DUMMYFUNCTION("""COMPUTED_VALUE"""),1.7902)</f>
        <v>1.7902</v>
      </c>
    </row>
    <row r="28" spans="1:3" ht="15.75" customHeight="1" x14ac:dyDescent="0.25">
      <c r="A28" s="32" t="s">
        <v>221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IFERROR(__xludf.DUMMYFUNCTION("""COMPUTED_VALUE"""),168)</f>
        <v>168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222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IFERROR(__xludf.DUMMYFUNCTION("""COMPUTED_VALUE"""),375.737)</f>
        <v>375.73700000000002</v>
      </c>
    </row>
    <row r="31" spans="1:3" ht="15.75" customHeight="1" x14ac:dyDescent="0.25">
      <c r="A31" s="32" t="s">
        <v>172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IFERROR(__xludf.DUMMYFUNCTION("""COMPUTED_VALUE"""),275)</f>
        <v>275</v>
      </c>
    </row>
    <row r="32" spans="1:3" ht="15.75" customHeight="1" x14ac:dyDescent="0.25">
      <c r="A32" s="32" t="s">
        <v>223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IFERROR(__xludf.DUMMYFUNCTION("""COMPUTED_VALUE"""),43.61)</f>
        <v>43.61</v>
      </c>
    </row>
    <row r="33" spans="1:3" ht="15.75" customHeight="1" x14ac:dyDescent="0.25">
      <c r="A33" s="32" t="s">
        <v>224</v>
      </c>
      <c r="B33" s="33" t="str">
        <f ca="1">IFERROR(__xludf.DUMMYFUNCTION("split(A33,"":"")"),"time of matching")</f>
        <v>time of matching</v>
      </c>
      <c r="C33" s="33">
        <f ca="1">IFERROR(__xludf.DUMMYFUNCTION("""COMPUTED_VALUE"""),1.81401)</f>
        <v>1.8140099999999999</v>
      </c>
    </row>
    <row r="34" spans="1:3" ht="15.75" customHeight="1" x14ac:dyDescent="0.25">
      <c r="A34" s="32" t="s">
        <v>225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IFERROR(__xludf.DUMMYFUNCTION("""COMPUTED_VALUE"""),158)</f>
        <v>158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226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IFERROR(__xludf.DUMMYFUNCTION("""COMPUTED_VALUE"""),379.807)</f>
        <v>379.80700000000002</v>
      </c>
    </row>
    <row r="37" spans="1:3" ht="15.75" customHeight="1" x14ac:dyDescent="0.25">
      <c r="A37" s="32" t="s">
        <v>185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IFERROR(__xludf.DUMMYFUNCTION("""COMPUTED_VALUE"""),289)</f>
        <v>289</v>
      </c>
    </row>
    <row r="38" spans="1:3" ht="15.75" customHeight="1" x14ac:dyDescent="0.25">
      <c r="A38" s="32" t="s">
        <v>227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IFERROR(__xludf.DUMMYFUNCTION("""COMPUTED_VALUE"""),45.4151)</f>
        <v>45.415100000000002</v>
      </c>
    </row>
    <row r="39" spans="1:3" ht="15.75" customHeight="1" x14ac:dyDescent="0.25">
      <c r="A39" s="32" t="s">
        <v>228</v>
      </c>
      <c r="B39" s="33" t="str">
        <f ca="1">IFERROR(__xludf.DUMMYFUNCTION("split(A39,"":"")"),"time of matching")</f>
        <v>time of matching</v>
      </c>
      <c r="C39" s="33">
        <f ca="1">IFERROR(__xludf.DUMMYFUNCTION("""COMPUTED_VALUE"""),1.71336)</f>
        <v>1.71336</v>
      </c>
    </row>
    <row r="40" spans="1:3" ht="12.5" x14ac:dyDescent="0.25">
      <c r="A40" s="32" t="s">
        <v>175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IFERROR(__xludf.DUMMYFUNCTION("""COMPUTED_VALUE"""),181)</f>
        <v>181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229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IFERROR(__xludf.DUMMYFUNCTION("""COMPUTED_VALUE"""),364.605)</f>
        <v>364.60500000000002</v>
      </c>
    </row>
    <row r="43" spans="1:3" ht="12.5" x14ac:dyDescent="0.25">
      <c r="A43" s="32" t="s">
        <v>190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IFERROR(__xludf.DUMMYFUNCTION("""COMPUTED_VALUE"""),268)</f>
        <v>268</v>
      </c>
    </row>
    <row r="44" spans="1:3" ht="12.5" x14ac:dyDescent="0.25">
      <c r="A44" s="32" t="s">
        <v>230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IFERROR(__xludf.DUMMYFUNCTION("""COMPUTED_VALUE"""),43.873)</f>
        <v>43.872999999999998</v>
      </c>
    </row>
    <row r="45" spans="1:3" ht="12.5" x14ac:dyDescent="0.25">
      <c r="A45" s="32" t="s">
        <v>231</v>
      </c>
      <c r="B45" s="33" t="str">
        <f ca="1">IFERROR(__xludf.DUMMYFUNCTION("split(A45,"":"")"),"time of matching")</f>
        <v>time of matching</v>
      </c>
      <c r="C45" s="33">
        <f ca="1">IFERROR(__xludf.DUMMYFUNCTION("""COMPUTED_VALUE"""),1.77682)</f>
        <v>1.7768200000000001</v>
      </c>
    </row>
    <row r="46" spans="1:3" ht="12.5" x14ac:dyDescent="0.25">
      <c r="A46" s="32" t="s">
        <v>232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IFERROR(__xludf.DUMMYFUNCTION("""COMPUTED_VALUE"""),169)</f>
        <v>169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233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IFERROR(__xludf.DUMMYFUNCTION("""COMPUTED_VALUE"""),370.224)</f>
        <v>370.22399999999999</v>
      </c>
    </row>
    <row r="49" spans="1:3" ht="12.5" x14ac:dyDescent="0.25">
      <c r="A49" s="32" t="s">
        <v>195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IFERROR(__xludf.DUMMYFUNCTION("""COMPUTED_VALUE"""),260)</f>
        <v>260</v>
      </c>
    </row>
    <row r="50" spans="1:3" ht="12.5" x14ac:dyDescent="0.25">
      <c r="A50" s="32" t="s">
        <v>234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IFERROR(__xludf.DUMMYFUNCTION("""COMPUTED_VALUE"""),42.8172)</f>
        <v>42.8172</v>
      </c>
    </row>
    <row r="51" spans="1:3" ht="12.5" x14ac:dyDescent="0.25">
      <c r="A51" s="32" t="s">
        <v>235</v>
      </c>
      <c r="B51" s="33" t="str">
        <f ca="1">IFERROR(__xludf.DUMMYFUNCTION("split(A51,"":"")"),"time of matching")</f>
        <v>time of matching</v>
      </c>
      <c r="C51" s="33">
        <f ca="1">IFERROR(__xludf.DUMMYFUNCTION("""COMPUTED_VALUE"""),1.56573)</f>
        <v>1.5657300000000001</v>
      </c>
    </row>
    <row r="52" spans="1:3" ht="12.5" x14ac:dyDescent="0.25">
      <c r="A52" s="32" t="s">
        <v>236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IFERROR(__xludf.DUMMYFUNCTION("""COMPUTED_VALUE"""),175)</f>
        <v>175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237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IFERROR(__xludf.DUMMYFUNCTION("""COMPUTED_VALUE"""),375.155)</f>
        <v>375.15499999999997</v>
      </c>
    </row>
    <row r="55" spans="1:3" ht="12.5" x14ac:dyDescent="0.25">
      <c r="A55" s="32" t="s">
        <v>200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IFERROR(__xludf.DUMMYFUNCTION("""COMPUTED_VALUE"""),250)</f>
        <v>250</v>
      </c>
    </row>
    <row r="56" spans="1:3" ht="12.5" x14ac:dyDescent="0.25">
      <c r="A56" s="32" t="s">
        <v>238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IFERROR(__xludf.DUMMYFUNCTION("""COMPUTED_VALUE"""),44.1408)</f>
        <v>44.140799999999999</v>
      </c>
    </row>
    <row r="57" spans="1:3" ht="12.5" x14ac:dyDescent="0.25">
      <c r="A57" s="32" t="s">
        <v>239</v>
      </c>
      <c r="B57" s="33" t="str">
        <f ca="1">IFERROR(__xludf.DUMMYFUNCTION("split(A57,"":"")"),"time of matching")</f>
        <v>time of matching</v>
      </c>
      <c r="C57" s="33">
        <f ca="1">IFERROR(__xludf.DUMMYFUNCTION("""COMPUTED_VALUE"""),1.45863)</f>
        <v>1.4586300000000001</v>
      </c>
    </row>
    <row r="58" spans="1:3" ht="12.5" x14ac:dyDescent="0.25">
      <c r="A58" s="32" t="s">
        <v>240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IFERROR(__xludf.DUMMYFUNCTION("""COMPUTED_VALUE"""),165)</f>
        <v>165</v>
      </c>
    </row>
  </sheetData>
  <phoneticPr fontId="1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32" t="s">
        <v>34</v>
      </c>
      <c r="B1" s="33" t="str">
        <f ca="1">IFERROR(__xludf.DUMMYFUNCTION("split(A1,"":"")"),"-----imgIndex")</f>
        <v>-----imgIndex</v>
      </c>
      <c r="C1" s="33">
        <f ca="1">IFERROR(__xludf.DUMMYFUNCTION("""COMPUTED_VALUE"""),0)</f>
        <v>0</v>
      </c>
    </row>
    <row r="2" spans="1:3" ht="15.75" customHeight="1" x14ac:dyDescent="0.25">
      <c r="A2" s="32" t="s">
        <v>241</v>
      </c>
      <c r="B2" s="33" t="str">
        <f ca="1">IFERROR(__xludf.DUMMYFUNCTION("split(A2,"":"")"),"time of detection")</f>
        <v>time of detection</v>
      </c>
      <c r="C2" s="33">
        <f ca="1">IFERROR(__xludf.DUMMYFUNCTION("""COMPUTED_VALUE"""),372.38)</f>
        <v>372.38</v>
      </c>
    </row>
    <row r="3" spans="1:3" ht="15.75" customHeight="1" x14ac:dyDescent="0.25">
      <c r="A3" s="32" t="s">
        <v>159</v>
      </c>
      <c r="B3" s="33" t="str">
        <f ca="1">IFERROR(__xludf.DUMMYFUNCTION("split(A3,"":"")"),"keypoints on the preceding vehicle")</f>
        <v>keypoints on the preceding vehicle</v>
      </c>
      <c r="C3" s="33">
        <f ca="1">IFERROR(__xludf.DUMMYFUNCTION("""COMPUTED_VALUE"""),254)</f>
        <v>254</v>
      </c>
    </row>
    <row r="4" spans="1:3" ht="15.75" customHeight="1" x14ac:dyDescent="0.25">
      <c r="A4" s="32" t="s">
        <v>242</v>
      </c>
      <c r="B4" s="33" t="str">
        <f ca="1">IFERROR(__xludf.DUMMYFUNCTION("split(A4,"":"")"),"time of description")</f>
        <v>time of description</v>
      </c>
      <c r="C4" s="33">
        <f ca="1">IFERROR(__xludf.DUMMYFUNCTION("""COMPUTED_VALUE"""),335.035)</f>
        <v>335.03500000000003</v>
      </c>
    </row>
    <row r="5" spans="1:3" ht="15.75" customHeight="1" x14ac:dyDescent="0.25">
      <c r="A5" s="32" t="s">
        <v>38</v>
      </c>
      <c r="B5" s="33" t="str">
        <f ca="1">IFERROR(__xludf.DUMMYFUNCTION("split(A5,"":"")"),"-----imgIndex")</f>
        <v>-----imgIndex</v>
      </c>
      <c r="C5" s="33">
        <f ca="1">IFERROR(__xludf.DUMMYFUNCTION("""COMPUTED_VALUE"""),1)</f>
        <v>1</v>
      </c>
    </row>
    <row r="6" spans="1:3" ht="15.75" customHeight="1" x14ac:dyDescent="0.25">
      <c r="A6" s="32" t="s">
        <v>243</v>
      </c>
      <c r="B6" s="33" t="str">
        <f ca="1">IFERROR(__xludf.DUMMYFUNCTION("split(A6,"":"")"),"time of detection")</f>
        <v>time of detection</v>
      </c>
      <c r="C6" s="33">
        <f ca="1">IFERROR(__xludf.DUMMYFUNCTION("""COMPUTED_VALUE"""),374.932)</f>
        <v>374.93200000000002</v>
      </c>
    </row>
    <row r="7" spans="1:3" ht="15.75" customHeight="1" x14ac:dyDescent="0.25">
      <c r="A7" s="32" t="s">
        <v>162</v>
      </c>
      <c r="B7" s="33" t="str">
        <f ca="1">IFERROR(__xludf.DUMMYFUNCTION("split(A7,"":"")"),"keypoints on the preceding vehicle")</f>
        <v>keypoints on the preceding vehicle</v>
      </c>
      <c r="C7" s="33">
        <f ca="1">IFERROR(__xludf.DUMMYFUNCTION("""COMPUTED_VALUE"""),274)</f>
        <v>274</v>
      </c>
    </row>
    <row r="8" spans="1:3" ht="15.75" customHeight="1" x14ac:dyDescent="0.25">
      <c r="A8" s="32" t="s">
        <v>244</v>
      </c>
      <c r="B8" s="33" t="str">
        <f ca="1">IFERROR(__xludf.DUMMYFUNCTION("split(A8,"":"")"),"time of description")</f>
        <v>time of description</v>
      </c>
      <c r="C8" s="33">
        <f ca="1">IFERROR(__xludf.DUMMYFUNCTION("""COMPUTED_VALUE"""),328.545)</f>
        <v>328.54500000000002</v>
      </c>
    </row>
    <row r="9" spans="1:3" ht="15.75" customHeight="1" x14ac:dyDescent="0.25">
      <c r="A9" s="32" t="s">
        <v>245</v>
      </c>
      <c r="B9" s="33" t="str">
        <f ca="1">IFERROR(__xludf.DUMMYFUNCTION("split(A9,"":"")"),"time of matching")</f>
        <v>time of matching</v>
      </c>
      <c r="C9" s="33">
        <f ca="1">IFERROR(__xludf.DUMMYFUNCTION("""COMPUTED_VALUE"""),1.85215)</f>
        <v>1.85215</v>
      </c>
    </row>
    <row r="10" spans="1:3" ht="15.75" customHeight="1" x14ac:dyDescent="0.25">
      <c r="A10" s="32" t="s">
        <v>246</v>
      </c>
      <c r="B10" s="33" t="str">
        <f ca="1">IFERROR(__xludf.DUMMYFUNCTION("split(A10,"":"")"),"Matched keypoints")</f>
        <v>Matched keypoints</v>
      </c>
      <c r="C10" s="33">
        <f ca="1">IFERROR(__xludf.DUMMYFUNCTION("""COMPUTED_VALUE"""),167)</f>
        <v>167</v>
      </c>
    </row>
    <row r="11" spans="1:3" ht="15.75" customHeight="1" x14ac:dyDescent="0.25">
      <c r="A11" s="32" t="s">
        <v>44</v>
      </c>
      <c r="B11" s="33" t="str">
        <f ca="1">IFERROR(__xludf.DUMMYFUNCTION("split(A11,"":"")"),"-----imgIndex")</f>
        <v>-----imgIndex</v>
      </c>
      <c r="C11" s="33">
        <f ca="1">IFERROR(__xludf.DUMMYFUNCTION("""COMPUTED_VALUE"""),2)</f>
        <v>2</v>
      </c>
    </row>
    <row r="12" spans="1:3" ht="15.75" customHeight="1" x14ac:dyDescent="0.25">
      <c r="A12" s="32" t="s">
        <v>247</v>
      </c>
      <c r="B12" s="33" t="str">
        <f ca="1">IFERROR(__xludf.DUMMYFUNCTION("split(A12,"":"")"),"time of detection")</f>
        <v>time of detection</v>
      </c>
      <c r="C12" s="33">
        <f ca="1">IFERROR(__xludf.DUMMYFUNCTION("""COMPUTED_VALUE"""),380.708)</f>
        <v>380.70800000000003</v>
      </c>
    </row>
    <row r="13" spans="1:3" ht="15.75" customHeight="1" x14ac:dyDescent="0.25">
      <c r="A13" s="32" t="s">
        <v>167</v>
      </c>
      <c r="B13" s="33" t="str">
        <f ca="1">IFERROR(__xludf.DUMMYFUNCTION("split(A13,"":"")"),"keypoints on the preceding vehicle")</f>
        <v>keypoints on the preceding vehicle</v>
      </c>
      <c r="C13" s="33">
        <f ca="1">IFERROR(__xludf.DUMMYFUNCTION("""COMPUTED_VALUE"""),276)</f>
        <v>276</v>
      </c>
    </row>
    <row r="14" spans="1:3" ht="15.75" customHeight="1" x14ac:dyDescent="0.25">
      <c r="A14" s="32" t="s">
        <v>248</v>
      </c>
      <c r="B14" s="33" t="str">
        <f ca="1">IFERROR(__xludf.DUMMYFUNCTION("split(A14,"":"")"),"time of description")</f>
        <v>time of description</v>
      </c>
      <c r="C14" s="33">
        <f ca="1">IFERROR(__xludf.DUMMYFUNCTION("""COMPUTED_VALUE"""),337.712)</f>
        <v>337.71199999999999</v>
      </c>
    </row>
    <row r="15" spans="1:3" ht="15.75" customHeight="1" x14ac:dyDescent="0.25">
      <c r="A15" s="32" t="s">
        <v>249</v>
      </c>
      <c r="B15" s="33" t="str">
        <f ca="1">IFERROR(__xludf.DUMMYFUNCTION("split(A15,"":"")"),"time of matching")</f>
        <v>time of matching</v>
      </c>
      <c r="C15" s="33">
        <f ca="1">IFERROR(__xludf.DUMMYFUNCTION("""COMPUTED_VALUE"""),1.96098)</f>
        <v>1.9609799999999999</v>
      </c>
    </row>
    <row r="16" spans="1:3" ht="15.75" customHeight="1" x14ac:dyDescent="0.25">
      <c r="A16" s="32" t="s">
        <v>221</v>
      </c>
      <c r="B16" s="33" t="str">
        <f ca="1">IFERROR(__xludf.DUMMYFUNCTION("split(A16,"":"")"),"Matched keypoints")</f>
        <v>Matched keypoints</v>
      </c>
      <c r="C16" s="33">
        <f ca="1">IFERROR(__xludf.DUMMYFUNCTION("""COMPUTED_VALUE"""),168)</f>
        <v>168</v>
      </c>
    </row>
    <row r="17" spans="1:3" ht="15.75" customHeight="1" x14ac:dyDescent="0.25">
      <c r="A17" s="32" t="s">
        <v>49</v>
      </c>
      <c r="B17" s="33" t="str">
        <f ca="1">IFERROR(__xludf.DUMMYFUNCTION("split(A17,"":"")"),"-----imgIndex")</f>
        <v>-----imgIndex</v>
      </c>
      <c r="C17" s="33">
        <f ca="1">IFERROR(__xludf.DUMMYFUNCTION("""COMPUTED_VALUE"""),3)</f>
        <v>3</v>
      </c>
    </row>
    <row r="18" spans="1:3" ht="15.75" customHeight="1" x14ac:dyDescent="0.25">
      <c r="A18" s="32" t="s">
        <v>250</v>
      </c>
      <c r="B18" s="33" t="str">
        <f ca="1">IFERROR(__xludf.DUMMYFUNCTION("split(A18,"":"")"),"time of detection")</f>
        <v>time of detection</v>
      </c>
      <c r="C18" s="33">
        <f ca="1">IFERROR(__xludf.DUMMYFUNCTION("""COMPUTED_VALUE"""),372.006)</f>
        <v>372.00599999999997</v>
      </c>
    </row>
    <row r="19" spans="1:3" ht="15.75" customHeight="1" x14ac:dyDescent="0.25">
      <c r="A19" s="32" t="s">
        <v>172</v>
      </c>
      <c r="B19" s="33" t="str">
        <f ca="1">IFERROR(__xludf.DUMMYFUNCTION("split(A19,"":"")"),"keypoints on the preceding vehicle")</f>
        <v>keypoints on the preceding vehicle</v>
      </c>
      <c r="C19" s="33">
        <f ca="1">IFERROR(__xludf.DUMMYFUNCTION("""COMPUTED_VALUE"""),275)</f>
        <v>275</v>
      </c>
    </row>
    <row r="20" spans="1:3" ht="15.75" customHeight="1" x14ac:dyDescent="0.25">
      <c r="A20" s="32" t="s">
        <v>251</v>
      </c>
      <c r="B20" s="33" t="str">
        <f ca="1">IFERROR(__xludf.DUMMYFUNCTION("split(A20,"":"")"),"time of description")</f>
        <v>time of description</v>
      </c>
      <c r="C20" s="33">
        <f ca="1">IFERROR(__xludf.DUMMYFUNCTION("""COMPUTED_VALUE"""),336.207)</f>
        <v>336.20699999999999</v>
      </c>
    </row>
    <row r="21" spans="1:3" ht="15.75" customHeight="1" x14ac:dyDescent="0.25">
      <c r="A21" s="32" t="s">
        <v>252</v>
      </c>
      <c r="B21" s="33" t="str">
        <f ca="1">IFERROR(__xludf.DUMMYFUNCTION("split(A21,"":"")"),"time of matching")</f>
        <v>time of matching</v>
      </c>
      <c r="C21" s="33">
        <f ca="1">IFERROR(__xludf.DUMMYFUNCTION("""COMPUTED_VALUE"""),1.96367)</f>
        <v>1.96367</v>
      </c>
    </row>
    <row r="22" spans="1:3" ht="15.75" customHeight="1" x14ac:dyDescent="0.25">
      <c r="A22" s="32" t="s">
        <v>253</v>
      </c>
      <c r="B22" s="33" t="str">
        <f ca="1">IFERROR(__xludf.DUMMYFUNCTION("split(A22,"":"")"),"Matched keypoints")</f>
        <v>Matched keypoints</v>
      </c>
      <c r="C22" s="33">
        <f ca="1">IFERROR(__xludf.DUMMYFUNCTION("""COMPUTED_VALUE"""),156)</f>
        <v>156</v>
      </c>
    </row>
    <row r="23" spans="1:3" ht="15.75" customHeight="1" x14ac:dyDescent="0.25">
      <c r="A23" s="32" t="s">
        <v>54</v>
      </c>
      <c r="B23" s="33" t="str">
        <f ca="1">IFERROR(__xludf.DUMMYFUNCTION("split(A23,"":"")"),"-----imgIndex")</f>
        <v>-----imgIndex</v>
      </c>
      <c r="C23" s="33">
        <f ca="1">IFERROR(__xludf.DUMMYFUNCTION("""COMPUTED_VALUE"""),4)</f>
        <v>4</v>
      </c>
    </row>
    <row r="24" spans="1:3" ht="15.75" customHeight="1" x14ac:dyDescent="0.25">
      <c r="A24" s="32" t="s">
        <v>254</v>
      </c>
      <c r="B24" s="33" t="str">
        <f ca="1">IFERROR(__xludf.DUMMYFUNCTION("split(A24,"":"")"),"time of detection")</f>
        <v>time of detection</v>
      </c>
      <c r="C24" s="33">
        <f ca="1">IFERROR(__xludf.DUMMYFUNCTION("""COMPUTED_VALUE"""),374.081)</f>
        <v>374.08100000000002</v>
      </c>
    </row>
    <row r="25" spans="1:3" ht="15.75" customHeight="1" x14ac:dyDescent="0.25">
      <c r="A25" s="32" t="s">
        <v>177</v>
      </c>
      <c r="B25" s="33" t="str">
        <f ca="1">IFERROR(__xludf.DUMMYFUNCTION("split(A25,"":"")"),"keypoints on the preceding vehicle")</f>
        <v>keypoints on the preceding vehicle</v>
      </c>
      <c r="C25" s="33">
        <f ca="1">IFERROR(__xludf.DUMMYFUNCTION("""COMPUTED_VALUE"""),293)</f>
        <v>293</v>
      </c>
    </row>
    <row r="26" spans="1:3" ht="15.75" customHeight="1" x14ac:dyDescent="0.25">
      <c r="A26" s="32" t="s">
        <v>255</v>
      </c>
      <c r="B26" s="33" t="str">
        <f ca="1">IFERROR(__xludf.DUMMYFUNCTION("split(A26,"":"")"),"time of description")</f>
        <v>time of description</v>
      </c>
      <c r="C26" s="33">
        <f ca="1">IFERROR(__xludf.DUMMYFUNCTION("""COMPUTED_VALUE"""),339.19)</f>
        <v>339.19</v>
      </c>
    </row>
    <row r="27" spans="1:3" ht="15.75" customHeight="1" x14ac:dyDescent="0.25">
      <c r="A27" s="32" t="s">
        <v>256</v>
      </c>
      <c r="B27" s="33" t="str">
        <f ca="1">IFERROR(__xludf.DUMMYFUNCTION("split(A27,"":"")"),"time of matching")</f>
        <v>time of matching</v>
      </c>
      <c r="C27" s="33">
        <f ca="1">IFERROR(__xludf.DUMMYFUNCTION("""COMPUTED_VALUE"""),2.18242)</f>
        <v>2.18242</v>
      </c>
    </row>
    <row r="28" spans="1:3" ht="15.75" customHeight="1" x14ac:dyDescent="0.25">
      <c r="A28" s="32" t="s">
        <v>232</v>
      </c>
      <c r="B28" s="33" t="str">
        <f ca="1">IFERROR(__xludf.DUMMYFUNCTION("split(A28,"":"")"),"Matched keypoints")</f>
        <v>Matched keypoints</v>
      </c>
      <c r="C28" s="33">
        <f ca="1">IFERROR(__xludf.DUMMYFUNCTION("""COMPUTED_VALUE"""),169)</f>
        <v>169</v>
      </c>
    </row>
    <row r="29" spans="1:3" ht="15.75" customHeight="1" x14ac:dyDescent="0.25">
      <c r="A29" s="32" t="s">
        <v>59</v>
      </c>
      <c r="B29" s="33" t="str">
        <f ca="1">IFERROR(__xludf.DUMMYFUNCTION("split(A29,"":"")"),"-----imgIndex")</f>
        <v>-----imgIndex</v>
      </c>
      <c r="C29" s="33">
        <f ca="1">IFERROR(__xludf.DUMMYFUNCTION("""COMPUTED_VALUE"""),5)</f>
        <v>5</v>
      </c>
    </row>
    <row r="30" spans="1:3" ht="15.75" customHeight="1" x14ac:dyDescent="0.25">
      <c r="A30" s="32" t="s">
        <v>257</v>
      </c>
      <c r="B30" s="33" t="str">
        <f ca="1">IFERROR(__xludf.DUMMYFUNCTION("split(A30,"":"")"),"time of detection")</f>
        <v>time of detection</v>
      </c>
      <c r="C30" s="33">
        <f ca="1">IFERROR(__xludf.DUMMYFUNCTION("""COMPUTED_VALUE"""),376.754)</f>
        <v>376.75400000000002</v>
      </c>
    </row>
    <row r="31" spans="1:3" ht="15.75" customHeight="1" x14ac:dyDescent="0.25">
      <c r="A31" s="32" t="s">
        <v>172</v>
      </c>
      <c r="B31" s="33" t="str">
        <f ca="1">IFERROR(__xludf.DUMMYFUNCTION("split(A31,"":"")"),"keypoints on the preceding vehicle")</f>
        <v>keypoints on the preceding vehicle</v>
      </c>
      <c r="C31" s="33">
        <f ca="1">IFERROR(__xludf.DUMMYFUNCTION("""COMPUTED_VALUE"""),275)</f>
        <v>275</v>
      </c>
    </row>
    <row r="32" spans="1:3" ht="15.75" customHeight="1" x14ac:dyDescent="0.25">
      <c r="A32" s="32" t="s">
        <v>258</v>
      </c>
      <c r="B32" s="33" t="str">
        <f ca="1">IFERROR(__xludf.DUMMYFUNCTION("split(A32,"":"")"),"time of description")</f>
        <v>time of description</v>
      </c>
      <c r="C32" s="33">
        <f ca="1">IFERROR(__xludf.DUMMYFUNCTION("""COMPUTED_VALUE"""),333.247)</f>
        <v>333.24700000000001</v>
      </c>
    </row>
    <row r="33" spans="1:3" ht="15.75" customHeight="1" x14ac:dyDescent="0.25">
      <c r="A33" s="32" t="s">
        <v>259</v>
      </c>
      <c r="B33" s="33" t="str">
        <f ca="1">IFERROR(__xludf.DUMMYFUNCTION("split(A33,"":"")"),"time of matching")</f>
        <v>time of matching</v>
      </c>
      <c r="C33" s="33">
        <f ca="1">IFERROR(__xludf.DUMMYFUNCTION("""COMPUTED_VALUE"""),2.00342)</f>
        <v>2.0034200000000002</v>
      </c>
    </row>
    <row r="34" spans="1:3" ht="15.75" customHeight="1" x14ac:dyDescent="0.25">
      <c r="A34" s="32" t="s">
        <v>165</v>
      </c>
      <c r="B34" s="33" t="str">
        <f ca="1">IFERROR(__xludf.DUMMYFUNCTION("split(A34,"":"")"),"Matched keypoints")</f>
        <v>Matched keypoints</v>
      </c>
      <c r="C34" s="33">
        <f ca="1">IFERROR(__xludf.DUMMYFUNCTION("""COMPUTED_VALUE"""),172)</f>
        <v>172</v>
      </c>
    </row>
    <row r="35" spans="1:3" ht="15.75" customHeight="1" x14ac:dyDescent="0.25">
      <c r="A35" s="32" t="s">
        <v>65</v>
      </c>
      <c r="B35" s="33" t="str">
        <f ca="1">IFERROR(__xludf.DUMMYFUNCTION("split(A35,"":"")"),"-----imgIndex")</f>
        <v>-----imgIndex</v>
      </c>
      <c r="C35" s="33">
        <f ca="1">IFERROR(__xludf.DUMMYFUNCTION("""COMPUTED_VALUE"""),6)</f>
        <v>6</v>
      </c>
    </row>
    <row r="36" spans="1:3" ht="15.75" customHeight="1" x14ac:dyDescent="0.25">
      <c r="A36" s="32" t="s">
        <v>260</v>
      </c>
      <c r="B36" s="33" t="str">
        <f ca="1">IFERROR(__xludf.DUMMYFUNCTION("split(A36,"":"")"),"time of detection")</f>
        <v>time of detection</v>
      </c>
      <c r="C36" s="33">
        <f ca="1">IFERROR(__xludf.DUMMYFUNCTION("""COMPUTED_VALUE"""),377.752)</f>
        <v>377.75200000000001</v>
      </c>
    </row>
    <row r="37" spans="1:3" ht="15.75" customHeight="1" x14ac:dyDescent="0.25">
      <c r="A37" s="32" t="s">
        <v>185</v>
      </c>
      <c r="B37" s="33" t="str">
        <f ca="1">IFERROR(__xludf.DUMMYFUNCTION("split(A37,"":"")"),"keypoints on the preceding vehicle")</f>
        <v>keypoints on the preceding vehicle</v>
      </c>
      <c r="C37" s="33">
        <f ca="1">IFERROR(__xludf.DUMMYFUNCTION("""COMPUTED_VALUE"""),289)</f>
        <v>289</v>
      </c>
    </row>
    <row r="38" spans="1:3" ht="15.75" customHeight="1" x14ac:dyDescent="0.25">
      <c r="A38" s="32" t="s">
        <v>261</v>
      </c>
      <c r="B38" s="33" t="str">
        <f ca="1">IFERROR(__xludf.DUMMYFUNCTION("split(A38,"":"")"),"time of description")</f>
        <v>time of description</v>
      </c>
      <c r="C38" s="33">
        <f ca="1">IFERROR(__xludf.DUMMYFUNCTION("""COMPUTED_VALUE"""),342.381)</f>
        <v>342.38099999999997</v>
      </c>
    </row>
    <row r="39" spans="1:3" ht="15.75" customHeight="1" x14ac:dyDescent="0.25">
      <c r="A39" s="32" t="s">
        <v>262</v>
      </c>
      <c r="B39" s="33" t="str">
        <f ca="1">IFERROR(__xludf.DUMMYFUNCTION("split(A39,"":"")"),"time of matching")</f>
        <v>time of matching</v>
      </c>
      <c r="C39" s="33">
        <f ca="1">IFERROR(__xludf.DUMMYFUNCTION("""COMPUTED_VALUE"""),2.00602)</f>
        <v>2.0060199999999999</v>
      </c>
    </row>
    <row r="40" spans="1:3" ht="12.5" x14ac:dyDescent="0.25">
      <c r="A40" s="32" t="s">
        <v>263</v>
      </c>
      <c r="B40" s="33" t="str">
        <f ca="1">IFERROR(__xludf.DUMMYFUNCTION("split(A40,"":"")"),"Matched keypoints")</f>
        <v>Matched keypoints</v>
      </c>
      <c r="C40" s="33">
        <f ca="1">IFERROR(__xludf.DUMMYFUNCTION("""COMPUTED_VALUE"""),184)</f>
        <v>184</v>
      </c>
    </row>
    <row r="41" spans="1:3" ht="12.5" x14ac:dyDescent="0.25">
      <c r="A41" s="32" t="s">
        <v>70</v>
      </c>
      <c r="B41" s="33" t="str">
        <f ca="1">IFERROR(__xludf.DUMMYFUNCTION("split(A41,"":"")"),"-----imgIndex")</f>
        <v>-----imgIndex</v>
      </c>
      <c r="C41" s="33">
        <f ca="1">IFERROR(__xludf.DUMMYFUNCTION("""COMPUTED_VALUE"""),7)</f>
        <v>7</v>
      </c>
    </row>
    <row r="42" spans="1:3" ht="12.5" x14ac:dyDescent="0.25">
      <c r="A42" s="32" t="s">
        <v>264</v>
      </c>
      <c r="B42" s="33" t="str">
        <f ca="1">IFERROR(__xludf.DUMMYFUNCTION("split(A42,"":"")"),"time of detection")</f>
        <v>time of detection</v>
      </c>
      <c r="C42" s="33">
        <f ca="1">IFERROR(__xludf.DUMMYFUNCTION("""COMPUTED_VALUE"""),372.657)</f>
        <v>372.65699999999998</v>
      </c>
    </row>
    <row r="43" spans="1:3" ht="12.5" x14ac:dyDescent="0.25">
      <c r="A43" s="32" t="s">
        <v>190</v>
      </c>
      <c r="B43" s="33" t="str">
        <f ca="1">IFERROR(__xludf.DUMMYFUNCTION("split(A43,"":"")"),"keypoints on the preceding vehicle")</f>
        <v>keypoints on the preceding vehicle</v>
      </c>
      <c r="C43" s="33">
        <f ca="1">IFERROR(__xludf.DUMMYFUNCTION("""COMPUTED_VALUE"""),268)</f>
        <v>268</v>
      </c>
    </row>
    <row r="44" spans="1:3" ht="12.5" x14ac:dyDescent="0.25">
      <c r="A44" s="32" t="s">
        <v>265</v>
      </c>
      <c r="B44" s="33" t="str">
        <f ca="1">IFERROR(__xludf.DUMMYFUNCTION("split(A44,"":"")"),"time of description")</f>
        <v>time of description</v>
      </c>
      <c r="C44" s="33">
        <f ca="1">IFERROR(__xludf.DUMMYFUNCTION("""COMPUTED_VALUE"""),332.664)</f>
        <v>332.66399999999999</v>
      </c>
    </row>
    <row r="45" spans="1:3" ht="12.5" x14ac:dyDescent="0.25">
      <c r="A45" s="32" t="s">
        <v>266</v>
      </c>
      <c r="B45" s="33" t="str">
        <f ca="1">IFERROR(__xludf.DUMMYFUNCTION("split(A45,"":"")"),"time of matching")</f>
        <v>time of matching</v>
      </c>
      <c r="C45" s="33">
        <f ca="1">IFERROR(__xludf.DUMMYFUNCTION("""COMPUTED_VALUE"""),1.97953)</f>
        <v>1.97953</v>
      </c>
    </row>
    <row r="46" spans="1:3" ht="12.5" x14ac:dyDescent="0.25">
      <c r="A46" s="32" t="s">
        <v>213</v>
      </c>
      <c r="B46" s="33" t="str">
        <f ca="1">IFERROR(__xludf.DUMMYFUNCTION("split(A46,"":"")"),"Matched keypoints")</f>
        <v>Matched keypoints</v>
      </c>
      <c r="C46" s="33">
        <f ca="1">IFERROR(__xludf.DUMMYFUNCTION("""COMPUTED_VALUE"""),173)</f>
        <v>173</v>
      </c>
    </row>
    <row r="47" spans="1:3" ht="12.5" x14ac:dyDescent="0.25">
      <c r="A47" s="32" t="s">
        <v>75</v>
      </c>
      <c r="B47" s="33" t="str">
        <f ca="1">IFERROR(__xludf.DUMMYFUNCTION("split(A47,"":"")"),"-----imgIndex")</f>
        <v>-----imgIndex</v>
      </c>
      <c r="C47" s="33">
        <f ca="1">IFERROR(__xludf.DUMMYFUNCTION("""COMPUTED_VALUE"""),8)</f>
        <v>8</v>
      </c>
    </row>
    <row r="48" spans="1:3" ht="12.5" x14ac:dyDescent="0.25">
      <c r="A48" s="32" t="s">
        <v>267</v>
      </c>
      <c r="B48" s="33" t="str">
        <f ca="1">IFERROR(__xludf.DUMMYFUNCTION("split(A48,"":"")"),"time of detection")</f>
        <v>time of detection</v>
      </c>
      <c r="C48" s="33">
        <f ca="1">IFERROR(__xludf.DUMMYFUNCTION("""COMPUTED_VALUE"""),371.285)</f>
        <v>371.28500000000003</v>
      </c>
    </row>
    <row r="49" spans="1:3" ht="12.5" x14ac:dyDescent="0.25">
      <c r="A49" s="32" t="s">
        <v>195</v>
      </c>
      <c r="B49" s="33" t="str">
        <f ca="1">IFERROR(__xludf.DUMMYFUNCTION("split(A49,"":"")"),"keypoints on the preceding vehicle")</f>
        <v>keypoints on the preceding vehicle</v>
      </c>
      <c r="C49" s="33">
        <f ca="1">IFERROR(__xludf.DUMMYFUNCTION("""COMPUTED_VALUE"""),260)</f>
        <v>260</v>
      </c>
    </row>
    <row r="50" spans="1:3" ht="12.5" x14ac:dyDescent="0.25">
      <c r="A50" s="32" t="s">
        <v>268</v>
      </c>
      <c r="B50" s="33" t="str">
        <f ca="1">IFERROR(__xludf.DUMMYFUNCTION("split(A50,"":"")"),"time of description")</f>
        <v>time of description</v>
      </c>
      <c r="C50" s="33">
        <f ca="1">IFERROR(__xludf.DUMMYFUNCTION("""COMPUTED_VALUE"""),328.432)</f>
        <v>328.43200000000002</v>
      </c>
    </row>
    <row r="51" spans="1:3" ht="12.5" x14ac:dyDescent="0.25">
      <c r="A51" s="32" t="s">
        <v>269</v>
      </c>
      <c r="B51" s="33" t="str">
        <f ca="1">IFERROR(__xludf.DUMMYFUNCTION("split(A51,"":"")"),"time of matching")</f>
        <v>time of matching</v>
      </c>
      <c r="C51" s="33">
        <f ca="1">IFERROR(__xludf.DUMMYFUNCTION("""COMPUTED_VALUE"""),1.7808)</f>
        <v>1.7807999999999999</v>
      </c>
    </row>
    <row r="52" spans="1:3" ht="12.5" x14ac:dyDescent="0.25">
      <c r="A52" s="32" t="s">
        <v>246</v>
      </c>
      <c r="B52" s="33" t="str">
        <f ca="1">IFERROR(__xludf.DUMMYFUNCTION("split(A52,"":"")"),"Matched keypoints")</f>
        <v>Matched keypoints</v>
      </c>
      <c r="C52" s="33">
        <f ca="1">IFERROR(__xludf.DUMMYFUNCTION("""COMPUTED_VALUE"""),167)</f>
        <v>167</v>
      </c>
    </row>
    <row r="53" spans="1:3" ht="12.5" x14ac:dyDescent="0.25">
      <c r="A53" s="32" t="s">
        <v>81</v>
      </c>
      <c r="B53" s="33" t="str">
        <f ca="1">IFERROR(__xludf.DUMMYFUNCTION("split(A53,"":"")"),"-----imgIndex")</f>
        <v>-----imgIndex</v>
      </c>
      <c r="C53" s="33">
        <f ca="1">IFERROR(__xludf.DUMMYFUNCTION("""COMPUTED_VALUE"""),9)</f>
        <v>9</v>
      </c>
    </row>
    <row r="54" spans="1:3" ht="12.5" x14ac:dyDescent="0.25">
      <c r="A54" s="32" t="s">
        <v>270</v>
      </c>
      <c r="B54" s="33" t="str">
        <f ca="1">IFERROR(__xludf.DUMMYFUNCTION("split(A54,"":"")"),"time of detection")</f>
        <v>time of detection</v>
      </c>
      <c r="C54" s="33">
        <f ca="1">IFERROR(__xludf.DUMMYFUNCTION("""COMPUTED_VALUE"""),369.659)</f>
        <v>369.65899999999999</v>
      </c>
    </row>
    <row r="55" spans="1:3" ht="12.5" x14ac:dyDescent="0.25">
      <c r="A55" s="32" t="s">
        <v>200</v>
      </c>
      <c r="B55" s="33" t="str">
        <f ca="1">IFERROR(__xludf.DUMMYFUNCTION("split(A55,"":"")"),"keypoints on the preceding vehicle")</f>
        <v>keypoints on the preceding vehicle</v>
      </c>
      <c r="C55" s="33">
        <f ca="1">IFERROR(__xludf.DUMMYFUNCTION("""COMPUTED_VALUE"""),250)</f>
        <v>250</v>
      </c>
    </row>
    <row r="56" spans="1:3" ht="12.5" x14ac:dyDescent="0.25">
      <c r="A56" s="32" t="s">
        <v>271</v>
      </c>
      <c r="B56" s="33" t="str">
        <f ca="1">IFERROR(__xludf.DUMMYFUNCTION("split(A56,"":"")"),"time of description")</f>
        <v>time of description</v>
      </c>
      <c r="C56" s="33">
        <f ca="1">IFERROR(__xludf.DUMMYFUNCTION("""COMPUTED_VALUE"""),338.078)</f>
        <v>338.07799999999997</v>
      </c>
    </row>
    <row r="57" spans="1:3" ht="12.5" x14ac:dyDescent="0.25">
      <c r="A57" s="32" t="s">
        <v>272</v>
      </c>
      <c r="B57" s="33" t="str">
        <f ca="1">IFERROR(__xludf.DUMMYFUNCTION("split(A57,"":"")"),"time of matching")</f>
        <v>time of matching</v>
      </c>
      <c r="C57" s="33">
        <f ca="1">IFERROR(__xludf.DUMMYFUNCTION("""COMPUTED_VALUE"""),1.7703)</f>
        <v>1.7703</v>
      </c>
    </row>
    <row r="58" spans="1:3" ht="12.5" x14ac:dyDescent="0.25">
      <c r="A58" s="32" t="s">
        <v>273</v>
      </c>
      <c r="B58" s="33" t="str">
        <f ca="1">IFERROR(__xludf.DUMMYFUNCTION("split(A58,"":"")"),"Matched keypoints")</f>
        <v>Matched keypoints</v>
      </c>
      <c r="C58" s="33">
        <f ca="1">IFERROR(__xludf.DUMMYFUNCTION("""COMPUTED_VALUE"""),183)</f>
        <v>183</v>
      </c>
    </row>
  </sheetData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Result</vt:lpstr>
      <vt:lpstr>FAST_BRIEF</vt:lpstr>
      <vt:lpstr>FAST_ORB</vt:lpstr>
      <vt:lpstr>FAST_FREAK</vt:lpstr>
      <vt:lpstr>FAST_BRISK</vt:lpstr>
      <vt:lpstr>BRISK_BRIEF</vt:lpstr>
      <vt:lpstr>BRISK_ORB</vt:lpstr>
      <vt:lpstr>BRISK_FREAK</vt:lpstr>
      <vt:lpstr>BRISK_BRISK</vt:lpstr>
      <vt:lpstr>ORB_BRIEF</vt:lpstr>
      <vt:lpstr>ORB_ORB</vt:lpstr>
      <vt:lpstr>ORB_FREAK</vt:lpstr>
      <vt:lpstr>ORB_BRISK</vt:lpstr>
      <vt:lpstr>AKAZE_BRIEF</vt:lpstr>
      <vt:lpstr>AKAZE_ORB</vt:lpstr>
      <vt:lpstr>AKAZE_FREAK</vt:lpstr>
      <vt:lpstr>AKAZE_AKAZE</vt:lpstr>
      <vt:lpstr>AKAZE_BRISK</vt:lpstr>
      <vt:lpstr>SIFT_SIFT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Kenta Kumazaki (Woven Planet)/熊崎　健太</cp:lastModifiedBy>
  <dcterms:modified xsi:type="dcterms:W3CDTF">2021-10-14T02:25:54Z</dcterms:modified>
</cp:coreProperties>
</file>