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322\udacity_Sensor-Fusion\3_Camera\Project3_Track-an-Object-in-3D-Space\SFND_3D_Object_Tracking\result\"/>
    </mc:Choice>
  </mc:AlternateContent>
  <bookViews>
    <workbookView xWindow="0" yWindow="0" windowWidth="28800" windowHeight="12370"/>
  </bookViews>
  <sheets>
    <sheet name="Result" sheetId="1" r:id="rId1"/>
    <sheet name="FAST_ORB" sheetId="2" r:id="rId2"/>
    <sheet name="FAST_FREAK" sheetId="3" r:id="rId3"/>
    <sheet name="FAST_BRIEF" sheetId="4" r:id="rId4"/>
    <sheet name="ORB_ORB" sheetId="5" r:id="rId5"/>
    <sheet name="ORB_FREAK" sheetId="6" r:id="rId6"/>
    <sheet name="ORB_BRIEF" sheetId="7" r:id="rId7"/>
  </sheets>
  <calcPr calcId="162913"/>
</workbook>
</file>

<file path=xl/calcChain.xml><?xml version="1.0" encoding="utf-8"?>
<calcChain xmlns="http://schemas.openxmlformats.org/spreadsheetml/2006/main">
  <c r="Y84" i="1" l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2" i="1"/>
  <c r="X72" i="1"/>
  <c r="Y71" i="1"/>
  <c r="X71" i="1"/>
  <c r="Y70" i="1"/>
  <c r="X70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B47" i="7"/>
  <c r="B15" i="7"/>
  <c r="B40" i="6"/>
  <c r="B8" i="6"/>
  <c r="C46" i="7"/>
  <c r="C14" i="7"/>
  <c r="C39" i="6"/>
  <c r="C7" i="6"/>
  <c r="B43" i="7"/>
  <c r="B11" i="7"/>
  <c r="B36" i="6"/>
  <c r="B4" i="6"/>
  <c r="C42" i="7"/>
  <c r="C10" i="7"/>
  <c r="C35" i="6"/>
  <c r="C3" i="6"/>
  <c r="C25" i="7"/>
  <c r="C50" i="6"/>
  <c r="C18" i="6"/>
  <c r="B39" i="7"/>
  <c r="B7" i="7"/>
  <c r="B32" i="6"/>
  <c r="B57" i="5"/>
  <c r="C38" i="7"/>
  <c r="C6" i="7"/>
  <c r="C31" i="6"/>
  <c r="C53" i="7"/>
  <c r="C21" i="7"/>
  <c r="C46" i="6"/>
  <c r="C14" i="6"/>
  <c r="B35" i="7"/>
  <c r="B3" i="7"/>
  <c r="B28" i="6"/>
  <c r="B53" i="5"/>
  <c r="C34" i="7"/>
  <c r="C2" i="7"/>
  <c r="C27" i="6"/>
  <c r="C49" i="7"/>
  <c r="C17" i="7"/>
  <c r="C42" i="6"/>
  <c r="C10" i="6"/>
  <c r="B31" i="7"/>
  <c r="B56" i="6"/>
  <c r="B24" i="6"/>
  <c r="B49" i="5"/>
  <c r="C30" i="7"/>
  <c r="C55" i="6"/>
  <c r="C23" i="6"/>
  <c r="C45" i="7"/>
  <c r="C13" i="7"/>
  <c r="C38" i="6"/>
  <c r="C6" i="6"/>
  <c r="B23" i="7"/>
  <c r="B48" i="6"/>
  <c r="B16" i="6"/>
  <c r="C54" i="7"/>
  <c r="C22" i="7"/>
  <c r="C47" i="6"/>
  <c r="C15" i="6"/>
  <c r="C37" i="7"/>
  <c r="C5" i="7"/>
  <c r="C30" i="6"/>
  <c r="C55" i="5"/>
  <c r="B51" i="7"/>
  <c r="B19" i="7"/>
  <c r="B44" i="6"/>
  <c r="B12" i="6"/>
  <c r="C50" i="7"/>
  <c r="C18" i="7"/>
  <c r="C43" i="6"/>
  <c r="C11" i="6"/>
  <c r="C33" i="7"/>
  <c r="C1" i="7"/>
  <c r="C26" i="6"/>
  <c r="C51" i="5"/>
  <c r="B45" i="5"/>
  <c r="C47" i="5"/>
  <c r="B10" i="7"/>
  <c r="C16" i="6"/>
  <c r="B32" i="5"/>
  <c r="B57" i="4"/>
  <c r="B25" i="4"/>
  <c r="B50" i="3"/>
  <c r="B18" i="3"/>
  <c r="B43" i="2"/>
  <c r="B54" i="7"/>
  <c r="C3" i="7"/>
  <c r="B9" i="6"/>
  <c r="C27" i="5"/>
  <c r="C52" i="4"/>
  <c r="C20" i="4"/>
  <c r="C45" i="3"/>
  <c r="C13" i="3"/>
  <c r="C38" i="2"/>
  <c r="B21" i="7"/>
  <c r="B27" i="6"/>
  <c r="B39" i="5"/>
  <c r="B7" i="5"/>
  <c r="B32" i="4"/>
  <c r="B57" i="3"/>
  <c r="B25" i="3"/>
  <c r="B50" i="2"/>
  <c r="B52" i="7"/>
  <c r="C57" i="6"/>
  <c r="B6" i="6"/>
  <c r="B26" i="5"/>
  <c r="B51" i="4"/>
  <c r="B19" i="4"/>
  <c r="B44" i="3"/>
  <c r="B12" i="3"/>
  <c r="B37" i="2"/>
  <c r="B30" i="6"/>
  <c r="B9" i="5"/>
  <c r="B2" i="4"/>
  <c r="B52" i="2"/>
  <c r="C6" i="2"/>
  <c r="B42" i="6"/>
  <c r="C16" i="5"/>
  <c r="C9" i="4"/>
  <c r="C2" i="3"/>
  <c r="B10" i="2"/>
  <c r="B8" i="7"/>
  <c r="C30" i="5"/>
  <c r="C23" i="4"/>
  <c r="C16" i="3"/>
  <c r="B19" i="2"/>
  <c r="B5" i="7"/>
  <c r="B29" i="5"/>
  <c r="B22" i="4"/>
  <c r="B15" i="3"/>
  <c r="C17" i="2"/>
  <c r="B1" i="7"/>
  <c r="C19" i="4"/>
  <c r="B16" i="2"/>
  <c r="C38" i="4"/>
  <c r="C16" i="2"/>
  <c r="C5" i="6"/>
  <c r="C43" i="3"/>
  <c r="C41" i="7"/>
  <c r="B4" i="7"/>
  <c r="C9" i="6"/>
  <c r="B28" i="5"/>
  <c r="B53" i="4"/>
  <c r="B21" i="4"/>
  <c r="B46" i="3"/>
  <c r="B14" i="3"/>
  <c r="B39" i="2"/>
  <c r="B48" i="7"/>
  <c r="C53" i="6"/>
  <c r="B2" i="6"/>
  <c r="C23" i="5"/>
  <c r="C48" i="4"/>
  <c r="C16" i="4"/>
  <c r="C41" i="3"/>
  <c r="C9" i="3"/>
  <c r="C34" i="2"/>
  <c r="C15" i="7"/>
  <c r="B21" i="6"/>
  <c r="B35" i="5"/>
  <c r="B3" i="5"/>
  <c r="B28" i="4"/>
  <c r="B53" i="3"/>
  <c r="B21" i="3"/>
  <c r="B46" i="2"/>
  <c r="B45" i="7"/>
  <c r="B51" i="6"/>
  <c r="C57" i="5"/>
  <c r="B22" i="5"/>
  <c r="B47" i="4"/>
  <c r="B15" i="4"/>
  <c r="B40" i="3"/>
  <c r="B8" i="3"/>
  <c r="B33" i="2"/>
  <c r="C17" i="6"/>
  <c r="B1" i="5"/>
  <c r="B51" i="3"/>
  <c r="B44" i="2"/>
  <c r="C2" i="2"/>
  <c r="C29" i="6"/>
  <c r="C8" i="5"/>
  <c r="C1" i="4"/>
  <c r="C51" i="2"/>
  <c r="B6" i="2"/>
  <c r="C52" i="6"/>
  <c r="C22" i="5"/>
  <c r="C15" i="4"/>
  <c r="C8" i="3"/>
  <c r="C13" i="2"/>
  <c r="C49" i="6"/>
  <c r="B21" i="5"/>
  <c r="B14" i="4"/>
  <c r="B7" i="3"/>
  <c r="C12" i="2"/>
  <c r="C29" i="7"/>
  <c r="C9" i="7"/>
  <c r="B42" i="7"/>
  <c r="C48" i="6"/>
  <c r="C54" i="5"/>
  <c r="B20" i="5"/>
  <c r="B45" i="4"/>
  <c r="B13" i="4"/>
  <c r="B38" i="3"/>
  <c r="B6" i="3"/>
  <c r="B31" i="2"/>
  <c r="C35" i="7"/>
  <c r="B41" i="6"/>
  <c r="C48" i="5"/>
  <c r="C15" i="5"/>
  <c r="C40" i="4"/>
  <c r="C8" i="4"/>
  <c r="C33" i="3"/>
  <c r="C1" i="3"/>
  <c r="C26" i="2"/>
  <c r="B53" i="7"/>
  <c r="B2" i="7"/>
  <c r="C8" i="6"/>
  <c r="B27" i="5"/>
  <c r="B52" i="4"/>
  <c r="B20" i="4"/>
  <c r="B45" i="3"/>
  <c r="B13" i="3"/>
  <c r="C32" i="7"/>
  <c r="B38" i="6"/>
  <c r="C46" i="5"/>
  <c r="B14" i="5"/>
  <c r="B39" i="4"/>
  <c r="B7" i="4"/>
  <c r="B32" i="3"/>
  <c r="B57" i="2"/>
  <c r="B25" i="2"/>
  <c r="B37" i="7"/>
  <c r="C50" i="5"/>
  <c r="B42" i="4"/>
  <c r="B35" i="3"/>
  <c r="C31" i="2"/>
  <c r="B49" i="7"/>
  <c r="C4" i="6"/>
  <c r="C49" i="4"/>
  <c r="C42" i="3"/>
  <c r="C36" i="2"/>
  <c r="B26" i="6"/>
  <c r="C6" i="5"/>
  <c r="C56" i="3"/>
  <c r="C49" i="2"/>
  <c r="C5" i="2"/>
  <c r="C24" i="6"/>
  <c r="B5" i="5"/>
  <c r="B55" i="3"/>
  <c r="B48" i="2"/>
  <c r="C4" i="2"/>
  <c r="B27" i="7"/>
  <c r="C26" i="7"/>
  <c r="C54" i="6"/>
  <c r="B36" i="7"/>
  <c r="C41" i="6"/>
  <c r="C49" i="5"/>
  <c r="B16" i="5"/>
  <c r="B41" i="4"/>
  <c r="B9" i="4"/>
  <c r="B34" i="3"/>
  <c r="B2" i="3"/>
  <c r="C28" i="7"/>
  <c r="B34" i="6"/>
  <c r="C43" i="5"/>
  <c r="C11" i="5"/>
  <c r="C36" i="4"/>
  <c r="C4" i="4"/>
  <c r="C29" i="3"/>
  <c r="C54" i="2"/>
  <c r="C22" i="2"/>
  <c r="C47" i="7"/>
  <c r="B53" i="6"/>
  <c r="C1" i="6"/>
  <c r="B23" i="5"/>
  <c r="B48" i="4"/>
  <c r="B16" i="4"/>
  <c r="B41" i="3"/>
  <c r="B9" i="3"/>
  <c r="B26" i="7"/>
  <c r="C32" i="6"/>
  <c r="B42" i="5"/>
  <c r="B10" i="5"/>
  <c r="B35" i="4"/>
  <c r="B3" i="4"/>
  <c r="B28" i="3"/>
  <c r="B53" i="2"/>
  <c r="B21" i="2"/>
  <c r="C24" i="7"/>
  <c r="B41" i="5"/>
  <c r="B34" i="4"/>
  <c r="B27" i="3"/>
  <c r="C25" i="2"/>
  <c r="C36" i="7"/>
  <c r="B50" i="5"/>
  <c r="C41" i="4"/>
  <c r="C34" i="3"/>
  <c r="B30" i="2"/>
  <c r="C13" i="6"/>
  <c r="C55" i="4"/>
  <c r="C48" i="3"/>
  <c r="B42" i="2"/>
  <c r="C1" i="2"/>
  <c r="B11" i="6"/>
  <c r="B54" i="4"/>
  <c r="B47" i="3"/>
  <c r="C40" i="2"/>
  <c r="C26" i="5"/>
  <c r="C12" i="3"/>
  <c r="C51" i="7"/>
  <c r="C50" i="4"/>
  <c r="B52" i="6"/>
  <c r="C51" i="6"/>
  <c r="C34" i="6"/>
  <c r="B29" i="7"/>
  <c r="B35" i="6"/>
  <c r="B44" i="5"/>
  <c r="B12" i="5"/>
  <c r="B37" i="4"/>
  <c r="B5" i="4"/>
  <c r="B30" i="3"/>
  <c r="B55" i="2"/>
  <c r="B22" i="7"/>
  <c r="C28" i="6"/>
  <c r="C39" i="5"/>
  <c r="C7" i="5"/>
  <c r="C32" i="4"/>
  <c r="C57" i="3"/>
  <c r="C25" i="3"/>
  <c r="C50" i="2"/>
  <c r="C18" i="2"/>
  <c r="C40" i="7"/>
  <c r="B46" i="6"/>
  <c r="C53" i="5"/>
  <c r="B19" i="5"/>
  <c r="B44" i="4"/>
  <c r="B12" i="4"/>
  <c r="B37" i="3"/>
  <c r="B5" i="3"/>
  <c r="B20" i="7"/>
  <c r="C25" i="6"/>
  <c r="C48" i="7"/>
  <c r="B36" i="5"/>
  <c r="B1" i="4"/>
  <c r="B35" i="2"/>
  <c r="B41" i="7"/>
  <c r="C31" i="5"/>
  <c r="C53" i="3"/>
  <c r="C30" i="2"/>
  <c r="B43" i="5"/>
  <c r="B8" i="4"/>
  <c r="C7" i="7"/>
  <c r="B18" i="5"/>
  <c r="B11" i="4"/>
  <c r="B4" i="3"/>
  <c r="B5" i="6"/>
  <c r="B43" i="3"/>
  <c r="C57" i="4"/>
  <c r="C43" i="2"/>
  <c r="B39" i="6"/>
  <c r="C7" i="4"/>
  <c r="C9" i="2"/>
  <c r="B13" i="5"/>
  <c r="B56" i="2"/>
  <c r="C35" i="4"/>
  <c r="C4" i="7"/>
  <c r="C25" i="5"/>
  <c r="B38" i="2"/>
  <c r="C42" i="4"/>
  <c r="C22" i="4"/>
  <c r="C27" i="2"/>
  <c r="C56" i="5"/>
  <c r="C39" i="3"/>
  <c r="B9" i="2"/>
  <c r="C36" i="5"/>
  <c r="C22" i="3"/>
  <c r="C17" i="5"/>
  <c r="C21" i="4"/>
  <c r="C20" i="6"/>
  <c r="C52" i="3"/>
  <c r="C3" i="2"/>
  <c r="C12" i="7"/>
  <c r="B1" i="2"/>
  <c r="C19" i="6"/>
  <c r="C23" i="7"/>
  <c r="B24" i="5"/>
  <c r="B54" i="3"/>
  <c r="B16" i="7"/>
  <c r="C19" i="5"/>
  <c r="C49" i="3"/>
  <c r="C14" i="2"/>
  <c r="B34" i="7"/>
  <c r="B31" i="5"/>
  <c r="B4" i="4"/>
  <c r="B45" i="6"/>
  <c r="B6" i="5"/>
  <c r="B56" i="3"/>
  <c r="B49" i="2"/>
  <c r="B33" i="5"/>
  <c r="B19" i="3"/>
  <c r="B24" i="7"/>
  <c r="C33" i="4"/>
  <c r="C24" i="2"/>
  <c r="B1" i="6"/>
  <c r="C40" i="3"/>
  <c r="B44" i="7"/>
  <c r="B46" i="4"/>
  <c r="B34" i="2"/>
  <c r="C3" i="4"/>
  <c r="C9" i="5"/>
  <c r="C10" i="4"/>
  <c r="C19" i="3"/>
  <c r="C16" i="7"/>
  <c r="B8" i="5"/>
  <c r="B42" i="3"/>
  <c r="B9" i="7"/>
  <c r="C3" i="5"/>
  <c r="C37" i="3"/>
  <c r="B28" i="7"/>
  <c r="B15" i="5"/>
  <c r="B49" i="3"/>
  <c r="B19" i="6"/>
  <c r="B2" i="5"/>
  <c r="B52" i="3"/>
  <c r="B45" i="2"/>
  <c r="B25" i="5"/>
  <c r="B11" i="3"/>
  <c r="C11" i="7"/>
  <c r="C25" i="4"/>
  <c r="C19" i="2"/>
  <c r="B47" i="5"/>
  <c r="C32" i="3"/>
  <c r="C31" i="7"/>
  <c r="B38" i="4"/>
  <c r="B28" i="2"/>
  <c r="C27" i="7"/>
  <c r="C44" i="3"/>
  <c r="C30" i="3"/>
  <c r="C34" i="4"/>
  <c r="C15" i="2"/>
  <c r="C3" i="3"/>
  <c r="B18" i="2"/>
  <c r="C21" i="5"/>
  <c r="C7" i="3"/>
  <c r="C4" i="5"/>
  <c r="C47" i="2"/>
  <c r="C20" i="2"/>
  <c r="C34" i="5"/>
  <c r="C20" i="3"/>
  <c r="B51" i="5"/>
  <c r="B6" i="7"/>
  <c r="B54" i="6"/>
  <c r="B4" i="5"/>
  <c r="B26" i="3"/>
  <c r="B47" i="6"/>
  <c r="C56" i="4"/>
  <c r="C21" i="3"/>
  <c r="C8" i="7"/>
  <c r="B11" i="5"/>
  <c r="B33" i="3"/>
  <c r="B13" i="6"/>
  <c r="B55" i="4"/>
  <c r="B48" i="3"/>
  <c r="B41" i="2"/>
  <c r="B17" i="5"/>
  <c r="B3" i="3"/>
  <c r="B55" i="6"/>
  <c r="C17" i="4"/>
  <c r="B14" i="2"/>
  <c r="C38" i="5"/>
  <c r="C24" i="3"/>
  <c r="B18" i="7"/>
  <c r="B23" i="2"/>
  <c r="B33" i="6"/>
  <c r="C28" i="3"/>
  <c r="C22" i="6"/>
  <c r="B29" i="6"/>
  <c r="B49" i="4"/>
  <c r="B22" i="3"/>
  <c r="C21" i="6"/>
  <c r="C44" i="4"/>
  <c r="C17" i="3"/>
  <c r="C40" i="6"/>
  <c r="B56" i="4"/>
  <c r="B29" i="3"/>
  <c r="B52" i="5"/>
  <c r="B43" i="4"/>
  <c r="B36" i="3"/>
  <c r="B29" i="2"/>
  <c r="B50" i="7"/>
  <c r="B50" i="4"/>
  <c r="C37" i="2"/>
  <c r="B17" i="6"/>
  <c r="C50" i="3"/>
  <c r="B2" i="2"/>
  <c r="C14" i="5"/>
  <c r="C57" i="2"/>
  <c r="B37" i="6"/>
  <c r="B6" i="4"/>
  <c r="C8" i="2"/>
  <c r="B7" i="6"/>
  <c r="C53" i="2"/>
  <c r="C12" i="6"/>
  <c r="B25" i="7"/>
  <c r="C2" i="4"/>
  <c r="C44" i="7"/>
  <c r="C46" i="4"/>
  <c r="C35" i="2"/>
  <c r="B10" i="6"/>
  <c r="B17" i="7"/>
  <c r="C29" i="4"/>
  <c r="B22" i="2"/>
  <c r="C41" i="2"/>
  <c r="C2" i="5"/>
  <c r="C45" i="2"/>
  <c r="C26" i="4"/>
  <c r="C13" i="5"/>
  <c r="C5" i="4"/>
  <c r="B20" i="6"/>
  <c r="B43" i="6"/>
  <c r="C24" i="5"/>
  <c r="C7" i="2"/>
  <c r="C41" i="5"/>
  <c r="C46" i="3"/>
  <c r="C55" i="3"/>
  <c r="B8" i="2"/>
  <c r="C45" i="6"/>
  <c r="C12" i="5"/>
  <c r="C2" i="6"/>
  <c r="B22" i="6"/>
  <c r="B33" i="4"/>
  <c r="B10" i="3"/>
  <c r="B15" i="6"/>
  <c r="C28" i="4"/>
  <c r="C5" i="3"/>
  <c r="C33" i="6"/>
  <c r="B40" i="4"/>
  <c r="B17" i="3"/>
  <c r="B38" i="5"/>
  <c r="B31" i="4"/>
  <c r="B24" i="3"/>
  <c r="B17" i="2"/>
  <c r="B12" i="7"/>
  <c r="B26" i="4"/>
  <c r="B20" i="2"/>
  <c r="C40" i="5"/>
  <c r="C26" i="3"/>
  <c r="B46" i="7"/>
  <c r="C47" i="4"/>
  <c r="B36" i="2"/>
  <c r="B56" i="5"/>
  <c r="B39" i="3"/>
  <c r="C42" i="5"/>
  <c r="C39" i="2"/>
  <c r="C56" i="2"/>
  <c r="B57" i="6"/>
  <c r="C27" i="3"/>
  <c r="B38" i="7"/>
  <c r="C36" i="6"/>
  <c r="C19" i="7"/>
  <c r="C30" i="4"/>
  <c r="C23" i="2"/>
  <c r="C37" i="6"/>
  <c r="C37" i="4"/>
  <c r="B49" i="6"/>
  <c r="C13" i="4"/>
  <c r="B12" i="2"/>
  <c r="B40" i="7"/>
  <c r="C43" i="4"/>
  <c r="C32" i="2"/>
  <c r="C35" i="3"/>
  <c r="C6" i="4"/>
  <c r="B40" i="2"/>
  <c r="B40" i="5"/>
  <c r="C12" i="4"/>
  <c r="B24" i="4"/>
  <c r="B13" i="7"/>
  <c r="B16" i="3"/>
  <c r="C10" i="2"/>
  <c r="C31" i="4"/>
  <c r="B23" i="3"/>
  <c r="C51" i="4"/>
  <c r="C52" i="2"/>
  <c r="B46" i="5"/>
  <c r="B25" i="6"/>
  <c r="C15" i="3"/>
  <c r="B55" i="5"/>
  <c r="C11" i="2"/>
  <c r="C28" i="2"/>
  <c r="C44" i="2"/>
  <c r="C31" i="3"/>
  <c r="C23" i="3"/>
  <c r="B3" i="6"/>
  <c r="B29" i="4"/>
  <c r="B51" i="2"/>
  <c r="B54" i="5"/>
  <c r="C24" i="4"/>
  <c r="C46" i="2"/>
  <c r="B14" i="6"/>
  <c r="B36" i="4"/>
  <c r="B1" i="3"/>
  <c r="C39" i="7"/>
  <c r="B34" i="5"/>
  <c r="B27" i="4"/>
  <c r="B20" i="3"/>
  <c r="C56" i="6"/>
  <c r="B18" i="4"/>
  <c r="B15" i="2"/>
  <c r="C32" i="5"/>
  <c r="C18" i="3"/>
  <c r="B33" i="7"/>
  <c r="C39" i="4"/>
  <c r="C29" i="2"/>
  <c r="C45" i="5"/>
  <c r="B31" i="3"/>
  <c r="C10" i="5"/>
  <c r="B27" i="2"/>
  <c r="B31" i="6"/>
  <c r="C11" i="3"/>
  <c r="B18" i="6"/>
  <c r="B32" i="7"/>
  <c r="C53" i="4"/>
  <c r="B50" i="6"/>
  <c r="C14" i="4"/>
  <c r="B13" i="2"/>
  <c r="C54" i="4"/>
  <c r="C14" i="3"/>
  <c r="B23" i="6"/>
  <c r="C54" i="3"/>
  <c r="B4" i="2"/>
  <c r="B30" i="7"/>
  <c r="B14" i="7"/>
  <c r="C27" i="4"/>
  <c r="C21" i="2"/>
  <c r="B32" i="2"/>
  <c r="C47" i="3"/>
  <c r="B17" i="4"/>
  <c r="B47" i="2"/>
  <c r="C35" i="5"/>
  <c r="C42" i="2"/>
  <c r="B48" i="5"/>
  <c r="B54" i="2"/>
  <c r="B30" i="5"/>
  <c r="B23" i="4"/>
  <c r="B10" i="4"/>
  <c r="C10" i="3"/>
  <c r="C20" i="7"/>
  <c r="B24" i="2"/>
  <c r="B37" i="5"/>
  <c r="C33" i="5"/>
  <c r="B5" i="2"/>
  <c r="C38" i="3"/>
  <c r="C44" i="5"/>
  <c r="C11" i="4"/>
  <c r="B3" i="2"/>
  <c r="C52" i="7"/>
  <c r="C37" i="5"/>
  <c r="B30" i="4"/>
  <c r="C20" i="5"/>
  <c r="C44" i="6"/>
  <c r="C45" i="4"/>
  <c r="C1" i="5"/>
  <c r="C51" i="3"/>
  <c r="C36" i="3"/>
  <c r="C28" i="5"/>
  <c r="C43" i="7"/>
  <c r="C5" i="5"/>
  <c r="C6" i="3"/>
  <c r="C52" i="5"/>
  <c r="C18" i="4"/>
  <c r="C48" i="2"/>
  <c r="C33" i="2"/>
  <c r="C18" i="5"/>
  <c r="C29" i="5"/>
  <c r="C4" i="3"/>
  <c r="B26" i="2"/>
  <c r="B7" i="2"/>
  <c r="B11" i="2"/>
  <c r="C55" i="2"/>
  <c r="O34" i="1" l="1"/>
  <c r="K68" i="1"/>
  <c r="P15" i="1"/>
  <c r="P56" i="1"/>
  <c r="U56" i="1"/>
  <c r="U15" i="1"/>
  <c r="K55" i="1"/>
  <c r="G57" i="1"/>
  <c r="G34" i="1"/>
  <c r="Q57" i="1"/>
  <c r="V57" i="1"/>
  <c r="T55" i="1"/>
  <c r="T35" i="1"/>
  <c r="L34" i="1"/>
  <c r="I21" i="1"/>
  <c r="T34" i="1"/>
  <c r="R23" i="1"/>
  <c r="P68" i="1"/>
  <c r="L33" i="1"/>
  <c r="S15" i="1"/>
  <c r="S56" i="1"/>
  <c r="Q34" i="1"/>
  <c r="U23" i="1"/>
  <c r="L56" i="1"/>
  <c r="L15" i="1"/>
  <c r="N55" i="1"/>
  <c r="J23" i="1"/>
  <c r="J21" i="1"/>
  <c r="I23" i="1"/>
  <c r="T68" i="1"/>
  <c r="O10" i="1"/>
  <c r="O22" i="1"/>
  <c r="R55" i="1"/>
  <c r="K57" i="1"/>
  <c r="P34" i="1"/>
  <c r="W35" i="1"/>
  <c r="R67" i="1"/>
  <c r="M55" i="1"/>
  <c r="M23" i="1"/>
  <c r="T22" i="1"/>
  <c r="T10" i="1"/>
  <c r="I10" i="1"/>
  <c r="I22" i="1"/>
  <c r="J57" i="1"/>
  <c r="V55" i="1"/>
  <c r="I55" i="1"/>
  <c r="G55" i="1"/>
  <c r="Q23" i="1"/>
  <c r="P22" i="1"/>
  <c r="P10" i="1"/>
  <c r="M22" i="1"/>
  <c r="M10" i="1"/>
  <c r="O55" i="1"/>
  <c r="Q69" i="1"/>
  <c r="N57" i="1"/>
  <c r="W22" i="1"/>
  <c r="W10" i="1"/>
  <c r="R15" i="1"/>
  <c r="R56" i="1"/>
  <c r="S68" i="1"/>
  <c r="U21" i="1"/>
  <c r="N23" i="1"/>
  <c r="P69" i="1"/>
  <c r="G23" i="1"/>
  <c r="F35" i="1"/>
  <c r="I68" i="1"/>
  <c r="T69" i="1"/>
  <c r="S34" i="1"/>
  <c r="M68" i="1"/>
  <c r="G21" i="1"/>
  <c r="N21" i="1"/>
  <c r="T56" i="1"/>
  <c r="T15" i="1"/>
  <c r="F34" i="1"/>
  <c r="S22" i="1"/>
  <c r="S10" i="1"/>
  <c r="O21" i="1"/>
  <c r="Q10" i="1"/>
  <c r="Q22" i="1"/>
  <c r="T33" i="1"/>
  <c r="F21" i="1"/>
  <c r="I69" i="1"/>
  <c r="H22" i="1"/>
  <c r="H10" i="1"/>
  <c r="W15" i="1"/>
  <c r="W56" i="1"/>
  <c r="J34" i="1"/>
  <c r="V23" i="1"/>
  <c r="K23" i="1"/>
  <c r="T21" i="1"/>
  <c r="L69" i="1"/>
  <c r="M57" i="1"/>
  <c r="R34" i="1"/>
  <c r="K21" i="1"/>
  <c r="H33" i="1"/>
  <c r="L57" i="1"/>
  <c r="W21" i="1"/>
  <c r="L23" i="1"/>
  <c r="L10" i="1"/>
  <c r="L22" i="1"/>
  <c r="U22" i="1"/>
  <c r="U10" i="1"/>
  <c r="L68" i="1"/>
  <c r="F57" i="1"/>
  <c r="J56" i="1"/>
  <c r="J15" i="1"/>
  <c r="O57" i="1"/>
  <c r="T23" i="1"/>
  <c r="N67" i="1"/>
  <c r="P23" i="1"/>
  <c r="I33" i="1"/>
  <c r="F68" i="1"/>
  <c r="H68" i="1"/>
  <c r="F55" i="1"/>
  <c r="M56" i="1"/>
  <c r="M15" i="1"/>
  <c r="P55" i="1"/>
  <c r="J22" i="1"/>
  <c r="J10" i="1"/>
  <c r="M33" i="1"/>
  <c r="I67" i="1"/>
  <c r="F56" i="1"/>
  <c r="F15" i="1"/>
  <c r="L35" i="1"/>
  <c r="L55" i="1"/>
  <c r="K34" i="1"/>
  <c r="Q68" i="1"/>
  <c r="R57" i="1"/>
  <c r="W34" i="1"/>
  <c r="N15" i="1"/>
  <c r="N56" i="1"/>
  <c r="S55" i="1"/>
  <c r="Q21" i="1"/>
  <c r="H56" i="1"/>
  <c r="H15" i="1"/>
  <c r="W55" i="1"/>
  <c r="O15" i="1"/>
  <c r="O56" i="1"/>
  <c r="U67" i="1"/>
  <c r="K15" i="1"/>
  <c r="K56" i="1"/>
  <c r="V10" i="1"/>
  <c r="V22" i="1"/>
  <c r="W57" i="1"/>
  <c r="P21" i="1"/>
  <c r="R68" i="1"/>
  <c r="V69" i="1"/>
  <c r="V21" i="1"/>
  <c r="V67" i="1"/>
  <c r="I57" i="1"/>
  <c r="N34" i="1"/>
  <c r="U57" i="1"/>
  <c r="S21" i="1"/>
  <c r="Q67" i="1"/>
  <c r="M67" i="1"/>
  <c r="P35" i="1"/>
  <c r="U33" i="1"/>
  <c r="O23" i="1"/>
  <c r="Q55" i="1"/>
  <c r="I34" i="1"/>
  <c r="S35" i="1"/>
  <c r="N33" i="1"/>
  <c r="M69" i="1"/>
  <c r="G22" i="1"/>
  <c r="G10" i="1"/>
  <c r="W23" i="1"/>
  <c r="G68" i="1"/>
  <c r="Q15" i="1"/>
  <c r="Q56" i="1"/>
  <c r="S57" i="1"/>
  <c r="V34" i="1"/>
  <c r="P33" i="1"/>
  <c r="H35" i="1"/>
  <c r="N22" i="1"/>
  <c r="N10" i="1"/>
  <c r="P57" i="1"/>
  <c r="H21" i="1"/>
  <c r="J68" i="1"/>
  <c r="U68" i="1"/>
  <c r="Q33" i="1"/>
  <c r="U69" i="1"/>
  <c r="H67" i="1"/>
  <c r="O33" i="1"/>
  <c r="I56" i="1"/>
  <c r="I15" i="1"/>
  <c r="H23" i="1"/>
  <c r="J55" i="1"/>
  <c r="V56" i="1"/>
  <c r="V15" i="1"/>
  <c r="H34" i="1"/>
  <c r="O35" i="1"/>
  <c r="F10" i="1"/>
  <c r="F22" i="1"/>
  <c r="K35" i="1"/>
  <c r="W68" i="1"/>
  <c r="J67" i="1"/>
  <c r="H57" i="1"/>
  <c r="S23" i="1"/>
  <c r="U55" i="1"/>
  <c r="M34" i="1"/>
  <c r="H69" i="1"/>
  <c r="S33" i="1"/>
  <c r="G35" i="1"/>
  <c r="R21" i="1"/>
  <c r="K22" i="1"/>
  <c r="K10" i="1"/>
  <c r="M21" i="1"/>
  <c r="O68" i="1"/>
  <c r="F23" i="1"/>
  <c r="H55" i="1"/>
  <c r="G15" i="1"/>
  <c r="G56" i="1"/>
  <c r="W69" i="1"/>
  <c r="R10" i="1"/>
  <c r="R22" i="1"/>
  <c r="T57" i="1"/>
  <c r="L21" i="1"/>
  <c r="N68" i="1"/>
  <c r="F67" i="1"/>
  <c r="U34" i="1"/>
  <c r="V68" i="1"/>
  <c r="N35" i="1"/>
  <c r="P67" i="1"/>
  <c r="I35" i="1"/>
  <c r="K67" i="1"/>
  <c r="V33" i="1"/>
  <c r="O69" i="1"/>
  <c r="G33" i="1"/>
  <c r="J69" i="1"/>
  <c r="U35" i="1"/>
  <c r="W67" i="1"/>
  <c r="G69" i="1"/>
  <c r="R35" i="1"/>
  <c r="T67" i="1"/>
  <c r="M35" i="1"/>
  <c r="O67" i="1"/>
  <c r="S69" i="1"/>
  <c r="K33" i="1"/>
  <c r="N69" i="1"/>
  <c r="F33" i="1"/>
  <c r="J35" i="1"/>
  <c r="L67" i="1"/>
  <c r="W33" i="1"/>
  <c r="G67" i="1"/>
  <c r="R33" i="1"/>
  <c r="K69" i="1"/>
  <c r="V35" i="1"/>
  <c r="F69" i="1"/>
  <c r="Q35" i="1"/>
  <c r="S67" i="1"/>
  <c r="R69" i="1"/>
  <c r="J33" i="1"/>
  <c r="Y33" i="1" l="1"/>
  <c r="X33" i="1"/>
  <c r="Y10" i="1"/>
  <c r="X10" i="1"/>
  <c r="Y57" i="1"/>
  <c r="X57" i="1"/>
  <c r="X68" i="1"/>
  <c r="Y68" i="1"/>
  <c r="X55" i="1"/>
  <c r="Y55" i="1"/>
  <c r="Y69" i="1"/>
  <c r="X69" i="1"/>
  <c r="Y23" i="1"/>
  <c r="X23" i="1"/>
  <c r="Y21" i="1"/>
  <c r="X21" i="1"/>
  <c r="Y56" i="1"/>
  <c r="X56" i="1"/>
  <c r="Y22" i="1"/>
  <c r="X22" i="1"/>
  <c r="Y35" i="1"/>
  <c r="X35" i="1"/>
  <c r="Y15" i="1"/>
  <c r="X15" i="1"/>
  <c r="Y67" i="1"/>
  <c r="X67" i="1"/>
  <c r="Y34" i="1"/>
  <c r="X34" i="1"/>
</calcChain>
</file>

<file path=xl/sharedStrings.xml><?xml version="1.0" encoding="utf-8"?>
<sst xmlns="http://schemas.openxmlformats.org/spreadsheetml/2006/main" count="693" uniqueCount="173">
  <si>
    <t>Sensor Fusion</t>
  </si>
  <si>
    <t>Project 3</t>
  </si>
  <si>
    <t>Task MP.5</t>
  </si>
  <si>
    <t>Lidar TTC</t>
  </si>
  <si>
    <t>*: minDescDistRatio = 0.8</t>
  </si>
  <si>
    <t>Detector</t>
  </si>
  <si>
    <t>Descriptor</t>
  </si>
  <si>
    <t>Matcher</t>
  </si>
  <si>
    <t>Descriptor
Type</t>
  </si>
  <si>
    <t>Selector
Type *</t>
  </si>
  <si>
    <t>Image</t>
  </si>
  <si>
    <t>Average</t>
  </si>
  <si>
    <t>Standard
deviation</t>
  </si>
  <si>
    <t>FAST</t>
  </si>
  <si>
    <t>ORB</t>
  </si>
  <si>
    <t>BF</t>
  </si>
  <si>
    <t>BINARY</t>
  </si>
  <si>
    <t>KNN</t>
  </si>
  <si>
    <t>Camera TTC</t>
  </si>
  <si>
    <t>Task MP.6</t>
  </si>
  <si>
    <t>BRIEF</t>
  </si>
  <si>
    <t>FREAK</t>
  </si>
  <si>
    <t>AKAZE</t>
  </si>
  <si>
    <t>SIFT</t>
  </si>
  <si>
    <t>BRISK</t>
  </si>
  <si>
    <t>HOG</t>
  </si>
  <si>
    <t>iamageID: 1</t>
  </si>
  <si>
    <t>ttcLidar[sec]: 8.05618</t>
  </si>
  <si>
    <t>ttcCamera[sec]: 12.3806</t>
  </si>
  <si>
    <t>iamageID: 2</t>
  </si>
  <si>
    <t>ttcLidar[sec]: 13.9136</t>
  </si>
  <si>
    <t>ttcCamera[sec]: 11.1626</t>
  </si>
  <si>
    <t>iamageID: 3</t>
  </si>
  <si>
    <t>ttcLidar[sec]: 44.5655</t>
  </si>
  <si>
    <t>ttcCamera[sec]: 11.9712</t>
  </si>
  <si>
    <t>iamageID: 4</t>
  </si>
  <si>
    <t>ttcLidar[sec]: 14.633</t>
  </si>
  <si>
    <t>ttcCamera[sec]: 13.794</t>
  </si>
  <si>
    <t>iamageID: 5</t>
  </si>
  <si>
    <t>ttcLidar[sec]: 17.8178</t>
  </si>
  <si>
    <t>ttcCamera[sec]: 28.7596</t>
  </si>
  <si>
    <t>iamageID: 6</t>
  </si>
  <si>
    <t>ttcLidar[sec]: 13.8814</t>
  </si>
  <si>
    <t>ttcCamera[sec]: 12.6793</t>
  </si>
  <si>
    <t>iamageID: 7</t>
  </si>
  <si>
    <t>ttcLidar[sec]: 22.9091</t>
  </si>
  <si>
    <t>ttcCamera[sec]: 12.352</t>
  </si>
  <si>
    <t>iamageID: 8</t>
  </si>
  <si>
    <t>ttcLidar[sec]: 7.41929</t>
  </si>
  <si>
    <t>ttcCamera[sec]: 11.3441</t>
  </si>
  <si>
    <t>iamageID: 9</t>
  </si>
  <si>
    <t>ttcLidar[sec]: 7.4619</t>
  </si>
  <si>
    <t>ttcCamera[sec]: 12.1119</t>
  </si>
  <si>
    <t>iamageID: 10</t>
  </si>
  <si>
    <t>ttcLidar[sec]: 15.8242</t>
  </si>
  <si>
    <t>ttcCamera[sec]: 13.6608</t>
  </si>
  <si>
    <t>iamageID: 11</t>
  </si>
  <si>
    <t>ttcLidar[sec]: 8.68199</t>
  </si>
  <si>
    <t>ttcCamera[sec]: 13.4364</t>
  </si>
  <si>
    <t>iamageID: 12</t>
  </si>
  <si>
    <t>ttcLidar[sec]: 10.94</t>
  </si>
  <si>
    <t>ttcCamera[sec]: 11.777</t>
  </si>
  <si>
    <t>iamageID: 13</t>
  </si>
  <si>
    <t>ttcLidar[sec]: 6.37853</t>
  </si>
  <si>
    <t>ttcCamera[sec]: 12.3008</t>
  </si>
  <si>
    <t>iamageID: 14</t>
  </si>
  <si>
    <t>ttcLidar[sec]: 17.9264</t>
  </si>
  <si>
    <t>ttcCamera[sec]: 11.7213</t>
  </si>
  <si>
    <t>iamageID: 15</t>
  </si>
  <si>
    <t>ttcLidar[sec]: 13.714</t>
  </si>
  <si>
    <t>ttcCamera[sec]: 11.3421</t>
  </si>
  <si>
    <t>iamageID: 16</t>
  </si>
  <si>
    <t>ttcLidar[sec]: 6.1514</t>
  </si>
  <si>
    <t>ttcCamera[sec]: 11.7851</t>
  </si>
  <si>
    <t>iamageID: 17</t>
  </si>
  <si>
    <t>ttcLidar[sec]: 5.30408</t>
  </si>
  <si>
    <t>ttcCamera[sec]: 9.41431</t>
  </si>
  <si>
    <t>ttcLidar[sec]: 0.000512202</t>
  </si>
  <si>
    <t>ttcCamera[sec]: 9.9441</t>
  </si>
  <si>
    <t>iamageID: 18</t>
  </si>
  <si>
    <t>ttcLidar[sec]: 50</t>
  </si>
  <si>
    <t>ttcCamera[sec]: 11.8307</t>
  </si>
  <si>
    <t>ttcCamera[sec]: 11.9301</t>
  </si>
  <si>
    <t>ttcCamera[sec]: 15.6025</t>
  </si>
  <si>
    <t>ttcCamera[sec]: 13.2</t>
  </si>
  <si>
    <t>ttcCamera[sec]: 14.033</t>
  </si>
  <si>
    <t>ttcCamera[sec]: 173.98</t>
  </si>
  <si>
    <t>ttcCamera[sec]: 12.3086</t>
  </si>
  <si>
    <t>ttcCamera[sec]: 12.2021</t>
  </si>
  <si>
    <t>ttcCamera[sec]: 11.5965</t>
  </si>
  <si>
    <t>ttcCamera[sec]: 12.3316</t>
  </si>
  <si>
    <t>ttcCamera[sec]: 13.4105</t>
  </si>
  <si>
    <t>ttcCamera[sec]: 13.0759</t>
  </si>
  <si>
    <t>ttcCamera[sec]: 11.8644</t>
  </si>
  <si>
    <t>ttcCamera[sec]: 11.6118</t>
  </si>
  <si>
    <t>ttcCamera[sec]: 11.0205</t>
  </si>
  <si>
    <t>ttcCamera[sec]: 10.8147</t>
  </si>
  <si>
    <t>ttcCamera[sec]: 11.9191</t>
  </si>
  <si>
    <t>ttcCamera[sec]: 8.3405</t>
  </si>
  <si>
    <t>ttcCamera[sec]: 7.80452</t>
  </si>
  <si>
    <t>ttcCamera[sec]: 11.9006</t>
  </si>
  <si>
    <t>ttcCamera[sec]: 11.2388</t>
  </si>
  <si>
    <t>ttcCamera[sec]: 11.0789</t>
  </si>
  <si>
    <t>ttcCamera[sec]: 12.8872</t>
  </si>
  <si>
    <t>ttcCamera[sec]: 14.0676</t>
  </si>
  <si>
    <t>ttcCamera[sec]: 20.9709</t>
  </si>
  <si>
    <t>ttcCamera[sec]: 12.888</t>
  </si>
  <si>
    <t>ttcCamera[sec]: 11.8985</t>
  </si>
  <si>
    <t>ttcCamera[sec]: 11.7219</t>
  </si>
  <si>
    <t>ttcCamera[sec]: 11.7599</t>
  </si>
  <si>
    <t>ttcCamera[sec]: 13.3278</t>
  </si>
  <si>
    <t>ttcCamera[sec]: 13.7899</t>
  </si>
  <si>
    <t>ttcCamera[sec]: 11.0836</t>
  </si>
  <si>
    <t>ttcCamera[sec]: 11.6502</t>
  </si>
  <si>
    <t>ttcCamera[sec]: 11.5887</t>
  </si>
  <si>
    <t>ttcCamera[sec]: 11.9075</t>
  </si>
  <si>
    <t>ttcCamera[sec]: 12.381</t>
  </si>
  <si>
    <t>ttcCamera[sec]: 7.57979</t>
  </si>
  <si>
    <t>ttcCamera[sec]: 9.91089</t>
  </si>
  <si>
    <t>ttcCamera[sec]: 11.0526</t>
  </si>
  <si>
    <t>ttcCamera[sec]: 17.4635</t>
  </si>
  <si>
    <t>ttcCamera[sec]: 9.63158</t>
  </si>
  <si>
    <t>ttcCamera[sec]: 18.2793</t>
  </si>
  <si>
    <t>ttcCamera[sec]: 28.1023</t>
  </si>
  <si>
    <t>ttcCamera[sec]: 30.1357</t>
  </si>
  <si>
    <t>ttcCamera[sec]: 17.9796</t>
  </si>
  <si>
    <t>ttcCamera[sec]: 220.536</t>
  </si>
  <si>
    <t>ttcCamera[sec]: 10.4367</t>
  </si>
  <si>
    <t>ttcCamera[sec]: -inf</t>
  </si>
  <si>
    <t>ttcCamera[sec]: 13.2779</t>
  </si>
  <si>
    <t>ttcCamera[sec]: 8.2896</t>
  </si>
  <si>
    <t>ttcCamera[sec]: 36.2236</t>
  </si>
  <si>
    <t>ttcCamera[sec]: 10.4189</t>
  </si>
  <si>
    <t>ttcCamera[sec]: 13.4253</t>
  </si>
  <si>
    <t>ttcCamera[sec]: 9.30504</t>
  </si>
  <si>
    <t>ttcCamera[sec]: 9.76932</t>
  </si>
  <si>
    <t>ttcCamera[sec]: 13.4367</t>
  </si>
  <si>
    <t>ttcCamera[sec]: 13.0461</t>
  </si>
  <si>
    <t>ttcCamera[sec]: 26.6197</t>
  </si>
  <si>
    <t>ttcCamera[sec]: 12.6861</t>
  </si>
  <si>
    <t>ttcCamera[sec]: 38.7882</t>
  </si>
  <si>
    <t>ttcCamera[sec]: 11.3805</t>
  </si>
  <si>
    <t>ttcCamera[sec]: 11.2087</t>
  </si>
  <si>
    <t>ttcCamera[sec]: 11.1989</t>
  </si>
  <si>
    <t>ttcCamera[sec]: 9.38588</t>
  </si>
  <si>
    <t>ttcCamera[sec]: 12.8815</t>
  </si>
  <si>
    <t>ttcCamera[sec]: 7.86174</t>
  </si>
  <si>
    <t>ttcCamera[sec]: 26.106</t>
  </si>
  <si>
    <t>ttcCamera[sec]: 7.32054</t>
  </si>
  <si>
    <t>ttcCamera[sec]: 63.442</t>
  </si>
  <si>
    <t>ttcCamera[sec]: 8.35406</t>
  </si>
  <si>
    <t>ttcCamera[sec]: 7.35272</t>
  </si>
  <si>
    <t>ttcCamera[sec]: 11.3219</t>
  </si>
  <si>
    <t>ttcCamera[sec]: 6.94823</t>
  </si>
  <si>
    <t>ttcCamera[sec]: -0.20083</t>
  </si>
  <si>
    <t>ttcCamera[sec]: 22.07</t>
  </si>
  <si>
    <t>ttcCamera[sec]: 24.1294</t>
  </si>
  <si>
    <t>ttcCamera[sec]: 92.8179</t>
  </si>
  <si>
    <t>ttcCamera[sec]: 15.233</t>
  </si>
  <si>
    <t>ttcCamera[sec]: 20.1612</t>
  </si>
  <si>
    <t>ttcCamera[sec]: 13.3056</t>
  </si>
  <si>
    <t>ttcCamera[sec]: 36.3987</t>
  </si>
  <si>
    <t>ttcCamera[sec]: 326.784</t>
  </si>
  <si>
    <t>ttcCamera[sec]: 2.85408e+06</t>
  </si>
  <si>
    <t>ttcCamera[sec]: 17.7467</t>
  </si>
  <si>
    <t>ttcCamera[sec]: 19.4803</t>
  </si>
  <si>
    <t>ttcCamera[sec]: 21.2644</t>
  </si>
  <si>
    <t>ttcCamera[sec]: 12.8562</t>
  </si>
  <si>
    <t>ttcCamera[sec]: 8.82683</t>
  </si>
  <si>
    <t>ttcCamera[sec]: 6.80537</t>
  </si>
  <si>
    <t>ttcCamera[sec]: 10.9804</t>
  </si>
  <si>
    <t>ttcCamera[sec]: 15.0819</t>
  </si>
  <si>
    <t>ttcCamera[sec]: 21.8102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</si>
</sst>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u/>
      <sz val="10"/>
      <color theme="1"/>
      <name val="Arial"/>
    </font>
    <font>
      <b/>
      <sz val="10"/>
      <name val="Arial"/>
    </font>
    <font>
      <sz val="10"/>
      <color rgb="FF000000"/>
      <name val="Arial"/>
    </font>
    <font>
      <b/>
      <u/>
      <sz val="10"/>
      <color theme="1"/>
      <name val="Arial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/>
    <xf numFmtId="0" fontId="6" fillId="0" borderId="0" xfId="0" applyFont="1" applyAlignment="1"/>
    <xf numFmtId="11" fontId="2" fillId="0" borderId="0" xfId="0" applyNumberFormat="1" applyFont="1"/>
    <xf numFmtId="11" fontId="2" fillId="5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9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FAST &amp; BRIEF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Result!$F$54:$W$54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Result!$F$55:$W$55</c:f>
              <c:numCache>
                <c:formatCode>General</c:formatCode>
                <c:ptCount val="18"/>
                <c:pt idx="0">
                  <c:v>11.238799999999999</c:v>
                </c:pt>
                <c:pt idx="1">
                  <c:v>11.078900000000001</c:v>
                </c:pt>
                <c:pt idx="2">
                  <c:v>12.8872</c:v>
                </c:pt>
                <c:pt idx="3">
                  <c:v>14.067600000000001</c:v>
                </c:pt>
                <c:pt idx="4">
                  <c:v>20.9709</c:v>
                </c:pt>
                <c:pt idx="5">
                  <c:v>12.888</c:v>
                </c:pt>
                <c:pt idx="6">
                  <c:v>11.8985</c:v>
                </c:pt>
                <c:pt idx="7">
                  <c:v>11.7219</c:v>
                </c:pt>
                <c:pt idx="8">
                  <c:v>11.7599</c:v>
                </c:pt>
                <c:pt idx="9">
                  <c:v>13.3278</c:v>
                </c:pt>
                <c:pt idx="10">
                  <c:v>13.789899999999999</c:v>
                </c:pt>
                <c:pt idx="11">
                  <c:v>11.083600000000001</c:v>
                </c:pt>
                <c:pt idx="12">
                  <c:v>11.6502</c:v>
                </c:pt>
                <c:pt idx="13">
                  <c:v>11.588699999999999</c:v>
                </c:pt>
                <c:pt idx="14">
                  <c:v>11.907500000000001</c:v>
                </c:pt>
                <c:pt idx="15">
                  <c:v>12.381</c:v>
                </c:pt>
                <c:pt idx="16">
                  <c:v>7.57979</c:v>
                </c:pt>
                <c:pt idx="17">
                  <c:v>11.0526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2-460D-9747-930D3EDA017D}"/>
            </c:ext>
          </c:extLst>
        </c:ser>
        <c:ser>
          <c:idx val="1"/>
          <c:order val="1"/>
          <c:tx>
            <c:v>FAST &amp; ORB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Result!$F$54:$W$54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Result!$F$56:$W$56</c:f>
              <c:numCache>
                <c:formatCode>General</c:formatCode>
                <c:ptCount val="18"/>
                <c:pt idx="0">
                  <c:v>12.380599999999999</c:v>
                </c:pt>
                <c:pt idx="1">
                  <c:v>11.162599999999999</c:v>
                </c:pt>
                <c:pt idx="2">
                  <c:v>11.9712</c:v>
                </c:pt>
                <c:pt idx="3">
                  <c:v>13.794</c:v>
                </c:pt>
                <c:pt idx="4">
                  <c:v>28.759599999999999</c:v>
                </c:pt>
                <c:pt idx="5">
                  <c:v>12.6793</c:v>
                </c:pt>
                <c:pt idx="6">
                  <c:v>12.352</c:v>
                </c:pt>
                <c:pt idx="7">
                  <c:v>11.344099999999999</c:v>
                </c:pt>
                <c:pt idx="8">
                  <c:v>12.1119</c:v>
                </c:pt>
                <c:pt idx="9">
                  <c:v>13.6608</c:v>
                </c:pt>
                <c:pt idx="10">
                  <c:v>13.436400000000001</c:v>
                </c:pt>
                <c:pt idx="11">
                  <c:v>11.776999999999999</c:v>
                </c:pt>
                <c:pt idx="12">
                  <c:v>12.300800000000001</c:v>
                </c:pt>
                <c:pt idx="13">
                  <c:v>11.721299999999999</c:v>
                </c:pt>
                <c:pt idx="14">
                  <c:v>11.3421</c:v>
                </c:pt>
                <c:pt idx="15">
                  <c:v>11.7851</c:v>
                </c:pt>
                <c:pt idx="16">
                  <c:v>9.4143100000000004</c:v>
                </c:pt>
                <c:pt idx="17">
                  <c:v>11.8307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2-460D-9747-930D3EDA017D}"/>
            </c:ext>
          </c:extLst>
        </c:ser>
        <c:ser>
          <c:idx val="2"/>
          <c:order val="2"/>
          <c:tx>
            <c:v>FAST &amp; FREAK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Result!$F$54:$W$54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Result!$F$57:$W$57</c:f>
              <c:numCache>
                <c:formatCode>General</c:formatCode>
                <c:ptCount val="18"/>
                <c:pt idx="0">
                  <c:v>11.930099999999999</c:v>
                </c:pt>
                <c:pt idx="1">
                  <c:v>15.602499999999999</c:v>
                </c:pt>
                <c:pt idx="2">
                  <c:v>13.2</c:v>
                </c:pt>
                <c:pt idx="3">
                  <c:v>14.032999999999999</c:v>
                </c:pt>
                <c:pt idx="4">
                  <c:v>173.98</c:v>
                </c:pt>
                <c:pt idx="5">
                  <c:v>12.3086</c:v>
                </c:pt>
                <c:pt idx="6">
                  <c:v>12.2021</c:v>
                </c:pt>
                <c:pt idx="7">
                  <c:v>11.596500000000001</c:v>
                </c:pt>
                <c:pt idx="8">
                  <c:v>12.3316</c:v>
                </c:pt>
                <c:pt idx="9">
                  <c:v>13.410500000000001</c:v>
                </c:pt>
                <c:pt idx="10">
                  <c:v>13.075900000000001</c:v>
                </c:pt>
                <c:pt idx="11">
                  <c:v>11.8644</c:v>
                </c:pt>
                <c:pt idx="12">
                  <c:v>11.611800000000001</c:v>
                </c:pt>
                <c:pt idx="13">
                  <c:v>11.0205</c:v>
                </c:pt>
                <c:pt idx="14">
                  <c:v>10.8147</c:v>
                </c:pt>
                <c:pt idx="15">
                  <c:v>11.9191</c:v>
                </c:pt>
                <c:pt idx="16">
                  <c:v>8.3405000000000005</c:v>
                </c:pt>
                <c:pt idx="17">
                  <c:v>11.900600000000001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2-460D-9747-930D3EDA0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748896"/>
        <c:axId val="1471743904"/>
      </c:scatterChart>
      <c:valAx>
        <c:axId val="147174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imageID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1743904"/>
        <c:crosses val="autoZero"/>
        <c:crossBetween val="midCat"/>
      </c:valAx>
      <c:valAx>
        <c:axId val="14717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Camera TTC [sec]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174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419867603186289"/>
          <c:y val="6.0513610387366995E-2"/>
          <c:w val="0.2512057016731718"/>
          <c:h val="0.2521006492104391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174625</xdr:colOff>
      <xdr:row>85</xdr:row>
      <xdr:rowOff>63500</xdr:rowOff>
    </xdr:from>
    <xdr:to>
      <xdr:col>16</xdr:col>
      <xdr:colOff>488951</xdr:colOff>
      <xdr:row>107</xdr:row>
      <xdr:rowOff>44450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842"/>
  <sheetViews>
    <sheetView tabSelected="1" workbookViewId="0">
      <selection activeCell="L6" sqref="L6"/>
    </sheetView>
  </sheetViews>
  <sheetFormatPr defaultColWidth="14.453125" defaultRowHeight="15.75" customHeight="1" x14ac:dyDescent="0.25"/>
  <cols>
    <col min="1" max="1" width="10.81640625" customWidth="1"/>
    <col min="3" max="5" width="10.08984375" customWidth="1"/>
    <col min="6" max="23" width="8.54296875" customWidth="1"/>
  </cols>
  <sheetData>
    <row r="1" spans="1:25" ht="15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25" ht="15.7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25" ht="15.75" customHeight="1" x14ac:dyDescent="0.25">
      <c r="B3" s="2"/>
      <c r="C3" s="2"/>
      <c r="D3" s="2"/>
      <c r="E3" s="2"/>
      <c r="F3" s="2"/>
      <c r="G3" s="2"/>
      <c r="H3" s="2"/>
      <c r="I3" s="2"/>
      <c r="J3" s="2"/>
    </row>
    <row r="4" spans="1:25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25" ht="15.75" customHeight="1" x14ac:dyDescent="0.25">
      <c r="A5" s="4"/>
      <c r="B5" s="2"/>
      <c r="C5" s="2"/>
      <c r="D5" s="2"/>
      <c r="E5" s="2"/>
      <c r="F5" s="2"/>
      <c r="G5" s="2"/>
      <c r="H5" s="2"/>
      <c r="I5" s="2"/>
      <c r="J5" s="2"/>
    </row>
    <row r="6" spans="1:25" ht="15.75" customHeight="1" x14ac:dyDescent="0.25">
      <c r="A6" s="4" t="s">
        <v>2</v>
      </c>
      <c r="B6" s="2"/>
      <c r="C6" s="2"/>
      <c r="D6" s="2"/>
      <c r="E6" s="2"/>
      <c r="F6" s="2"/>
      <c r="G6" s="2"/>
      <c r="H6" s="2"/>
      <c r="I6" s="2"/>
      <c r="J6" s="2"/>
    </row>
    <row r="7" spans="1:25" ht="15.75" customHeight="1" x14ac:dyDescent="0.25">
      <c r="A7" s="5" t="s">
        <v>3</v>
      </c>
      <c r="B7" s="2"/>
      <c r="C7" s="2"/>
      <c r="D7" s="2"/>
      <c r="E7" s="6" t="s">
        <v>4</v>
      </c>
      <c r="F7" s="2"/>
      <c r="G7" s="2"/>
      <c r="H7" s="2"/>
      <c r="I7" s="2"/>
      <c r="J7" s="2"/>
    </row>
    <row r="8" spans="1:25" ht="15.75" customHeight="1" x14ac:dyDescent="0.25">
      <c r="A8" s="32" t="s">
        <v>5</v>
      </c>
      <c r="B8" s="32" t="s">
        <v>6</v>
      </c>
      <c r="C8" s="32" t="s">
        <v>7</v>
      </c>
      <c r="D8" s="32" t="s">
        <v>8</v>
      </c>
      <c r="E8" s="32" t="s">
        <v>9</v>
      </c>
      <c r="F8" s="34" t="s">
        <v>10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6"/>
      <c r="X8" s="32" t="s">
        <v>11</v>
      </c>
      <c r="Y8" s="32" t="s">
        <v>12</v>
      </c>
    </row>
    <row r="9" spans="1:25" ht="15.75" customHeight="1" x14ac:dyDescent="0.25">
      <c r="A9" s="33"/>
      <c r="B9" s="33"/>
      <c r="C9" s="33"/>
      <c r="D9" s="33"/>
      <c r="E9" s="33"/>
      <c r="F9" s="7">
        <v>1</v>
      </c>
      <c r="G9" s="7">
        <v>2</v>
      </c>
      <c r="H9" s="7">
        <v>3</v>
      </c>
      <c r="I9" s="7">
        <v>4</v>
      </c>
      <c r="J9" s="7">
        <v>5</v>
      </c>
      <c r="K9" s="7">
        <v>6</v>
      </c>
      <c r="L9" s="7">
        <v>7</v>
      </c>
      <c r="M9" s="7">
        <v>8</v>
      </c>
      <c r="N9" s="7">
        <v>9</v>
      </c>
      <c r="O9" s="7">
        <v>10</v>
      </c>
      <c r="P9" s="7">
        <v>11</v>
      </c>
      <c r="Q9" s="7">
        <v>12</v>
      </c>
      <c r="R9" s="7">
        <v>13</v>
      </c>
      <c r="S9" s="7">
        <v>14</v>
      </c>
      <c r="T9" s="7">
        <v>15</v>
      </c>
      <c r="U9" s="7">
        <v>16</v>
      </c>
      <c r="V9" s="7">
        <v>17</v>
      </c>
      <c r="W9" s="7">
        <v>18</v>
      </c>
      <c r="X9" s="33"/>
      <c r="Y9" s="33"/>
    </row>
    <row r="10" spans="1:25" ht="15.75" customHeight="1" x14ac:dyDescent="0.25">
      <c r="A10" s="8" t="s">
        <v>13</v>
      </c>
      <c r="B10" s="8" t="s">
        <v>14</v>
      </c>
      <c r="C10" s="8" t="s">
        <v>15</v>
      </c>
      <c r="D10" s="8" t="s">
        <v>16</v>
      </c>
      <c r="E10" s="8" t="s">
        <v>17</v>
      </c>
      <c r="F10" s="8">
        <f ca="1">FAST_ORB!C2</f>
        <v>8.0561799999999995</v>
      </c>
      <c r="G10" s="8">
        <f ca="1">FAST_ORB!C5</f>
        <v>13.913600000000001</v>
      </c>
      <c r="H10" s="8">
        <f ca="1">FAST_ORB!C8</f>
        <v>44.5655</v>
      </c>
      <c r="I10" s="8">
        <f ca="1">FAST_ORB!C11</f>
        <v>14.632999999999999</v>
      </c>
      <c r="J10" s="8">
        <f ca="1">FAST_ORB!C14</f>
        <v>17.817799999999998</v>
      </c>
      <c r="K10" s="8">
        <f ca="1">FAST_ORB!C17</f>
        <v>13.881399999999999</v>
      </c>
      <c r="L10" s="8">
        <f ca="1">FAST_ORB!C20</f>
        <v>22.909099999999999</v>
      </c>
      <c r="M10" s="8">
        <f ca="1">FAST_ORB!C23</f>
        <v>7.4192900000000002</v>
      </c>
      <c r="N10" s="8">
        <f ca="1">FAST_ORB!C26</f>
        <v>7.4619</v>
      </c>
      <c r="O10" s="8">
        <f ca="1">FAST_ORB!C29</f>
        <v>15.824199999999999</v>
      </c>
      <c r="P10" s="8">
        <f ca="1">FAST_ORB!C32</f>
        <v>8.6819900000000008</v>
      </c>
      <c r="Q10" s="8">
        <f ca="1">FAST_ORB!C35</f>
        <v>10.94</v>
      </c>
      <c r="R10" s="8">
        <f ca="1">FAST_ORB!C38</f>
        <v>6.3785299999999996</v>
      </c>
      <c r="S10" s="8">
        <f ca="1">FAST_ORB!C41</f>
        <v>17.926400000000001</v>
      </c>
      <c r="T10" s="8">
        <f ca="1">FAST_ORB!C44</f>
        <v>13.714</v>
      </c>
      <c r="U10" s="8">
        <f ca="1">FAST_ORB!C47</f>
        <v>6.1513999999999998</v>
      </c>
      <c r="V10" s="8">
        <f ca="1">FAST_ORB!C50</f>
        <v>5.3040799999999999</v>
      </c>
      <c r="W10" s="8">
        <f ca="1">FAST_ORB!C56</f>
        <v>50</v>
      </c>
      <c r="X10" s="9">
        <f ca="1">AVERAGE(F10:W10)</f>
        <v>15.865464999999997</v>
      </c>
      <c r="Y10" s="9">
        <f ca="1">STDEV(F10:W10)</f>
        <v>12.45022841335912</v>
      </c>
    </row>
    <row r="11" spans="1:25" ht="15.7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25">
      <c r="A12" s="5" t="s">
        <v>18</v>
      </c>
      <c r="B12" s="2"/>
      <c r="C12" s="2"/>
      <c r="D12" s="2"/>
      <c r="E12" s="6" t="s">
        <v>4</v>
      </c>
      <c r="F12" s="2"/>
      <c r="G12" s="2"/>
      <c r="H12" s="2"/>
      <c r="I12" s="2"/>
      <c r="J12" s="2"/>
    </row>
    <row r="13" spans="1:25" ht="15.75" customHeight="1" x14ac:dyDescent="0.25">
      <c r="A13" s="32" t="s">
        <v>5</v>
      </c>
      <c r="B13" s="32" t="s">
        <v>6</v>
      </c>
      <c r="C13" s="32" t="s">
        <v>7</v>
      </c>
      <c r="D13" s="32" t="s">
        <v>8</v>
      </c>
      <c r="E13" s="32" t="s">
        <v>9</v>
      </c>
      <c r="F13" s="34" t="s">
        <v>10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6"/>
      <c r="X13" s="32" t="s">
        <v>11</v>
      </c>
      <c r="Y13" s="32" t="s">
        <v>12</v>
      </c>
    </row>
    <row r="14" spans="1:25" ht="15.75" customHeight="1" x14ac:dyDescent="0.25">
      <c r="A14" s="33"/>
      <c r="B14" s="33"/>
      <c r="C14" s="33"/>
      <c r="D14" s="33"/>
      <c r="E14" s="33"/>
      <c r="F14" s="7">
        <v>1</v>
      </c>
      <c r="G14" s="7">
        <v>2</v>
      </c>
      <c r="H14" s="7">
        <v>3</v>
      </c>
      <c r="I14" s="7">
        <v>4</v>
      </c>
      <c r="J14" s="7">
        <v>5</v>
      </c>
      <c r="K14" s="7">
        <v>6</v>
      </c>
      <c r="L14" s="7">
        <v>7</v>
      </c>
      <c r="M14" s="7">
        <v>8</v>
      </c>
      <c r="N14" s="7">
        <v>9</v>
      </c>
      <c r="O14" s="7">
        <v>10</v>
      </c>
      <c r="P14" s="7">
        <v>11</v>
      </c>
      <c r="Q14" s="7">
        <v>12</v>
      </c>
      <c r="R14" s="7">
        <v>13</v>
      </c>
      <c r="S14" s="7">
        <v>14</v>
      </c>
      <c r="T14" s="7">
        <v>15</v>
      </c>
      <c r="U14" s="7">
        <v>16</v>
      </c>
      <c r="V14" s="7">
        <v>17</v>
      </c>
      <c r="W14" s="7">
        <v>18</v>
      </c>
      <c r="X14" s="33"/>
      <c r="Y14" s="33"/>
    </row>
    <row r="15" spans="1:25" ht="15.75" customHeight="1" x14ac:dyDescent="0.25">
      <c r="A15" s="8" t="s">
        <v>13</v>
      </c>
      <c r="B15" s="8" t="s">
        <v>14</v>
      </c>
      <c r="C15" s="8" t="s">
        <v>15</v>
      </c>
      <c r="D15" s="8" t="s">
        <v>16</v>
      </c>
      <c r="E15" s="8" t="s">
        <v>17</v>
      </c>
      <c r="F15" s="8">
        <f ca="1">FAST_ORB!C3</f>
        <v>12.380599999999999</v>
      </c>
      <c r="G15" s="8">
        <f ca="1">FAST_ORB!C6</f>
        <v>11.162599999999999</v>
      </c>
      <c r="H15" s="8">
        <f ca="1">FAST_ORB!C9</f>
        <v>11.9712</v>
      </c>
      <c r="I15" s="8">
        <f ca="1">FAST_ORB!C12</f>
        <v>13.794</v>
      </c>
      <c r="J15" s="8">
        <f ca="1">FAST_ORB!C15</f>
        <v>28.759599999999999</v>
      </c>
      <c r="K15" s="8">
        <f ca="1">FAST_ORB!C18</f>
        <v>12.6793</v>
      </c>
      <c r="L15" s="8">
        <f ca="1">FAST_ORB!C21</f>
        <v>12.352</v>
      </c>
      <c r="M15" s="8">
        <f ca="1">FAST_ORB!C24</f>
        <v>11.344099999999999</v>
      </c>
      <c r="N15" s="8">
        <f ca="1">FAST_ORB!C27</f>
        <v>12.1119</v>
      </c>
      <c r="O15" s="8">
        <f ca="1">FAST_ORB!C30</f>
        <v>13.6608</v>
      </c>
      <c r="P15" s="8">
        <f ca="1">FAST_ORB!C33</f>
        <v>13.436400000000001</v>
      </c>
      <c r="Q15" s="8">
        <f ca="1">FAST_ORB!C36</f>
        <v>11.776999999999999</v>
      </c>
      <c r="R15" s="8">
        <f ca="1">FAST_ORB!C39</f>
        <v>12.300800000000001</v>
      </c>
      <c r="S15" s="8">
        <f ca="1">FAST_ORB!C42</f>
        <v>11.721299999999999</v>
      </c>
      <c r="T15" s="8">
        <f ca="1">FAST_ORB!C45</f>
        <v>11.3421</v>
      </c>
      <c r="U15" s="8">
        <f ca="1">FAST_ORB!C48</f>
        <v>11.7851</v>
      </c>
      <c r="V15" s="8">
        <f ca="1">FAST_ORB!C51</f>
        <v>9.4143100000000004</v>
      </c>
      <c r="W15" s="8">
        <f ca="1">FAST_ORB!C57</f>
        <v>11.8307</v>
      </c>
      <c r="X15" s="9">
        <f ca="1">AVERAGE(F15:W15)</f>
        <v>12.990211666666665</v>
      </c>
      <c r="Y15" s="9">
        <f ca="1">STDEV(F15:W15)</f>
        <v>4.0624618849951331</v>
      </c>
    </row>
    <row r="16" spans="1:25" ht="15.75" customHeight="1" x14ac:dyDescent="0.25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25">
      <c r="A17" s="11" t="s">
        <v>19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25">
      <c r="A18" s="12" t="s">
        <v>3</v>
      </c>
      <c r="B18" s="10"/>
      <c r="C18" s="10"/>
      <c r="D18" s="10"/>
      <c r="E18" s="6" t="s">
        <v>4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25">
      <c r="A19" s="37" t="s">
        <v>5</v>
      </c>
      <c r="B19" s="32" t="s">
        <v>6</v>
      </c>
      <c r="C19" s="32" t="s">
        <v>7</v>
      </c>
      <c r="D19" s="32" t="s">
        <v>8</v>
      </c>
      <c r="E19" s="32" t="s">
        <v>9</v>
      </c>
      <c r="F19" s="34" t="s">
        <v>10</v>
      </c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6"/>
      <c r="X19" s="32" t="s">
        <v>11</v>
      </c>
      <c r="Y19" s="32" t="s">
        <v>12</v>
      </c>
    </row>
    <row r="20" spans="1:25" ht="15.75" customHeight="1" x14ac:dyDescent="0.25">
      <c r="A20" s="33"/>
      <c r="B20" s="33"/>
      <c r="C20" s="33"/>
      <c r="D20" s="33"/>
      <c r="E20" s="33"/>
      <c r="F20" s="7">
        <v>1</v>
      </c>
      <c r="G20" s="7">
        <v>2</v>
      </c>
      <c r="H20" s="7">
        <v>3</v>
      </c>
      <c r="I20" s="7">
        <v>4</v>
      </c>
      <c r="J20" s="7">
        <v>5</v>
      </c>
      <c r="K20" s="7">
        <v>6</v>
      </c>
      <c r="L20" s="7">
        <v>7</v>
      </c>
      <c r="M20" s="7">
        <v>8</v>
      </c>
      <c r="N20" s="13">
        <v>9</v>
      </c>
      <c r="O20" s="13">
        <v>10</v>
      </c>
      <c r="P20" s="13">
        <v>11</v>
      </c>
      <c r="Q20" s="13">
        <v>12</v>
      </c>
      <c r="R20" s="13">
        <v>13</v>
      </c>
      <c r="S20" s="13">
        <v>14</v>
      </c>
      <c r="T20" s="13">
        <v>15</v>
      </c>
      <c r="U20" s="13">
        <v>16</v>
      </c>
      <c r="V20" s="13">
        <v>17</v>
      </c>
      <c r="W20" s="13">
        <v>18</v>
      </c>
      <c r="X20" s="33"/>
      <c r="Y20" s="33"/>
    </row>
    <row r="21" spans="1:25" ht="15.75" customHeight="1" x14ac:dyDescent="0.25">
      <c r="A21" s="14" t="s">
        <v>13</v>
      </c>
      <c r="B21" s="8" t="s">
        <v>20</v>
      </c>
      <c r="C21" s="8" t="s">
        <v>15</v>
      </c>
      <c r="D21" s="8" t="s">
        <v>16</v>
      </c>
      <c r="E21" s="8" t="s">
        <v>17</v>
      </c>
      <c r="F21" s="8">
        <f ca="1">FAST_BRIEF!C2</f>
        <v>8.0561799999999995</v>
      </c>
      <c r="G21" s="8">
        <f ca="1">FAST_BRIEF!C5</f>
        <v>13.913600000000001</v>
      </c>
      <c r="H21" s="8">
        <f ca="1">FAST_BRIEF!C8</f>
        <v>44.5655</v>
      </c>
      <c r="I21" s="8">
        <f ca="1">FAST_BRIEF!C11</f>
        <v>14.632999999999999</v>
      </c>
      <c r="J21" s="8">
        <f ca="1">FAST_BRIEF!C14</f>
        <v>17.817799999999998</v>
      </c>
      <c r="K21" s="8">
        <f ca="1">FAST_BRIEF!C17</f>
        <v>13.881399999999999</v>
      </c>
      <c r="L21" s="8">
        <f ca="1">FAST_BRIEF!C20</f>
        <v>22.909099999999999</v>
      </c>
      <c r="M21" s="8">
        <f ca="1">FAST_BRIEF!C23</f>
        <v>7.4192900000000002</v>
      </c>
      <c r="N21" s="8">
        <f ca="1">FAST_BRIEF!C26</f>
        <v>7.4619</v>
      </c>
      <c r="O21" s="8">
        <f ca="1">FAST_BRIEF!C29</f>
        <v>15.824199999999999</v>
      </c>
      <c r="P21" s="8">
        <f ca="1">FAST_BRIEF!C32</f>
        <v>8.6819900000000008</v>
      </c>
      <c r="Q21" s="8">
        <f ca="1">FAST_BRIEF!C35</f>
        <v>10.94</v>
      </c>
      <c r="R21" s="8">
        <f ca="1">FAST_BRIEF!C38</f>
        <v>6.3785299999999996</v>
      </c>
      <c r="S21" s="8">
        <f ca="1">FAST_BRIEF!C41</f>
        <v>17.926400000000001</v>
      </c>
      <c r="T21" s="8">
        <f ca="1">FAST_BRIEF!C44</f>
        <v>13.714</v>
      </c>
      <c r="U21" s="8">
        <f ca="1">FAST_BRIEF!C47</f>
        <v>6.1513999999999998</v>
      </c>
      <c r="V21" s="8">
        <f ca="1">FAST_BRIEF!C50</f>
        <v>5.3040799999999999</v>
      </c>
      <c r="W21" s="8">
        <f ca="1">FAST_BRIEF!C56</f>
        <v>50</v>
      </c>
      <c r="X21" s="9">
        <f t="shared" ref="X21:X50" ca="1" si="0">AVERAGE(G21:W21)</f>
        <v>16.324834705882353</v>
      </c>
      <c r="Y21" s="9">
        <f t="shared" ref="Y21:Y50" ca="1" si="1">STDEV(G21:W21)</f>
        <v>12.675189611740088</v>
      </c>
    </row>
    <row r="22" spans="1:25" ht="15.75" customHeight="1" x14ac:dyDescent="0.25">
      <c r="A22" s="14" t="s">
        <v>13</v>
      </c>
      <c r="B22" s="8" t="s">
        <v>14</v>
      </c>
      <c r="C22" s="8" t="s">
        <v>15</v>
      </c>
      <c r="D22" s="8" t="s">
        <v>16</v>
      </c>
      <c r="E22" s="8" t="s">
        <v>17</v>
      </c>
      <c r="F22" s="8">
        <f ca="1">FAST_ORB!C2</f>
        <v>8.0561799999999995</v>
      </c>
      <c r="G22" s="8">
        <f ca="1">FAST_ORB!C5</f>
        <v>13.913600000000001</v>
      </c>
      <c r="H22" s="8">
        <f ca="1">FAST_ORB!C8</f>
        <v>44.5655</v>
      </c>
      <c r="I22" s="8">
        <f ca="1">FAST_ORB!C11</f>
        <v>14.632999999999999</v>
      </c>
      <c r="J22" s="8">
        <f ca="1">FAST_ORB!C14</f>
        <v>17.817799999999998</v>
      </c>
      <c r="K22" s="8">
        <f ca="1">FAST_ORB!C17</f>
        <v>13.881399999999999</v>
      </c>
      <c r="L22" s="8">
        <f ca="1">FAST_ORB!C20</f>
        <v>22.909099999999999</v>
      </c>
      <c r="M22" s="8">
        <f ca="1">FAST_ORB!C23</f>
        <v>7.4192900000000002</v>
      </c>
      <c r="N22" s="8">
        <f ca="1">FAST_ORB!C26</f>
        <v>7.4619</v>
      </c>
      <c r="O22" s="8">
        <f ca="1">FAST_ORB!C29</f>
        <v>15.824199999999999</v>
      </c>
      <c r="P22" s="8">
        <f ca="1">FAST_ORB!C32</f>
        <v>8.6819900000000008</v>
      </c>
      <c r="Q22" s="8">
        <f ca="1">FAST_ORB!C35</f>
        <v>10.94</v>
      </c>
      <c r="R22" s="8">
        <f ca="1">FAST_ORB!C38</f>
        <v>6.3785299999999996</v>
      </c>
      <c r="S22" s="8">
        <f ca="1">FAST_ORB!C41</f>
        <v>17.926400000000001</v>
      </c>
      <c r="T22" s="8">
        <f ca="1">FAST_ORB!C44</f>
        <v>13.714</v>
      </c>
      <c r="U22" s="8">
        <f ca="1">FAST_ORB!C47</f>
        <v>6.1513999999999998</v>
      </c>
      <c r="V22" s="8">
        <f ca="1">FAST_ORB!C50</f>
        <v>5.3040799999999999</v>
      </c>
      <c r="W22" s="8">
        <f ca="1">FAST_ORB!C56</f>
        <v>50</v>
      </c>
      <c r="X22" s="9">
        <f t="shared" ca="1" si="0"/>
        <v>16.324834705882353</v>
      </c>
      <c r="Y22" s="9">
        <f t="shared" ca="1" si="1"/>
        <v>12.675189611740088</v>
      </c>
    </row>
    <row r="23" spans="1:25" ht="15.75" customHeight="1" x14ac:dyDescent="0.25">
      <c r="A23" s="14" t="s">
        <v>13</v>
      </c>
      <c r="B23" s="8" t="s">
        <v>21</v>
      </c>
      <c r="C23" s="8" t="s">
        <v>15</v>
      </c>
      <c r="D23" s="8" t="s">
        <v>16</v>
      </c>
      <c r="E23" s="8" t="s">
        <v>17</v>
      </c>
      <c r="F23" s="8">
        <f ca="1">FAST_FREAK!C2</f>
        <v>8.0561799999999995</v>
      </c>
      <c r="G23" s="8">
        <f ca="1">FAST_FREAK!C5</f>
        <v>13.913600000000001</v>
      </c>
      <c r="H23" s="8">
        <f ca="1">FAST_FREAK!C8</f>
        <v>44.5655</v>
      </c>
      <c r="I23" s="8">
        <f ca="1">FAST_FREAK!C11</f>
        <v>14.632999999999999</v>
      </c>
      <c r="J23" s="8">
        <f ca="1">FAST_FREAK!C14</f>
        <v>17.817799999999998</v>
      </c>
      <c r="K23" s="8">
        <f ca="1">FAST_FREAK!C17</f>
        <v>13.881399999999999</v>
      </c>
      <c r="L23" s="8">
        <f ca="1">FAST_FREAK!C20</f>
        <v>22.909099999999999</v>
      </c>
      <c r="M23" s="8">
        <f ca="1">FAST_FREAK!C23</f>
        <v>7.4192900000000002</v>
      </c>
      <c r="N23" s="8">
        <f ca="1">FAST_FREAK!C26</f>
        <v>7.4619</v>
      </c>
      <c r="O23" s="8">
        <f ca="1">FAST_FREAK!C29</f>
        <v>15.824199999999999</v>
      </c>
      <c r="P23" s="8">
        <f ca="1">FAST_FREAK!C32</f>
        <v>8.6819900000000008</v>
      </c>
      <c r="Q23" s="8">
        <f ca="1">FAST_FREAK!C35</f>
        <v>10.94</v>
      </c>
      <c r="R23" s="8">
        <f ca="1">FAST_FREAK!C38</f>
        <v>6.3785299999999996</v>
      </c>
      <c r="S23" s="8">
        <f ca="1">FAST_FREAK!C41</f>
        <v>17.926400000000001</v>
      </c>
      <c r="T23" s="8">
        <f ca="1">FAST_FREAK!C44</f>
        <v>13.714</v>
      </c>
      <c r="U23" s="8">
        <f ca="1">FAST_FREAK!C47</f>
        <v>6.1513999999999998</v>
      </c>
      <c r="V23" s="8">
        <f ca="1">FAST_FREAK!C50</f>
        <v>5.3040799999999999</v>
      </c>
      <c r="W23" s="8">
        <f ca="1">FAST_FREAK!C56</f>
        <v>50</v>
      </c>
      <c r="X23" s="9">
        <f t="shared" ca="1" si="0"/>
        <v>16.324834705882353</v>
      </c>
      <c r="Y23" s="9">
        <f t="shared" ca="1" si="1"/>
        <v>12.675189611740088</v>
      </c>
    </row>
    <row r="24" spans="1:25" ht="15.75" customHeight="1" x14ac:dyDescent="0.25">
      <c r="A24" s="15" t="s">
        <v>13</v>
      </c>
      <c r="B24" s="16" t="s">
        <v>22</v>
      </c>
      <c r="C24" s="16" t="s">
        <v>15</v>
      </c>
      <c r="D24" s="16" t="s">
        <v>16</v>
      </c>
      <c r="E24" s="16" t="s">
        <v>17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7" t="e">
        <f t="shared" si="0"/>
        <v>#DIV/0!</v>
      </c>
      <c r="Y24" s="17" t="e">
        <f t="shared" si="1"/>
        <v>#DIV/0!</v>
      </c>
    </row>
    <row r="25" spans="1:25" ht="15.75" customHeight="1" x14ac:dyDescent="0.25">
      <c r="A25" s="15" t="s">
        <v>13</v>
      </c>
      <c r="B25" s="16" t="s">
        <v>23</v>
      </c>
      <c r="C25" s="16" t="s">
        <v>15</v>
      </c>
      <c r="D25" s="16" t="s">
        <v>16</v>
      </c>
      <c r="E25" s="16" t="s">
        <v>17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7" t="e">
        <f t="shared" si="0"/>
        <v>#DIV/0!</v>
      </c>
      <c r="Y25" s="17" t="e">
        <f t="shared" si="1"/>
        <v>#DIV/0!</v>
      </c>
    </row>
    <row r="26" spans="1:25" ht="15.75" customHeight="1" x14ac:dyDescent="0.25">
      <c r="A26" s="15" t="s">
        <v>13</v>
      </c>
      <c r="B26" s="16" t="s">
        <v>24</v>
      </c>
      <c r="C26" s="16" t="s">
        <v>15</v>
      </c>
      <c r="D26" s="16" t="s">
        <v>16</v>
      </c>
      <c r="E26" s="16" t="s">
        <v>17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7" t="e">
        <f t="shared" si="0"/>
        <v>#DIV/0!</v>
      </c>
      <c r="Y26" s="17" t="e">
        <f t="shared" si="1"/>
        <v>#DIV/0!</v>
      </c>
    </row>
    <row r="27" spans="1:25" ht="15.75" customHeight="1" x14ac:dyDescent="0.25">
      <c r="A27" s="15" t="s">
        <v>24</v>
      </c>
      <c r="B27" s="16" t="s">
        <v>20</v>
      </c>
      <c r="C27" s="16" t="s">
        <v>15</v>
      </c>
      <c r="D27" s="16" t="s">
        <v>16</v>
      </c>
      <c r="E27" s="16" t="s">
        <v>17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7" t="e">
        <f t="shared" si="0"/>
        <v>#DIV/0!</v>
      </c>
      <c r="Y27" s="17" t="e">
        <f t="shared" si="1"/>
        <v>#DIV/0!</v>
      </c>
    </row>
    <row r="28" spans="1:25" ht="15.75" customHeight="1" x14ac:dyDescent="0.25">
      <c r="A28" s="15" t="s">
        <v>24</v>
      </c>
      <c r="B28" s="16" t="s">
        <v>14</v>
      </c>
      <c r="C28" s="16" t="s">
        <v>15</v>
      </c>
      <c r="D28" s="16" t="s">
        <v>16</v>
      </c>
      <c r="E28" s="16" t="s">
        <v>17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7" t="e">
        <f t="shared" si="0"/>
        <v>#DIV/0!</v>
      </c>
      <c r="Y28" s="17" t="e">
        <f t="shared" si="1"/>
        <v>#DIV/0!</v>
      </c>
    </row>
    <row r="29" spans="1:25" ht="15.75" customHeight="1" x14ac:dyDescent="0.25">
      <c r="A29" s="15" t="s">
        <v>24</v>
      </c>
      <c r="B29" s="16" t="s">
        <v>21</v>
      </c>
      <c r="C29" s="16" t="s">
        <v>15</v>
      </c>
      <c r="D29" s="16" t="s">
        <v>16</v>
      </c>
      <c r="E29" s="16" t="s">
        <v>17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7" t="e">
        <f t="shared" si="0"/>
        <v>#DIV/0!</v>
      </c>
      <c r="Y29" s="17" t="e">
        <f t="shared" si="1"/>
        <v>#DIV/0!</v>
      </c>
    </row>
    <row r="30" spans="1:25" ht="15.75" customHeight="1" x14ac:dyDescent="0.25">
      <c r="A30" s="15" t="s">
        <v>24</v>
      </c>
      <c r="B30" s="16" t="s">
        <v>22</v>
      </c>
      <c r="C30" s="16" t="s">
        <v>15</v>
      </c>
      <c r="D30" s="16" t="s">
        <v>16</v>
      </c>
      <c r="E30" s="16" t="s">
        <v>17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7" t="e">
        <f t="shared" si="0"/>
        <v>#DIV/0!</v>
      </c>
      <c r="Y30" s="17" t="e">
        <f t="shared" si="1"/>
        <v>#DIV/0!</v>
      </c>
    </row>
    <row r="31" spans="1:25" ht="15.75" customHeight="1" x14ac:dyDescent="0.25">
      <c r="A31" s="15" t="s">
        <v>24</v>
      </c>
      <c r="B31" s="16" t="s">
        <v>23</v>
      </c>
      <c r="C31" s="16" t="s">
        <v>15</v>
      </c>
      <c r="D31" s="16" t="s">
        <v>16</v>
      </c>
      <c r="E31" s="16" t="s">
        <v>17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7" t="e">
        <f t="shared" si="0"/>
        <v>#DIV/0!</v>
      </c>
      <c r="Y31" s="17" t="e">
        <f t="shared" si="1"/>
        <v>#DIV/0!</v>
      </c>
    </row>
    <row r="32" spans="1:25" ht="15.75" customHeight="1" x14ac:dyDescent="0.25">
      <c r="A32" s="15" t="s">
        <v>24</v>
      </c>
      <c r="B32" s="16" t="s">
        <v>24</v>
      </c>
      <c r="C32" s="16" t="s">
        <v>15</v>
      </c>
      <c r="D32" s="16" t="s">
        <v>16</v>
      </c>
      <c r="E32" s="16" t="s">
        <v>17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7" t="e">
        <f t="shared" si="0"/>
        <v>#DIV/0!</v>
      </c>
      <c r="Y32" s="17" t="e">
        <f t="shared" si="1"/>
        <v>#DIV/0!</v>
      </c>
    </row>
    <row r="33" spans="1:25" ht="15.75" customHeight="1" x14ac:dyDescent="0.25">
      <c r="A33" s="14" t="s">
        <v>14</v>
      </c>
      <c r="B33" s="8" t="s">
        <v>20</v>
      </c>
      <c r="C33" s="8" t="s">
        <v>15</v>
      </c>
      <c r="D33" s="8" t="s">
        <v>16</v>
      </c>
      <c r="E33" s="8" t="s">
        <v>17</v>
      </c>
      <c r="F33" s="8">
        <f ca="1">ORB_BRIEF!C2</f>
        <v>8.0561799999999995</v>
      </c>
      <c r="G33" s="8">
        <f ca="1">ORB_BRIEF!C5</f>
        <v>13.913600000000001</v>
      </c>
      <c r="H33" s="8">
        <f ca="1">ORB_BRIEF!C8</f>
        <v>44.5655</v>
      </c>
      <c r="I33" s="8">
        <f ca="1">ORB_BRIEF!C11</f>
        <v>14.632999999999999</v>
      </c>
      <c r="J33" s="8">
        <f ca="1">ORB_BRIEF!C14</f>
        <v>17.817799999999998</v>
      </c>
      <c r="K33" s="8">
        <f ca="1">ORB_BRIEF!C17</f>
        <v>13.881399999999999</v>
      </c>
      <c r="L33" s="8">
        <f ca="1">ORB_BRIEF!C20</f>
        <v>22.909099999999999</v>
      </c>
      <c r="M33" s="8">
        <f ca="1">ORB_BRIEF!C23</f>
        <v>7.4192900000000002</v>
      </c>
      <c r="N33" s="8">
        <f ca="1">ORB_BRIEF!C26</f>
        <v>7.4619</v>
      </c>
      <c r="O33" s="8">
        <f ca="1">ORB_BRIEF!C29</f>
        <v>15.824199999999999</v>
      </c>
      <c r="P33" s="8">
        <f ca="1">ORB_BRIEF!C32</f>
        <v>8.6819900000000008</v>
      </c>
      <c r="Q33" s="8">
        <f ca="1">ORB_BRIEF!C35</f>
        <v>10.94</v>
      </c>
      <c r="R33" s="8">
        <f ca="1">ORB_BRIEF!C38</f>
        <v>6.3785299999999996</v>
      </c>
      <c r="S33" s="8">
        <f ca="1">ORB_BRIEF!C41</f>
        <v>17.926400000000001</v>
      </c>
      <c r="T33" s="8">
        <f ca="1">ORB_BRIEF!C44</f>
        <v>13.714</v>
      </c>
      <c r="U33" s="8">
        <f ca="1">ORB_BRIEF!C47</f>
        <v>6.1513999999999998</v>
      </c>
      <c r="V33" s="8">
        <f ca="1">ORB_BRIEF!C50</f>
        <v>5.3040799999999999</v>
      </c>
      <c r="W33" s="8">
        <f ca="1">ORB_BRIEF!C53</f>
        <v>50</v>
      </c>
      <c r="X33" s="9">
        <f t="shared" ca="1" si="0"/>
        <v>16.324834705882353</v>
      </c>
      <c r="Y33" s="9">
        <f t="shared" ca="1" si="1"/>
        <v>12.675189611740088</v>
      </c>
    </row>
    <row r="34" spans="1:25" ht="15.75" customHeight="1" x14ac:dyDescent="0.25">
      <c r="A34" s="14" t="s">
        <v>14</v>
      </c>
      <c r="B34" s="8" t="s">
        <v>14</v>
      </c>
      <c r="C34" s="8" t="s">
        <v>15</v>
      </c>
      <c r="D34" s="8" t="s">
        <v>16</v>
      </c>
      <c r="E34" s="8" t="s">
        <v>17</v>
      </c>
      <c r="F34" s="8">
        <f ca="1">ORB_ORB!C2</f>
        <v>8.0561799999999995</v>
      </c>
      <c r="G34" s="8">
        <f ca="1">ORB_ORB!C5</f>
        <v>13.913600000000001</v>
      </c>
      <c r="H34" s="8">
        <f ca="1">ORB_ORB!C8</f>
        <v>44.5655</v>
      </c>
      <c r="I34" s="8">
        <f ca="1">ORB_ORB!C11</f>
        <v>14.632999999999999</v>
      </c>
      <c r="J34" s="8">
        <f ca="1">ORB_ORB!C14</f>
        <v>17.817799999999998</v>
      </c>
      <c r="K34" s="8">
        <f ca="1">ORB_ORB!C17</f>
        <v>13.881399999999999</v>
      </c>
      <c r="L34" s="8">
        <f ca="1">ORB_ORB!C20</f>
        <v>22.909099999999999</v>
      </c>
      <c r="M34" s="8">
        <f ca="1">ORB_ORB!C23</f>
        <v>7.4192900000000002</v>
      </c>
      <c r="N34" s="8">
        <f ca="1">ORB_ORB!C26</f>
        <v>7.4619</v>
      </c>
      <c r="O34" s="8">
        <f ca="1">ORB_ORB!C29</f>
        <v>15.824199999999999</v>
      </c>
      <c r="P34" s="8">
        <f ca="1">ORB_ORB!C32</f>
        <v>8.6819900000000008</v>
      </c>
      <c r="Q34" s="8">
        <f ca="1">ORB_ORB!C35</f>
        <v>10.94</v>
      </c>
      <c r="R34" s="8">
        <f ca="1">ORB_ORB!C38</f>
        <v>6.3785299999999996</v>
      </c>
      <c r="S34" s="8">
        <f ca="1">ORB_ORB!C41</f>
        <v>17.926400000000001</v>
      </c>
      <c r="T34" s="8">
        <f ca="1">ORB_ORB!C44</f>
        <v>13.714</v>
      </c>
      <c r="U34" s="8">
        <f ca="1">ORB_ORB!C47</f>
        <v>6.1513999999999998</v>
      </c>
      <c r="V34" s="8">
        <f ca="1">ORB_ORB!C50</f>
        <v>5.3040799999999999</v>
      </c>
      <c r="W34" s="8">
        <f ca="1">ORB_ORB!C56</f>
        <v>50</v>
      </c>
      <c r="X34" s="9">
        <f t="shared" ca="1" si="0"/>
        <v>16.324834705882353</v>
      </c>
      <c r="Y34" s="9">
        <f t="shared" ca="1" si="1"/>
        <v>12.675189611740088</v>
      </c>
    </row>
    <row r="35" spans="1:25" ht="15.75" customHeight="1" x14ac:dyDescent="0.25">
      <c r="A35" s="14" t="s">
        <v>14</v>
      </c>
      <c r="B35" s="8" t="s">
        <v>21</v>
      </c>
      <c r="C35" s="8" t="s">
        <v>15</v>
      </c>
      <c r="D35" s="8" t="s">
        <v>16</v>
      </c>
      <c r="E35" s="8" t="s">
        <v>17</v>
      </c>
      <c r="F35" s="8">
        <f ca="1">ORB_FREAK!C2</f>
        <v>8.0561799999999995</v>
      </c>
      <c r="G35" s="8">
        <f ca="1">ORB_FREAK!C5</f>
        <v>13.913600000000001</v>
      </c>
      <c r="H35" s="8">
        <f ca="1">ORB_FREAK!C8</f>
        <v>44.5655</v>
      </c>
      <c r="I35" s="8">
        <f ca="1">ORB_FREAK!C11</f>
        <v>14.632999999999999</v>
      </c>
      <c r="J35" s="8">
        <f ca="1">ORB_FREAK!C14</f>
        <v>17.817799999999998</v>
      </c>
      <c r="K35" s="8">
        <f ca="1">ORB_FREAK!C17</f>
        <v>13.881399999999999</v>
      </c>
      <c r="L35" s="8">
        <f ca="1">ORB_FREAK!C20</f>
        <v>22.909099999999999</v>
      </c>
      <c r="M35" s="8">
        <f ca="1">ORB_FREAK!C23</f>
        <v>7.4192900000000002</v>
      </c>
      <c r="N35" s="8">
        <f ca="1">ORB_FREAK!C26</f>
        <v>7.4619</v>
      </c>
      <c r="O35" s="8">
        <f ca="1">ORB_FREAK!C29</f>
        <v>15.824199999999999</v>
      </c>
      <c r="P35" s="8">
        <f ca="1">ORB_FREAK!C32</f>
        <v>8.6819900000000008</v>
      </c>
      <c r="Q35" s="8">
        <f ca="1">ORB_FREAK!C35</f>
        <v>10.94</v>
      </c>
      <c r="R35" s="8">
        <f ca="1">ORB_FREAK!C38</f>
        <v>6.3785299999999996</v>
      </c>
      <c r="S35" s="8">
        <f ca="1">ORB_FREAK!C41</f>
        <v>17.926400000000001</v>
      </c>
      <c r="T35" s="8">
        <f ca="1">ORB_FREAK!C44</f>
        <v>13.714</v>
      </c>
      <c r="U35" s="8">
        <f ca="1">ORB_FREAK!C47</f>
        <v>6.1513999999999998</v>
      </c>
      <c r="V35" s="8">
        <f ca="1">ORB_FREAK!C50</f>
        <v>5.3040799999999999</v>
      </c>
      <c r="W35" s="8">
        <f ca="1">ORB_FREAK!C56</f>
        <v>50</v>
      </c>
      <c r="X35" s="9">
        <f t="shared" ca="1" si="0"/>
        <v>16.324834705882353</v>
      </c>
      <c r="Y35" s="9">
        <f t="shared" ca="1" si="1"/>
        <v>12.675189611740088</v>
      </c>
    </row>
    <row r="36" spans="1:25" ht="15.75" customHeight="1" x14ac:dyDescent="0.25">
      <c r="A36" s="15" t="s">
        <v>14</v>
      </c>
      <c r="B36" s="16" t="s">
        <v>22</v>
      </c>
      <c r="C36" s="16" t="s">
        <v>15</v>
      </c>
      <c r="D36" s="16" t="s">
        <v>16</v>
      </c>
      <c r="E36" s="16" t="s">
        <v>17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7" t="e">
        <f t="shared" si="0"/>
        <v>#DIV/0!</v>
      </c>
      <c r="Y36" s="17" t="e">
        <f t="shared" si="1"/>
        <v>#DIV/0!</v>
      </c>
    </row>
    <row r="37" spans="1:25" ht="15.75" customHeight="1" x14ac:dyDescent="0.25">
      <c r="A37" s="15" t="s">
        <v>14</v>
      </c>
      <c r="B37" s="16" t="s">
        <v>23</v>
      </c>
      <c r="C37" s="16" t="s">
        <v>15</v>
      </c>
      <c r="D37" s="16" t="s">
        <v>16</v>
      </c>
      <c r="E37" s="16" t="s">
        <v>17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7" t="e">
        <f t="shared" si="0"/>
        <v>#DIV/0!</v>
      </c>
      <c r="Y37" s="17" t="e">
        <f t="shared" si="1"/>
        <v>#DIV/0!</v>
      </c>
    </row>
    <row r="38" spans="1:25" ht="15.75" customHeight="1" x14ac:dyDescent="0.25">
      <c r="A38" s="15" t="s">
        <v>14</v>
      </c>
      <c r="B38" s="16" t="s">
        <v>24</v>
      </c>
      <c r="C38" s="16" t="s">
        <v>15</v>
      </c>
      <c r="D38" s="16" t="s">
        <v>16</v>
      </c>
      <c r="E38" s="16" t="s">
        <v>17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7" t="e">
        <f t="shared" si="0"/>
        <v>#DIV/0!</v>
      </c>
      <c r="Y38" s="17" t="e">
        <f t="shared" si="1"/>
        <v>#DIV/0!</v>
      </c>
    </row>
    <row r="39" spans="1:25" ht="15.75" customHeight="1" x14ac:dyDescent="0.25">
      <c r="A39" s="15" t="s">
        <v>22</v>
      </c>
      <c r="B39" s="16" t="s">
        <v>20</v>
      </c>
      <c r="C39" s="16" t="s">
        <v>15</v>
      </c>
      <c r="D39" s="16" t="s">
        <v>16</v>
      </c>
      <c r="E39" s="16" t="s">
        <v>17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7" t="e">
        <f t="shared" si="0"/>
        <v>#DIV/0!</v>
      </c>
      <c r="Y39" s="17" t="e">
        <f t="shared" si="1"/>
        <v>#DIV/0!</v>
      </c>
    </row>
    <row r="40" spans="1:25" ht="12.5" x14ac:dyDescent="0.25">
      <c r="A40" s="15" t="s">
        <v>22</v>
      </c>
      <c r="B40" s="16" t="s">
        <v>14</v>
      </c>
      <c r="C40" s="16" t="s">
        <v>15</v>
      </c>
      <c r="D40" s="16" t="s">
        <v>16</v>
      </c>
      <c r="E40" s="16" t="s">
        <v>17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7" t="e">
        <f t="shared" si="0"/>
        <v>#DIV/0!</v>
      </c>
      <c r="Y40" s="17" t="e">
        <f t="shared" si="1"/>
        <v>#DIV/0!</v>
      </c>
    </row>
    <row r="41" spans="1:25" ht="12.5" x14ac:dyDescent="0.25">
      <c r="A41" s="15" t="s">
        <v>22</v>
      </c>
      <c r="B41" s="16" t="s">
        <v>21</v>
      </c>
      <c r="C41" s="16" t="s">
        <v>15</v>
      </c>
      <c r="D41" s="16" t="s">
        <v>16</v>
      </c>
      <c r="E41" s="16" t="s">
        <v>17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7" t="e">
        <f t="shared" si="0"/>
        <v>#DIV/0!</v>
      </c>
      <c r="Y41" s="17" t="e">
        <f t="shared" si="1"/>
        <v>#DIV/0!</v>
      </c>
    </row>
    <row r="42" spans="1:25" ht="12.5" x14ac:dyDescent="0.25">
      <c r="A42" s="15" t="s">
        <v>22</v>
      </c>
      <c r="B42" s="16" t="s">
        <v>22</v>
      </c>
      <c r="C42" s="16" t="s">
        <v>15</v>
      </c>
      <c r="D42" s="16" t="s">
        <v>16</v>
      </c>
      <c r="E42" s="16" t="s">
        <v>17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7" t="e">
        <f t="shared" si="0"/>
        <v>#DIV/0!</v>
      </c>
      <c r="Y42" s="17" t="e">
        <f t="shared" si="1"/>
        <v>#DIV/0!</v>
      </c>
    </row>
    <row r="43" spans="1:25" ht="12.5" x14ac:dyDescent="0.25">
      <c r="A43" s="15" t="s">
        <v>22</v>
      </c>
      <c r="B43" s="16" t="s">
        <v>23</v>
      </c>
      <c r="C43" s="16" t="s">
        <v>15</v>
      </c>
      <c r="D43" s="16" t="s">
        <v>16</v>
      </c>
      <c r="E43" s="16" t="s">
        <v>17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7" t="e">
        <f t="shared" si="0"/>
        <v>#DIV/0!</v>
      </c>
      <c r="Y43" s="17" t="e">
        <f t="shared" si="1"/>
        <v>#DIV/0!</v>
      </c>
    </row>
    <row r="44" spans="1:25" ht="12.5" x14ac:dyDescent="0.25">
      <c r="A44" s="15" t="s">
        <v>22</v>
      </c>
      <c r="B44" s="16" t="s">
        <v>24</v>
      </c>
      <c r="C44" s="16" t="s">
        <v>15</v>
      </c>
      <c r="D44" s="16" t="s">
        <v>16</v>
      </c>
      <c r="E44" s="16" t="s">
        <v>17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7" t="e">
        <f t="shared" si="0"/>
        <v>#DIV/0!</v>
      </c>
      <c r="Y44" s="17" t="e">
        <f t="shared" si="1"/>
        <v>#DIV/0!</v>
      </c>
    </row>
    <row r="45" spans="1:25" ht="12.5" x14ac:dyDescent="0.25">
      <c r="A45" s="15" t="s">
        <v>23</v>
      </c>
      <c r="B45" s="16" t="s">
        <v>20</v>
      </c>
      <c r="C45" s="16" t="s">
        <v>15</v>
      </c>
      <c r="D45" s="16" t="s">
        <v>25</v>
      </c>
      <c r="E45" s="16" t="s">
        <v>17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 t="e">
        <f t="shared" si="0"/>
        <v>#DIV/0!</v>
      </c>
      <c r="Y45" s="17" t="e">
        <f t="shared" si="1"/>
        <v>#DIV/0!</v>
      </c>
    </row>
    <row r="46" spans="1:25" ht="12.5" x14ac:dyDescent="0.25">
      <c r="A46" s="15" t="s">
        <v>23</v>
      </c>
      <c r="B46" s="16" t="s">
        <v>14</v>
      </c>
      <c r="C46" s="16" t="s">
        <v>15</v>
      </c>
      <c r="D46" s="16" t="s">
        <v>25</v>
      </c>
      <c r="E46" s="16" t="s">
        <v>17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7" t="e">
        <f t="shared" si="0"/>
        <v>#DIV/0!</v>
      </c>
      <c r="Y46" s="17" t="e">
        <f t="shared" si="1"/>
        <v>#DIV/0!</v>
      </c>
    </row>
    <row r="47" spans="1:25" ht="12.5" x14ac:dyDescent="0.25">
      <c r="A47" s="15" t="s">
        <v>23</v>
      </c>
      <c r="B47" s="16" t="s">
        <v>21</v>
      </c>
      <c r="C47" s="16" t="s">
        <v>15</v>
      </c>
      <c r="D47" s="16" t="s">
        <v>25</v>
      </c>
      <c r="E47" s="16" t="s">
        <v>17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7" t="e">
        <f t="shared" si="0"/>
        <v>#DIV/0!</v>
      </c>
      <c r="Y47" s="17" t="e">
        <f t="shared" si="1"/>
        <v>#DIV/0!</v>
      </c>
    </row>
    <row r="48" spans="1:25" ht="12.5" x14ac:dyDescent="0.25">
      <c r="A48" s="15" t="s">
        <v>23</v>
      </c>
      <c r="B48" s="16" t="s">
        <v>22</v>
      </c>
      <c r="C48" s="16" t="s">
        <v>15</v>
      </c>
      <c r="D48" s="16" t="s">
        <v>25</v>
      </c>
      <c r="E48" s="16" t="s">
        <v>17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7" t="e">
        <f t="shared" si="0"/>
        <v>#DIV/0!</v>
      </c>
      <c r="Y48" s="17" t="e">
        <f t="shared" si="1"/>
        <v>#DIV/0!</v>
      </c>
    </row>
    <row r="49" spans="1:25" ht="12.5" x14ac:dyDescent="0.25">
      <c r="A49" s="15" t="s">
        <v>23</v>
      </c>
      <c r="B49" s="16" t="s">
        <v>23</v>
      </c>
      <c r="C49" s="16" t="s">
        <v>15</v>
      </c>
      <c r="D49" s="16" t="s">
        <v>25</v>
      </c>
      <c r="E49" s="16" t="s">
        <v>17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7" t="e">
        <f t="shared" si="0"/>
        <v>#DIV/0!</v>
      </c>
      <c r="Y49" s="17" t="e">
        <f t="shared" si="1"/>
        <v>#DIV/0!</v>
      </c>
    </row>
    <row r="50" spans="1:25" ht="12.5" x14ac:dyDescent="0.25">
      <c r="A50" s="15" t="s">
        <v>23</v>
      </c>
      <c r="B50" s="18" t="s">
        <v>24</v>
      </c>
      <c r="C50" s="18" t="s">
        <v>15</v>
      </c>
      <c r="D50" s="18" t="s">
        <v>25</v>
      </c>
      <c r="E50" s="18" t="s">
        <v>17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7" t="e">
        <f t="shared" si="0"/>
        <v>#DIV/0!</v>
      </c>
      <c r="Y50" s="17" t="e">
        <f t="shared" si="1"/>
        <v>#DIV/0!</v>
      </c>
    </row>
    <row r="51" spans="1:25" ht="13" x14ac:dyDescent="0.25">
      <c r="A51" s="1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3" x14ac:dyDescent="0.25">
      <c r="A52" s="12" t="s">
        <v>18</v>
      </c>
      <c r="B52" s="20"/>
      <c r="C52" s="20"/>
      <c r="D52" s="20"/>
      <c r="E52" s="21" t="s">
        <v>4</v>
      </c>
      <c r="F52" s="20"/>
      <c r="G52" s="20"/>
      <c r="H52" s="20"/>
      <c r="I52" s="20"/>
      <c r="J52" s="2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2.5" x14ac:dyDescent="0.25">
      <c r="A53" s="37" t="s">
        <v>5</v>
      </c>
      <c r="B53" s="32" t="s">
        <v>6</v>
      </c>
      <c r="C53" s="32" t="s">
        <v>7</v>
      </c>
      <c r="D53" s="32" t="s">
        <v>8</v>
      </c>
      <c r="E53" s="32" t="s">
        <v>9</v>
      </c>
      <c r="F53" s="34" t="s">
        <v>10</v>
      </c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6"/>
      <c r="X53" s="32" t="s">
        <v>11</v>
      </c>
      <c r="Y53" s="32" t="s">
        <v>12</v>
      </c>
    </row>
    <row r="54" spans="1:25" ht="12.5" x14ac:dyDescent="0.25">
      <c r="A54" s="33"/>
      <c r="B54" s="33"/>
      <c r="C54" s="33"/>
      <c r="D54" s="33"/>
      <c r="E54" s="33"/>
      <c r="F54" s="13">
        <v>1</v>
      </c>
      <c r="G54" s="13">
        <v>2</v>
      </c>
      <c r="H54" s="13">
        <v>3</v>
      </c>
      <c r="I54" s="13">
        <v>4</v>
      </c>
      <c r="J54" s="13">
        <v>5</v>
      </c>
      <c r="K54" s="13">
        <v>6</v>
      </c>
      <c r="L54" s="13">
        <v>7</v>
      </c>
      <c r="M54" s="13">
        <v>8</v>
      </c>
      <c r="N54" s="13">
        <v>9</v>
      </c>
      <c r="O54" s="13">
        <v>10</v>
      </c>
      <c r="P54" s="13">
        <v>11</v>
      </c>
      <c r="Q54" s="13">
        <v>12</v>
      </c>
      <c r="R54" s="13">
        <v>13</v>
      </c>
      <c r="S54" s="13">
        <v>14</v>
      </c>
      <c r="T54" s="13">
        <v>15</v>
      </c>
      <c r="U54" s="13">
        <v>16</v>
      </c>
      <c r="V54" s="13">
        <v>17</v>
      </c>
      <c r="W54" s="13">
        <v>18</v>
      </c>
      <c r="X54" s="33"/>
      <c r="Y54" s="33"/>
    </row>
    <row r="55" spans="1:25" ht="12.5" x14ac:dyDescent="0.25">
      <c r="A55" s="22" t="s">
        <v>13</v>
      </c>
      <c r="B55" s="23" t="s">
        <v>20</v>
      </c>
      <c r="C55" s="23" t="s">
        <v>15</v>
      </c>
      <c r="D55" s="23" t="s">
        <v>16</v>
      </c>
      <c r="E55" s="23" t="s">
        <v>17</v>
      </c>
      <c r="F55" s="8">
        <f ca="1">FAST_BRIEF!C3</f>
        <v>11.238799999999999</v>
      </c>
      <c r="G55" s="8">
        <f ca="1">FAST_BRIEF!C6</f>
        <v>11.078900000000001</v>
      </c>
      <c r="H55" s="8">
        <f ca="1">FAST_BRIEF!C9</f>
        <v>12.8872</v>
      </c>
      <c r="I55" s="8">
        <f ca="1">FAST_BRIEF!C12</f>
        <v>14.067600000000001</v>
      </c>
      <c r="J55" s="8">
        <f ca="1">FAST_BRIEF!C15</f>
        <v>20.9709</v>
      </c>
      <c r="K55" s="8">
        <f ca="1">FAST_BRIEF!C18</f>
        <v>12.888</v>
      </c>
      <c r="L55" s="8">
        <f ca="1">FAST_BRIEF!C21</f>
        <v>11.8985</v>
      </c>
      <c r="M55" s="8">
        <f ca="1">FAST_BRIEF!C24</f>
        <v>11.7219</v>
      </c>
      <c r="N55" s="8">
        <f ca="1">FAST_BRIEF!C27</f>
        <v>11.7599</v>
      </c>
      <c r="O55" s="8">
        <f ca="1">FAST_BRIEF!C30</f>
        <v>13.3278</v>
      </c>
      <c r="P55" s="8">
        <f ca="1">FAST_BRIEF!C33</f>
        <v>13.789899999999999</v>
      </c>
      <c r="Q55" s="8">
        <f ca="1">FAST_BRIEF!C36</f>
        <v>11.083600000000001</v>
      </c>
      <c r="R55" s="8">
        <f ca="1">FAST_BRIEF!C39</f>
        <v>11.6502</v>
      </c>
      <c r="S55" s="8">
        <f ca="1">FAST_BRIEF!C42</f>
        <v>11.588699999999999</v>
      </c>
      <c r="T55" s="8">
        <f ca="1">FAST_BRIEF!C45</f>
        <v>11.907500000000001</v>
      </c>
      <c r="U55" s="8">
        <f ca="1">FAST_BRIEF!C48</f>
        <v>12.381</v>
      </c>
      <c r="V55" s="8">
        <f ca="1">FAST_BRIEF!C51</f>
        <v>7.57979</v>
      </c>
      <c r="W55" s="8">
        <f ca="1">FAST_BRIEF!C57</f>
        <v>11.0526</v>
      </c>
      <c r="X55" s="9">
        <f t="shared" ref="X55:X84" ca="1" si="2">AVERAGE(G55:W55)</f>
        <v>12.449058235294117</v>
      </c>
      <c r="Y55" s="9">
        <f t="shared" ref="Y55:Y84" ca="1" si="3">STDEV(G55:W55)</f>
        <v>2.6289368740810297</v>
      </c>
    </row>
    <row r="56" spans="1:25" ht="12.5" x14ac:dyDescent="0.25">
      <c r="A56" s="22" t="s">
        <v>13</v>
      </c>
      <c r="B56" s="23" t="s">
        <v>14</v>
      </c>
      <c r="C56" s="23" t="s">
        <v>15</v>
      </c>
      <c r="D56" s="23" t="s">
        <v>16</v>
      </c>
      <c r="E56" s="23" t="s">
        <v>17</v>
      </c>
      <c r="F56" s="8">
        <f ca="1">FAST_ORB!C3</f>
        <v>12.380599999999999</v>
      </c>
      <c r="G56" s="8">
        <f ca="1">FAST_ORB!C6</f>
        <v>11.162599999999999</v>
      </c>
      <c r="H56" s="8">
        <f ca="1">FAST_ORB!C9</f>
        <v>11.9712</v>
      </c>
      <c r="I56" s="8">
        <f ca="1">FAST_ORB!C12</f>
        <v>13.794</v>
      </c>
      <c r="J56" s="8">
        <f ca="1">FAST_ORB!C15</f>
        <v>28.759599999999999</v>
      </c>
      <c r="K56" s="8">
        <f ca="1">FAST_ORB!C18</f>
        <v>12.6793</v>
      </c>
      <c r="L56" s="8">
        <f ca="1">FAST_ORB!C21</f>
        <v>12.352</v>
      </c>
      <c r="M56" s="8">
        <f ca="1">FAST_ORB!C24</f>
        <v>11.344099999999999</v>
      </c>
      <c r="N56" s="8">
        <f ca="1">FAST_ORB!C27</f>
        <v>12.1119</v>
      </c>
      <c r="O56" s="8">
        <f ca="1">FAST_ORB!C30</f>
        <v>13.6608</v>
      </c>
      <c r="P56" s="8">
        <f ca="1">FAST_ORB!C33</f>
        <v>13.436400000000001</v>
      </c>
      <c r="Q56" s="8">
        <f ca="1">FAST_ORB!C36</f>
        <v>11.776999999999999</v>
      </c>
      <c r="R56" s="8">
        <f ca="1">FAST_ORB!C39</f>
        <v>12.300800000000001</v>
      </c>
      <c r="S56" s="8">
        <f ca="1">FAST_ORB!C42</f>
        <v>11.721299999999999</v>
      </c>
      <c r="T56" s="8">
        <f ca="1">FAST_ORB!C45</f>
        <v>11.3421</v>
      </c>
      <c r="U56" s="8">
        <f ca="1">FAST_ORB!C48</f>
        <v>11.7851</v>
      </c>
      <c r="V56" s="8">
        <f ca="1">FAST_ORB!C51</f>
        <v>9.4143100000000004</v>
      </c>
      <c r="W56" s="8">
        <f ca="1">FAST_ORB!C57</f>
        <v>11.8307</v>
      </c>
      <c r="X56" s="9">
        <f t="shared" ca="1" si="2"/>
        <v>13.026071176470586</v>
      </c>
      <c r="Y56" s="9">
        <f t="shared" ca="1" si="3"/>
        <v>4.1845523571821346</v>
      </c>
    </row>
    <row r="57" spans="1:25" ht="12.5" x14ac:dyDescent="0.25">
      <c r="A57" s="22" t="s">
        <v>13</v>
      </c>
      <c r="B57" s="23" t="s">
        <v>21</v>
      </c>
      <c r="C57" s="23" t="s">
        <v>15</v>
      </c>
      <c r="D57" s="23" t="s">
        <v>16</v>
      </c>
      <c r="E57" s="23" t="s">
        <v>17</v>
      </c>
      <c r="F57" s="8">
        <f ca="1">FAST_FREAK!C3</f>
        <v>11.930099999999999</v>
      </c>
      <c r="G57" s="8">
        <f ca="1">FAST_FREAK!C6</f>
        <v>15.602499999999999</v>
      </c>
      <c r="H57" s="8">
        <f ca="1">FAST_FREAK!C9</f>
        <v>13.2</v>
      </c>
      <c r="I57" s="8">
        <f ca="1">FAST_FREAK!C12</f>
        <v>14.032999999999999</v>
      </c>
      <c r="J57" s="30">
        <f ca="1">FAST_FREAK!C15</f>
        <v>173.98</v>
      </c>
      <c r="K57" s="8">
        <f ca="1">FAST_FREAK!C18</f>
        <v>12.3086</v>
      </c>
      <c r="L57" s="8">
        <f ca="1">FAST_FREAK!C21</f>
        <v>12.2021</v>
      </c>
      <c r="M57" s="8">
        <f ca="1">FAST_FREAK!C24</f>
        <v>11.596500000000001</v>
      </c>
      <c r="N57" s="8">
        <f ca="1">FAST_FREAK!C27</f>
        <v>12.3316</v>
      </c>
      <c r="O57" s="8">
        <f ca="1">FAST_FREAK!C30</f>
        <v>13.410500000000001</v>
      </c>
      <c r="P57" s="8">
        <f ca="1">FAST_FREAK!C33</f>
        <v>13.075900000000001</v>
      </c>
      <c r="Q57" s="8">
        <f ca="1">FAST_FREAK!C36</f>
        <v>11.8644</v>
      </c>
      <c r="R57" s="8">
        <f ca="1">FAST_FREAK!C39</f>
        <v>11.611800000000001</v>
      </c>
      <c r="S57" s="8">
        <f ca="1">FAST_FREAK!C42</f>
        <v>11.0205</v>
      </c>
      <c r="T57" s="8">
        <f ca="1">FAST_FREAK!C45</f>
        <v>10.8147</v>
      </c>
      <c r="U57" s="8">
        <f ca="1">FAST_FREAK!C48</f>
        <v>11.9191</v>
      </c>
      <c r="V57" s="8">
        <f ca="1">FAST_FREAK!C51</f>
        <v>8.3405000000000005</v>
      </c>
      <c r="W57" s="8">
        <f ca="1">FAST_FREAK!C57</f>
        <v>11.900600000000001</v>
      </c>
      <c r="X57" s="9">
        <f t="shared" ca="1" si="2"/>
        <v>21.718370588235299</v>
      </c>
      <c r="Y57" s="9">
        <f t="shared" ca="1" si="3"/>
        <v>39.266696183530712</v>
      </c>
    </row>
    <row r="58" spans="1:25" ht="12.5" x14ac:dyDescent="0.25">
      <c r="A58" s="15" t="s">
        <v>13</v>
      </c>
      <c r="B58" s="16" t="s">
        <v>22</v>
      </c>
      <c r="C58" s="16" t="s">
        <v>15</v>
      </c>
      <c r="D58" s="16" t="s">
        <v>16</v>
      </c>
      <c r="E58" s="16" t="s">
        <v>17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7" t="e">
        <f t="shared" si="2"/>
        <v>#DIV/0!</v>
      </c>
      <c r="Y58" s="17" t="e">
        <f t="shared" si="3"/>
        <v>#DIV/0!</v>
      </c>
    </row>
    <row r="59" spans="1:25" ht="12.5" x14ac:dyDescent="0.25">
      <c r="A59" s="15" t="s">
        <v>13</v>
      </c>
      <c r="B59" s="16" t="s">
        <v>23</v>
      </c>
      <c r="C59" s="16" t="s">
        <v>15</v>
      </c>
      <c r="D59" s="16" t="s">
        <v>16</v>
      </c>
      <c r="E59" s="16" t="s">
        <v>17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7" t="e">
        <f t="shared" si="2"/>
        <v>#DIV/0!</v>
      </c>
      <c r="Y59" s="17" t="e">
        <f t="shared" si="3"/>
        <v>#DIV/0!</v>
      </c>
    </row>
    <row r="60" spans="1:25" ht="12.5" x14ac:dyDescent="0.25">
      <c r="A60" s="15" t="s">
        <v>13</v>
      </c>
      <c r="B60" s="16" t="s">
        <v>24</v>
      </c>
      <c r="C60" s="16" t="s">
        <v>15</v>
      </c>
      <c r="D60" s="16" t="s">
        <v>16</v>
      </c>
      <c r="E60" s="16" t="s">
        <v>17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7" t="e">
        <f t="shared" si="2"/>
        <v>#DIV/0!</v>
      </c>
      <c r="Y60" s="17" t="e">
        <f t="shared" si="3"/>
        <v>#DIV/0!</v>
      </c>
    </row>
    <row r="61" spans="1:25" ht="12.5" x14ac:dyDescent="0.25">
      <c r="A61" s="15" t="s">
        <v>24</v>
      </c>
      <c r="B61" s="16" t="s">
        <v>20</v>
      </c>
      <c r="C61" s="16" t="s">
        <v>15</v>
      </c>
      <c r="D61" s="16" t="s">
        <v>16</v>
      </c>
      <c r="E61" s="16" t="s">
        <v>17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7" t="e">
        <f t="shared" si="2"/>
        <v>#DIV/0!</v>
      </c>
      <c r="Y61" s="17" t="e">
        <f t="shared" si="3"/>
        <v>#DIV/0!</v>
      </c>
    </row>
    <row r="62" spans="1:25" ht="12.5" x14ac:dyDescent="0.25">
      <c r="A62" s="15" t="s">
        <v>24</v>
      </c>
      <c r="B62" s="16" t="s">
        <v>14</v>
      </c>
      <c r="C62" s="16" t="s">
        <v>15</v>
      </c>
      <c r="D62" s="16" t="s">
        <v>16</v>
      </c>
      <c r="E62" s="16" t="s">
        <v>17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7" t="e">
        <f t="shared" si="2"/>
        <v>#DIV/0!</v>
      </c>
      <c r="Y62" s="17" t="e">
        <f t="shared" si="3"/>
        <v>#DIV/0!</v>
      </c>
    </row>
    <row r="63" spans="1:25" ht="12.5" x14ac:dyDescent="0.25">
      <c r="A63" s="15" t="s">
        <v>24</v>
      </c>
      <c r="B63" s="16" t="s">
        <v>21</v>
      </c>
      <c r="C63" s="16" t="s">
        <v>15</v>
      </c>
      <c r="D63" s="16" t="s">
        <v>16</v>
      </c>
      <c r="E63" s="16" t="s">
        <v>17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7" t="e">
        <f t="shared" si="2"/>
        <v>#DIV/0!</v>
      </c>
      <c r="Y63" s="17" t="e">
        <f t="shared" si="3"/>
        <v>#DIV/0!</v>
      </c>
    </row>
    <row r="64" spans="1:25" ht="12.5" x14ac:dyDescent="0.25">
      <c r="A64" s="15" t="s">
        <v>24</v>
      </c>
      <c r="B64" s="16" t="s">
        <v>22</v>
      </c>
      <c r="C64" s="16" t="s">
        <v>15</v>
      </c>
      <c r="D64" s="16" t="s">
        <v>16</v>
      </c>
      <c r="E64" s="16" t="s">
        <v>17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7" t="e">
        <f t="shared" si="2"/>
        <v>#DIV/0!</v>
      </c>
      <c r="Y64" s="17" t="e">
        <f t="shared" si="3"/>
        <v>#DIV/0!</v>
      </c>
    </row>
    <row r="65" spans="1:25" ht="12.5" x14ac:dyDescent="0.25">
      <c r="A65" s="15" t="s">
        <v>24</v>
      </c>
      <c r="B65" s="16" t="s">
        <v>23</v>
      </c>
      <c r="C65" s="16" t="s">
        <v>15</v>
      </c>
      <c r="D65" s="16" t="s">
        <v>16</v>
      </c>
      <c r="E65" s="16" t="s">
        <v>17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7" t="e">
        <f t="shared" si="2"/>
        <v>#DIV/0!</v>
      </c>
      <c r="Y65" s="17" t="e">
        <f t="shared" si="3"/>
        <v>#DIV/0!</v>
      </c>
    </row>
    <row r="66" spans="1:25" ht="12.5" x14ac:dyDescent="0.25">
      <c r="A66" s="15" t="s">
        <v>24</v>
      </c>
      <c r="B66" s="16" t="s">
        <v>24</v>
      </c>
      <c r="C66" s="16" t="s">
        <v>15</v>
      </c>
      <c r="D66" s="16" t="s">
        <v>16</v>
      </c>
      <c r="E66" s="16" t="s">
        <v>17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7" t="e">
        <f t="shared" si="2"/>
        <v>#DIV/0!</v>
      </c>
      <c r="Y66" s="17" t="e">
        <f t="shared" si="3"/>
        <v>#DIV/0!</v>
      </c>
    </row>
    <row r="67" spans="1:25" ht="12.5" x14ac:dyDescent="0.25">
      <c r="A67" s="22" t="s">
        <v>14</v>
      </c>
      <c r="B67" s="23" t="s">
        <v>20</v>
      </c>
      <c r="C67" s="23" t="s">
        <v>15</v>
      </c>
      <c r="D67" s="23" t="s">
        <v>16</v>
      </c>
      <c r="E67" s="23" t="s">
        <v>17</v>
      </c>
      <c r="F67" s="8">
        <f ca="1">ORB_BRIEF!C3</f>
        <v>22.07</v>
      </c>
      <c r="G67" s="8">
        <f ca="1">ORB_BRIEF!C6</f>
        <v>24.1294</v>
      </c>
      <c r="H67" s="8">
        <f ca="1">ORB_BRIEF!C9</f>
        <v>92.817899999999995</v>
      </c>
      <c r="I67" s="8">
        <f ca="1">ORB_BRIEF!C12</f>
        <v>15.233000000000001</v>
      </c>
      <c r="J67" s="8">
        <f ca="1">ORB_BRIEF!C15</f>
        <v>20.161200000000001</v>
      </c>
      <c r="K67" s="8">
        <f ca="1">ORB_BRIEF!C18</f>
        <v>13.3056</v>
      </c>
      <c r="L67" s="8">
        <f ca="1">ORB_BRIEF!C21</f>
        <v>36.398699999999998</v>
      </c>
      <c r="M67" s="31">
        <f ca="1">ORB_BRIEF!C24</f>
        <v>326.78399999999999</v>
      </c>
      <c r="N67" s="29">
        <f ca="1">ORB_BRIEF!C27</f>
        <v>2854080</v>
      </c>
      <c r="O67" s="8">
        <f ca="1">ORB_BRIEF!C30</f>
        <v>17.746700000000001</v>
      </c>
      <c r="P67" s="8">
        <f ca="1">ORB_BRIEF!C33</f>
        <v>19.4803</v>
      </c>
      <c r="Q67" s="8">
        <f ca="1">ORB_BRIEF!C36</f>
        <v>21.264399999999998</v>
      </c>
      <c r="R67" s="8">
        <f ca="1">ORB_BRIEF!C39</f>
        <v>12.856199999999999</v>
      </c>
      <c r="S67" s="8">
        <f ca="1">ORB_BRIEF!C42</f>
        <v>8.8268299999999993</v>
      </c>
      <c r="T67" s="8">
        <f ca="1">ORB_BRIEF!C45</f>
        <v>6.8053699999999999</v>
      </c>
      <c r="U67" s="8">
        <f ca="1">ORB_BRIEF!C48</f>
        <v>10.980399999999999</v>
      </c>
      <c r="V67" s="8">
        <f ca="1">ORB_BRIEF!C51</f>
        <v>15.081899999999999</v>
      </c>
      <c r="W67" s="8">
        <f ca="1">ORB_BRIEF!C54</f>
        <v>21.810199999999998</v>
      </c>
      <c r="X67" s="9">
        <f t="shared" ca="1" si="2"/>
        <v>167926.09894705884</v>
      </c>
      <c r="Y67" s="9">
        <f t="shared" ca="1" si="3"/>
        <v>692206.02048616135</v>
      </c>
    </row>
    <row r="68" spans="1:25" ht="12.5" x14ac:dyDescent="0.25">
      <c r="A68" s="22" t="s">
        <v>14</v>
      </c>
      <c r="B68" s="23" t="s">
        <v>14</v>
      </c>
      <c r="C68" s="23" t="s">
        <v>15</v>
      </c>
      <c r="D68" s="23" t="s">
        <v>16</v>
      </c>
      <c r="E68" s="23" t="s">
        <v>17</v>
      </c>
      <c r="F68" s="8">
        <f ca="1">ORB_ORB!C3</f>
        <v>17.4635</v>
      </c>
      <c r="G68" s="8">
        <f ca="1">ORB_ORB!C6</f>
        <v>9.6315799999999996</v>
      </c>
      <c r="H68" s="8">
        <f ca="1">ORB_ORB!C9</f>
        <v>18.279299999999999</v>
      </c>
      <c r="I68" s="8">
        <f ca="1">ORB_ORB!C12</f>
        <v>28.1023</v>
      </c>
      <c r="J68" s="8">
        <f ca="1">ORB_ORB!C15</f>
        <v>30.1357</v>
      </c>
      <c r="K68" s="8">
        <f ca="1">ORB_ORB!C18</f>
        <v>17.979600000000001</v>
      </c>
      <c r="L68" s="31">
        <f ca="1">ORB_ORB!C21</f>
        <v>220.536</v>
      </c>
      <c r="M68" s="8">
        <f ca="1">ORB_ORB!C24</f>
        <v>10.4367</v>
      </c>
      <c r="N68" s="24" t="str">
        <f ca="1">ORB_ORB!C27</f>
        <v xml:space="preserve"> -inf</v>
      </c>
      <c r="O68" s="8">
        <f ca="1">ORB_ORB!C30</f>
        <v>13.277900000000001</v>
      </c>
      <c r="P68" s="8">
        <f ca="1">ORB_ORB!C33</f>
        <v>8.2896000000000001</v>
      </c>
      <c r="Q68" s="8">
        <f ca="1">ORB_ORB!C36</f>
        <v>36.223599999999998</v>
      </c>
      <c r="R68" s="8">
        <f ca="1">ORB_ORB!C39</f>
        <v>10.418900000000001</v>
      </c>
      <c r="S68" s="8">
        <f ca="1">ORB_ORB!C42</f>
        <v>13.4253</v>
      </c>
      <c r="T68" s="8">
        <f ca="1">ORB_ORB!C45</f>
        <v>9.30504</v>
      </c>
      <c r="U68" s="8">
        <f ca="1">ORB_ORB!C48</f>
        <v>9.7693200000000004</v>
      </c>
      <c r="V68" s="8">
        <f ca="1">ORB_ORB!C51</f>
        <v>13.4367</v>
      </c>
      <c r="W68" s="8">
        <f ca="1">ORB_ORB!C57</f>
        <v>26.619700000000002</v>
      </c>
      <c r="X68" s="9">
        <f t="shared" ca="1" si="2"/>
        <v>29.741702499999999</v>
      </c>
      <c r="Y68" s="9">
        <f t="shared" ca="1" si="3"/>
        <v>51.612113647550032</v>
      </c>
    </row>
    <row r="69" spans="1:25" ht="12.5" x14ac:dyDescent="0.25">
      <c r="A69" s="22" t="s">
        <v>14</v>
      </c>
      <c r="B69" s="23" t="s">
        <v>21</v>
      </c>
      <c r="C69" s="23" t="s">
        <v>15</v>
      </c>
      <c r="D69" s="23" t="s">
        <v>16</v>
      </c>
      <c r="E69" s="23" t="s">
        <v>17</v>
      </c>
      <c r="F69" s="8">
        <f ca="1">ORB_FREAK!C3</f>
        <v>12.6861</v>
      </c>
      <c r="G69" s="8">
        <f ca="1">ORB_FREAK!C6</f>
        <v>38.788200000000003</v>
      </c>
      <c r="H69" s="8">
        <f ca="1">ORB_FREAK!C9</f>
        <v>11.3805</v>
      </c>
      <c r="I69" s="8">
        <f ca="1">ORB_FREAK!C12</f>
        <v>11.2087</v>
      </c>
      <c r="J69" s="24" t="str">
        <f ca="1">ORB_FREAK!C15</f>
        <v xml:space="preserve"> -inf</v>
      </c>
      <c r="K69" s="8">
        <f ca="1">ORB_FREAK!C18</f>
        <v>11.1989</v>
      </c>
      <c r="L69" s="24" t="str">
        <f ca="1">ORB_FREAK!C21</f>
        <v xml:space="preserve"> -inf</v>
      </c>
      <c r="M69" s="8">
        <f ca="1">ORB_FREAK!C24</f>
        <v>9.3858800000000002</v>
      </c>
      <c r="N69" s="8">
        <f ca="1">ORB_FREAK!C27</f>
        <v>12.881500000000001</v>
      </c>
      <c r="O69" s="24" t="str">
        <f ca="1">ORB_FREAK!C30</f>
        <v xml:space="preserve"> -inf</v>
      </c>
      <c r="P69" s="8">
        <f ca="1">ORB_FREAK!C33</f>
        <v>7.8617400000000002</v>
      </c>
      <c r="Q69" s="8">
        <f ca="1">ORB_FREAK!C36</f>
        <v>26.106000000000002</v>
      </c>
      <c r="R69" s="8">
        <f ca="1">ORB_FREAK!C39</f>
        <v>7.3205400000000003</v>
      </c>
      <c r="S69" s="8">
        <f ca="1">ORB_FREAK!C42</f>
        <v>63.442</v>
      </c>
      <c r="T69" s="8">
        <f ca="1">ORB_FREAK!C45</f>
        <v>8.3540600000000005</v>
      </c>
      <c r="U69" s="8">
        <f ca="1">ORB_FREAK!C48</f>
        <v>7.3527199999999997</v>
      </c>
      <c r="V69" s="8">
        <f ca="1">ORB_FREAK!C51</f>
        <v>11.321899999999999</v>
      </c>
      <c r="W69" s="24">
        <f ca="1">ORB_FREAK!C57</f>
        <v>-0.20083000000000001</v>
      </c>
      <c r="X69" s="9">
        <f t="shared" ca="1" si="2"/>
        <v>16.171557857142858</v>
      </c>
      <c r="Y69" s="9">
        <f t="shared" ca="1" si="3"/>
        <v>16.529076470403105</v>
      </c>
    </row>
    <row r="70" spans="1:25" ht="12.5" x14ac:dyDescent="0.25">
      <c r="A70" s="15" t="s">
        <v>14</v>
      </c>
      <c r="B70" s="16" t="s">
        <v>22</v>
      </c>
      <c r="C70" s="16" t="s">
        <v>15</v>
      </c>
      <c r="D70" s="16" t="s">
        <v>16</v>
      </c>
      <c r="E70" s="16" t="s">
        <v>17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7" t="e">
        <f t="shared" si="2"/>
        <v>#DIV/0!</v>
      </c>
      <c r="Y70" s="17" t="e">
        <f t="shared" si="3"/>
        <v>#DIV/0!</v>
      </c>
    </row>
    <row r="71" spans="1:25" ht="12.5" x14ac:dyDescent="0.25">
      <c r="A71" s="15" t="s">
        <v>14</v>
      </c>
      <c r="B71" s="16" t="s">
        <v>23</v>
      </c>
      <c r="C71" s="16" t="s">
        <v>15</v>
      </c>
      <c r="D71" s="16" t="s">
        <v>16</v>
      </c>
      <c r="E71" s="16" t="s">
        <v>17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7" t="e">
        <f t="shared" si="2"/>
        <v>#DIV/0!</v>
      </c>
      <c r="Y71" s="17" t="e">
        <f t="shared" si="3"/>
        <v>#DIV/0!</v>
      </c>
    </row>
    <row r="72" spans="1:25" ht="12.5" x14ac:dyDescent="0.25">
      <c r="A72" s="15" t="s">
        <v>14</v>
      </c>
      <c r="B72" s="16" t="s">
        <v>24</v>
      </c>
      <c r="C72" s="16" t="s">
        <v>15</v>
      </c>
      <c r="D72" s="16" t="s">
        <v>16</v>
      </c>
      <c r="E72" s="16" t="s">
        <v>17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7" t="e">
        <f t="shared" si="2"/>
        <v>#DIV/0!</v>
      </c>
      <c r="Y72" s="17" t="e">
        <f t="shared" si="3"/>
        <v>#DIV/0!</v>
      </c>
    </row>
    <row r="73" spans="1:25" ht="12.5" x14ac:dyDescent="0.25">
      <c r="A73" s="15" t="s">
        <v>22</v>
      </c>
      <c r="B73" s="16" t="s">
        <v>20</v>
      </c>
      <c r="C73" s="16" t="s">
        <v>15</v>
      </c>
      <c r="D73" s="16" t="s">
        <v>16</v>
      </c>
      <c r="E73" s="16" t="s">
        <v>17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7" t="e">
        <f t="shared" si="2"/>
        <v>#DIV/0!</v>
      </c>
      <c r="Y73" s="17" t="e">
        <f t="shared" si="3"/>
        <v>#DIV/0!</v>
      </c>
    </row>
    <row r="74" spans="1:25" ht="12.5" x14ac:dyDescent="0.25">
      <c r="A74" s="15" t="s">
        <v>22</v>
      </c>
      <c r="B74" s="16" t="s">
        <v>14</v>
      </c>
      <c r="C74" s="16" t="s">
        <v>15</v>
      </c>
      <c r="D74" s="16" t="s">
        <v>16</v>
      </c>
      <c r="E74" s="16" t="s">
        <v>17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7" t="e">
        <f t="shared" si="2"/>
        <v>#DIV/0!</v>
      </c>
      <c r="Y74" s="17" t="e">
        <f t="shared" si="3"/>
        <v>#DIV/0!</v>
      </c>
    </row>
    <row r="75" spans="1:25" ht="12.5" x14ac:dyDescent="0.25">
      <c r="A75" s="15" t="s">
        <v>22</v>
      </c>
      <c r="B75" s="16" t="s">
        <v>21</v>
      </c>
      <c r="C75" s="16" t="s">
        <v>15</v>
      </c>
      <c r="D75" s="16" t="s">
        <v>16</v>
      </c>
      <c r="E75" s="16" t="s">
        <v>17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7" t="e">
        <f t="shared" si="2"/>
        <v>#DIV/0!</v>
      </c>
      <c r="Y75" s="17" t="e">
        <f t="shared" si="3"/>
        <v>#DIV/0!</v>
      </c>
    </row>
    <row r="76" spans="1:25" ht="12.5" x14ac:dyDescent="0.25">
      <c r="A76" s="15" t="s">
        <v>22</v>
      </c>
      <c r="B76" s="16" t="s">
        <v>22</v>
      </c>
      <c r="C76" s="16" t="s">
        <v>15</v>
      </c>
      <c r="D76" s="16" t="s">
        <v>16</v>
      </c>
      <c r="E76" s="16" t="s">
        <v>17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7" t="e">
        <f t="shared" si="2"/>
        <v>#DIV/0!</v>
      </c>
      <c r="Y76" s="17" t="e">
        <f t="shared" si="3"/>
        <v>#DIV/0!</v>
      </c>
    </row>
    <row r="77" spans="1:25" ht="12.5" x14ac:dyDescent="0.25">
      <c r="A77" s="15" t="s">
        <v>22</v>
      </c>
      <c r="B77" s="16" t="s">
        <v>23</v>
      </c>
      <c r="C77" s="16" t="s">
        <v>15</v>
      </c>
      <c r="D77" s="16" t="s">
        <v>16</v>
      </c>
      <c r="E77" s="16" t="s">
        <v>17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7" t="e">
        <f t="shared" si="2"/>
        <v>#DIV/0!</v>
      </c>
      <c r="Y77" s="17" t="e">
        <f t="shared" si="3"/>
        <v>#DIV/0!</v>
      </c>
    </row>
    <row r="78" spans="1:25" ht="12.5" x14ac:dyDescent="0.25">
      <c r="A78" s="15" t="s">
        <v>22</v>
      </c>
      <c r="B78" s="16" t="s">
        <v>24</v>
      </c>
      <c r="C78" s="16" t="s">
        <v>15</v>
      </c>
      <c r="D78" s="16" t="s">
        <v>16</v>
      </c>
      <c r="E78" s="16" t="s">
        <v>17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7" t="e">
        <f t="shared" si="2"/>
        <v>#DIV/0!</v>
      </c>
      <c r="Y78" s="17" t="e">
        <f t="shared" si="3"/>
        <v>#DIV/0!</v>
      </c>
    </row>
    <row r="79" spans="1:25" ht="12.5" x14ac:dyDescent="0.25">
      <c r="A79" s="15" t="s">
        <v>23</v>
      </c>
      <c r="B79" s="16" t="s">
        <v>20</v>
      </c>
      <c r="C79" s="16" t="s">
        <v>15</v>
      </c>
      <c r="D79" s="16" t="s">
        <v>25</v>
      </c>
      <c r="E79" s="16" t="s">
        <v>17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7" t="e">
        <f t="shared" si="2"/>
        <v>#DIV/0!</v>
      </c>
      <c r="Y79" s="17" t="e">
        <f t="shared" si="3"/>
        <v>#DIV/0!</v>
      </c>
    </row>
    <row r="80" spans="1:25" ht="12.5" x14ac:dyDescent="0.25">
      <c r="A80" s="15" t="s">
        <v>23</v>
      </c>
      <c r="B80" s="16" t="s">
        <v>14</v>
      </c>
      <c r="C80" s="16" t="s">
        <v>15</v>
      </c>
      <c r="D80" s="16" t="s">
        <v>25</v>
      </c>
      <c r="E80" s="16" t="s">
        <v>17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 t="e">
        <f t="shared" si="2"/>
        <v>#DIV/0!</v>
      </c>
      <c r="Y80" s="17" t="e">
        <f t="shared" si="3"/>
        <v>#DIV/0!</v>
      </c>
    </row>
    <row r="81" spans="1:25" ht="12.5" x14ac:dyDescent="0.25">
      <c r="A81" s="15" t="s">
        <v>23</v>
      </c>
      <c r="B81" s="16" t="s">
        <v>21</v>
      </c>
      <c r="C81" s="16" t="s">
        <v>15</v>
      </c>
      <c r="D81" s="16" t="s">
        <v>25</v>
      </c>
      <c r="E81" s="16" t="s">
        <v>17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7" t="e">
        <f t="shared" si="2"/>
        <v>#DIV/0!</v>
      </c>
      <c r="Y81" s="17" t="e">
        <f t="shared" si="3"/>
        <v>#DIV/0!</v>
      </c>
    </row>
    <row r="82" spans="1:25" ht="12.5" x14ac:dyDescent="0.25">
      <c r="A82" s="15" t="s">
        <v>23</v>
      </c>
      <c r="B82" s="16" t="s">
        <v>22</v>
      </c>
      <c r="C82" s="16" t="s">
        <v>15</v>
      </c>
      <c r="D82" s="16" t="s">
        <v>25</v>
      </c>
      <c r="E82" s="16" t="s">
        <v>17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7" t="e">
        <f t="shared" si="2"/>
        <v>#DIV/0!</v>
      </c>
      <c r="Y82" s="17" t="e">
        <f t="shared" si="3"/>
        <v>#DIV/0!</v>
      </c>
    </row>
    <row r="83" spans="1:25" ht="12.5" x14ac:dyDescent="0.25">
      <c r="A83" s="15" t="s">
        <v>23</v>
      </c>
      <c r="B83" s="16" t="s">
        <v>23</v>
      </c>
      <c r="C83" s="16" t="s">
        <v>15</v>
      </c>
      <c r="D83" s="16" t="s">
        <v>25</v>
      </c>
      <c r="E83" s="16" t="s">
        <v>17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7" t="e">
        <f t="shared" si="2"/>
        <v>#DIV/0!</v>
      </c>
      <c r="Y83" s="17" t="e">
        <f t="shared" si="3"/>
        <v>#DIV/0!</v>
      </c>
    </row>
    <row r="84" spans="1:25" ht="12.5" x14ac:dyDescent="0.25">
      <c r="A84" s="15" t="s">
        <v>23</v>
      </c>
      <c r="B84" s="16" t="s">
        <v>24</v>
      </c>
      <c r="C84" s="16" t="s">
        <v>15</v>
      </c>
      <c r="D84" s="16" t="s">
        <v>25</v>
      </c>
      <c r="E84" s="16" t="s">
        <v>17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7" t="e">
        <f t="shared" si="2"/>
        <v>#DIV/0!</v>
      </c>
      <c r="Y84" s="17" t="e">
        <f t="shared" si="3"/>
        <v>#DIV/0!</v>
      </c>
    </row>
    <row r="85" spans="1:25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25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25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25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25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25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25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25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25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25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25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25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</sheetData>
  <mergeCells count="32">
    <mergeCell ref="X53:X54"/>
    <mergeCell ref="Y53:Y54"/>
    <mergeCell ref="Y8:Y9"/>
    <mergeCell ref="X19:X20"/>
    <mergeCell ref="Y19:Y20"/>
    <mergeCell ref="E8:E9"/>
    <mergeCell ref="F8:W8"/>
    <mergeCell ref="X8:X9"/>
    <mergeCell ref="X13:X14"/>
    <mergeCell ref="Y13:Y14"/>
    <mergeCell ref="F13:W13"/>
    <mergeCell ref="B19:B20"/>
    <mergeCell ref="C19:C20"/>
    <mergeCell ref="A53:A54"/>
    <mergeCell ref="B53:B54"/>
    <mergeCell ref="C53:C54"/>
    <mergeCell ref="D53:D54"/>
    <mergeCell ref="E53:E54"/>
    <mergeCell ref="F53:W53"/>
    <mergeCell ref="D19:D20"/>
    <mergeCell ref="E19:E20"/>
    <mergeCell ref="F19:W19"/>
    <mergeCell ref="E13:E14"/>
    <mergeCell ref="A19:A20"/>
    <mergeCell ref="A8:A9"/>
    <mergeCell ref="A13:A14"/>
    <mergeCell ref="B13:B14"/>
    <mergeCell ref="C13:C14"/>
    <mergeCell ref="D13:D14"/>
    <mergeCell ref="B8:B9"/>
    <mergeCell ref="C8:C9"/>
    <mergeCell ref="D8:D9"/>
  </mergeCells>
  <phoneticPr fontId="1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C57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25" t="s">
        <v>26</v>
      </c>
      <c r="B1" s="26" t="str">
        <f ca="1">IFERROR(__xludf.DUMMYFUNCTION("split(A1,"":"")"),"iamageID")</f>
        <v>iamageID</v>
      </c>
      <c r="C1" s="26">
        <f ca="1">IFERROR(__xludf.DUMMYFUNCTION("""COMPUTED_VALUE"""),1)</f>
        <v>1</v>
      </c>
    </row>
    <row r="2" spans="1:3" ht="15.75" customHeight="1" x14ac:dyDescent="0.25">
      <c r="A2" s="25" t="s">
        <v>27</v>
      </c>
      <c r="B2" s="26" t="str">
        <f ca="1">IFERROR(__xludf.DUMMYFUNCTION("split(A2,"":"")"),"ttcLidar[sec]")</f>
        <v>ttcLidar[sec]</v>
      </c>
      <c r="C2" s="26">
        <f ca="1">IFERROR(__xludf.DUMMYFUNCTION("""COMPUTED_VALUE"""),8.05618)</f>
        <v>8.0561799999999995</v>
      </c>
    </row>
    <row r="3" spans="1:3" ht="15.75" customHeight="1" x14ac:dyDescent="0.25">
      <c r="A3" s="25" t="s">
        <v>28</v>
      </c>
      <c r="B3" s="26" t="str">
        <f ca="1">IFERROR(__xludf.DUMMYFUNCTION("split(A3,"":"")"),"ttcCamera[sec]")</f>
        <v>ttcCamera[sec]</v>
      </c>
      <c r="C3" s="26">
        <f ca="1">IFERROR(__xludf.DUMMYFUNCTION("""COMPUTED_VALUE"""),12.3806)</f>
        <v>12.380599999999999</v>
      </c>
    </row>
    <row r="4" spans="1:3" ht="15.75" customHeight="1" x14ac:dyDescent="0.25">
      <c r="A4" s="25" t="s">
        <v>29</v>
      </c>
      <c r="B4" s="26" t="str">
        <f ca="1">IFERROR(__xludf.DUMMYFUNCTION("split(A4,"":"")"),"iamageID")</f>
        <v>iamageID</v>
      </c>
      <c r="C4" s="26">
        <f ca="1">IFERROR(__xludf.DUMMYFUNCTION("""COMPUTED_VALUE"""),2)</f>
        <v>2</v>
      </c>
    </row>
    <row r="5" spans="1:3" ht="15.75" customHeight="1" x14ac:dyDescent="0.25">
      <c r="A5" s="25" t="s">
        <v>30</v>
      </c>
      <c r="B5" s="26" t="str">
        <f ca="1">IFERROR(__xludf.DUMMYFUNCTION("split(A5,"":"")"),"ttcLidar[sec]")</f>
        <v>ttcLidar[sec]</v>
      </c>
      <c r="C5" s="26">
        <f ca="1">IFERROR(__xludf.DUMMYFUNCTION("""COMPUTED_VALUE"""),13.9136)</f>
        <v>13.913600000000001</v>
      </c>
    </row>
    <row r="6" spans="1:3" ht="15.75" customHeight="1" x14ac:dyDescent="0.25">
      <c r="A6" s="25" t="s">
        <v>31</v>
      </c>
      <c r="B6" s="26" t="str">
        <f ca="1">IFERROR(__xludf.DUMMYFUNCTION("split(A6,"":"")"),"ttcCamera[sec]")</f>
        <v>ttcCamera[sec]</v>
      </c>
      <c r="C6" s="26">
        <f ca="1">IFERROR(__xludf.DUMMYFUNCTION("""COMPUTED_VALUE"""),11.1626)</f>
        <v>11.162599999999999</v>
      </c>
    </row>
    <row r="7" spans="1:3" ht="15.75" customHeight="1" x14ac:dyDescent="0.25">
      <c r="A7" s="25" t="s">
        <v>32</v>
      </c>
      <c r="B7" s="26" t="str">
        <f ca="1">IFERROR(__xludf.DUMMYFUNCTION("split(A7,"":"")"),"iamageID")</f>
        <v>iamageID</v>
      </c>
      <c r="C7" s="26">
        <f ca="1">IFERROR(__xludf.DUMMYFUNCTION("""COMPUTED_VALUE"""),3)</f>
        <v>3</v>
      </c>
    </row>
    <row r="8" spans="1:3" ht="15.75" customHeight="1" x14ac:dyDescent="0.25">
      <c r="A8" s="25" t="s">
        <v>33</v>
      </c>
      <c r="B8" s="26" t="str">
        <f ca="1">IFERROR(__xludf.DUMMYFUNCTION("split(A8,"":"")"),"ttcLidar[sec]")</f>
        <v>ttcLidar[sec]</v>
      </c>
      <c r="C8" s="26">
        <f ca="1">IFERROR(__xludf.DUMMYFUNCTION("""COMPUTED_VALUE"""),44.5655)</f>
        <v>44.5655</v>
      </c>
    </row>
    <row r="9" spans="1:3" ht="15.75" customHeight="1" x14ac:dyDescent="0.25">
      <c r="A9" s="25" t="s">
        <v>34</v>
      </c>
      <c r="B9" s="26" t="str">
        <f ca="1">IFERROR(__xludf.DUMMYFUNCTION("split(A9,"":"")"),"ttcCamera[sec]")</f>
        <v>ttcCamera[sec]</v>
      </c>
      <c r="C9" s="26">
        <f ca="1">IFERROR(__xludf.DUMMYFUNCTION("""COMPUTED_VALUE"""),11.9712)</f>
        <v>11.9712</v>
      </c>
    </row>
    <row r="10" spans="1:3" ht="15.75" customHeight="1" x14ac:dyDescent="0.25">
      <c r="A10" s="25" t="s">
        <v>35</v>
      </c>
      <c r="B10" s="26" t="str">
        <f ca="1">IFERROR(__xludf.DUMMYFUNCTION("split(A10,"":"")"),"iamageID")</f>
        <v>iamageID</v>
      </c>
      <c r="C10" s="26">
        <f ca="1">IFERROR(__xludf.DUMMYFUNCTION("""COMPUTED_VALUE"""),4)</f>
        <v>4</v>
      </c>
    </row>
    <row r="11" spans="1:3" ht="15.75" customHeight="1" x14ac:dyDescent="0.25">
      <c r="A11" s="25" t="s">
        <v>36</v>
      </c>
      <c r="B11" s="26" t="str">
        <f ca="1">IFERROR(__xludf.DUMMYFUNCTION("split(A11,"":"")"),"ttcLidar[sec]")</f>
        <v>ttcLidar[sec]</v>
      </c>
      <c r="C11" s="26">
        <f ca="1">IFERROR(__xludf.DUMMYFUNCTION("""COMPUTED_VALUE"""),14.633)</f>
        <v>14.632999999999999</v>
      </c>
    </row>
    <row r="12" spans="1:3" ht="15.75" customHeight="1" x14ac:dyDescent="0.25">
      <c r="A12" s="25" t="s">
        <v>37</v>
      </c>
      <c r="B12" s="26" t="str">
        <f ca="1">IFERROR(__xludf.DUMMYFUNCTION("split(A12,"":"")"),"ttcCamera[sec]")</f>
        <v>ttcCamera[sec]</v>
      </c>
      <c r="C12" s="26">
        <f ca="1">IFERROR(__xludf.DUMMYFUNCTION("""COMPUTED_VALUE"""),13.794)</f>
        <v>13.794</v>
      </c>
    </row>
    <row r="13" spans="1:3" ht="15.75" customHeight="1" x14ac:dyDescent="0.25">
      <c r="A13" s="25" t="s">
        <v>38</v>
      </c>
      <c r="B13" s="26" t="str">
        <f ca="1">IFERROR(__xludf.DUMMYFUNCTION("split(A13,"":"")"),"iamageID")</f>
        <v>iamageID</v>
      </c>
      <c r="C13" s="26">
        <f ca="1">IFERROR(__xludf.DUMMYFUNCTION("""COMPUTED_VALUE"""),5)</f>
        <v>5</v>
      </c>
    </row>
    <row r="14" spans="1:3" ht="15.75" customHeight="1" x14ac:dyDescent="0.25">
      <c r="A14" s="25" t="s">
        <v>39</v>
      </c>
      <c r="B14" s="26" t="str">
        <f ca="1">IFERROR(__xludf.DUMMYFUNCTION("split(A14,"":"")"),"ttcLidar[sec]")</f>
        <v>ttcLidar[sec]</v>
      </c>
      <c r="C14" s="26">
        <f ca="1">IFERROR(__xludf.DUMMYFUNCTION("""COMPUTED_VALUE"""),17.8178)</f>
        <v>17.817799999999998</v>
      </c>
    </row>
    <row r="15" spans="1:3" ht="15.75" customHeight="1" x14ac:dyDescent="0.25">
      <c r="A15" s="25" t="s">
        <v>40</v>
      </c>
      <c r="B15" s="26" t="str">
        <f ca="1">IFERROR(__xludf.DUMMYFUNCTION("split(A15,"":"")"),"ttcCamera[sec]")</f>
        <v>ttcCamera[sec]</v>
      </c>
      <c r="C15" s="26">
        <f ca="1">IFERROR(__xludf.DUMMYFUNCTION("""COMPUTED_VALUE"""),28.7596)</f>
        <v>28.759599999999999</v>
      </c>
    </row>
    <row r="16" spans="1:3" ht="15.75" customHeight="1" x14ac:dyDescent="0.25">
      <c r="A16" s="25" t="s">
        <v>41</v>
      </c>
      <c r="B16" s="26" t="str">
        <f ca="1">IFERROR(__xludf.DUMMYFUNCTION("split(A16,"":"")"),"iamageID")</f>
        <v>iamageID</v>
      </c>
      <c r="C16" s="26">
        <f ca="1">IFERROR(__xludf.DUMMYFUNCTION("""COMPUTED_VALUE"""),6)</f>
        <v>6</v>
      </c>
    </row>
    <row r="17" spans="1:3" ht="15.75" customHeight="1" x14ac:dyDescent="0.25">
      <c r="A17" s="25" t="s">
        <v>42</v>
      </c>
      <c r="B17" s="26" t="str">
        <f ca="1">IFERROR(__xludf.DUMMYFUNCTION("split(A17,"":"")"),"ttcLidar[sec]")</f>
        <v>ttcLidar[sec]</v>
      </c>
      <c r="C17" s="26">
        <f ca="1">IFERROR(__xludf.DUMMYFUNCTION("""COMPUTED_VALUE"""),13.8814)</f>
        <v>13.881399999999999</v>
      </c>
    </row>
    <row r="18" spans="1:3" ht="15.75" customHeight="1" x14ac:dyDescent="0.25">
      <c r="A18" s="25" t="s">
        <v>43</v>
      </c>
      <c r="B18" s="26" t="str">
        <f ca="1">IFERROR(__xludf.DUMMYFUNCTION("split(A18,"":"")"),"ttcCamera[sec]")</f>
        <v>ttcCamera[sec]</v>
      </c>
      <c r="C18" s="26">
        <f ca="1">IFERROR(__xludf.DUMMYFUNCTION("""COMPUTED_VALUE"""),12.6793)</f>
        <v>12.6793</v>
      </c>
    </row>
    <row r="19" spans="1:3" ht="15.75" customHeight="1" x14ac:dyDescent="0.25">
      <c r="A19" s="25" t="s">
        <v>44</v>
      </c>
      <c r="B19" s="26" t="str">
        <f ca="1">IFERROR(__xludf.DUMMYFUNCTION("split(A19,"":"")"),"iamageID")</f>
        <v>iamageID</v>
      </c>
      <c r="C19" s="26">
        <f ca="1">IFERROR(__xludf.DUMMYFUNCTION("""COMPUTED_VALUE"""),7)</f>
        <v>7</v>
      </c>
    </row>
    <row r="20" spans="1:3" ht="15.75" customHeight="1" x14ac:dyDescent="0.25">
      <c r="A20" s="25" t="s">
        <v>45</v>
      </c>
      <c r="B20" s="26" t="str">
        <f ca="1">IFERROR(__xludf.DUMMYFUNCTION("split(A20,"":"")"),"ttcLidar[sec]")</f>
        <v>ttcLidar[sec]</v>
      </c>
      <c r="C20" s="26">
        <f ca="1">IFERROR(__xludf.DUMMYFUNCTION("""COMPUTED_VALUE"""),22.9091)</f>
        <v>22.909099999999999</v>
      </c>
    </row>
    <row r="21" spans="1:3" ht="15.75" customHeight="1" x14ac:dyDescent="0.25">
      <c r="A21" s="25" t="s">
        <v>46</v>
      </c>
      <c r="B21" s="26" t="str">
        <f ca="1">IFERROR(__xludf.DUMMYFUNCTION("split(A21,"":"")"),"ttcCamera[sec]")</f>
        <v>ttcCamera[sec]</v>
      </c>
      <c r="C21" s="26">
        <f ca="1">IFERROR(__xludf.DUMMYFUNCTION("""COMPUTED_VALUE"""),12.352)</f>
        <v>12.352</v>
      </c>
    </row>
    <row r="22" spans="1:3" ht="15.75" customHeight="1" x14ac:dyDescent="0.25">
      <c r="A22" s="25" t="s">
        <v>47</v>
      </c>
      <c r="B22" s="26" t="str">
        <f ca="1">IFERROR(__xludf.DUMMYFUNCTION("split(A22,"":"")"),"iamageID")</f>
        <v>iamageID</v>
      </c>
      <c r="C22" s="26">
        <f ca="1">IFERROR(__xludf.DUMMYFUNCTION("""COMPUTED_VALUE"""),8)</f>
        <v>8</v>
      </c>
    </row>
    <row r="23" spans="1:3" ht="15.75" customHeight="1" x14ac:dyDescent="0.25">
      <c r="A23" s="25" t="s">
        <v>48</v>
      </c>
      <c r="B23" s="26" t="str">
        <f ca="1">IFERROR(__xludf.DUMMYFUNCTION("split(A23,"":"")"),"ttcLidar[sec]")</f>
        <v>ttcLidar[sec]</v>
      </c>
      <c r="C23" s="26">
        <f ca="1">IFERROR(__xludf.DUMMYFUNCTION("""COMPUTED_VALUE"""),7.41929)</f>
        <v>7.4192900000000002</v>
      </c>
    </row>
    <row r="24" spans="1:3" ht="15.75" customHeight="1" x14ac:dyDescent="0.25">
      <c r="A24" s="25" t="s">
        <v>49</v>
      </c>
      <c r="B24" s="26" t="str">
        <f ca="1">IFERROR(__xludf.DUMMYFUNCTION("split(A24,"":"")"),"ttcCamera[sec]")</f>
        <v>ttcCamera[sec]</v>
      </c>
      <c r="C24" s="26">
        <f ca="1">IFERROR(__xludf.DUMMYFUNCTION("""COMPUTED_VALUE"""),11.3441)</f>
        <v>11.344099999999999</v>
      </c>
    </row>
    <row r="25" spans="1:3" ht="15.75" customHeight="1" x14ac:dyDescent="0.25">
      <c r="A25" s="25" t="s">
        <v>50</v>
      </c>
      <c r="B25" s="26" t="str">
        <f ca="1">IFERROR(__xludf.DUMMYFUNCTION("split(A25,"":"")"),"iamageID")</f>
        <v>iamageID</v>
      </c>
      <c r="C25" s="26">
        <f ca="1">IFERROR(__xludf.DUMMYFUNCTION("""COMPUTED_VALUE"""),9)</f>
        <v>9</v>
      </c>
    </row>
    <row r="26" spans="1:3" ht="15.75" customHeight="1" x14ac:dyDescent="0.25">
      <c r="A26" s="25" t="s">
        <v>51</v>
      </c>
      <c r="B26" s="26" t="str">
        <f ca="1">IFERROR(__xludf.DUMMYFUNCTION("split(A26,"":"")"),"ttcLidar[sec]")</f>
        <v>ttcLidar[sec]</v>
      </c>
      <c r="C26" s="26">
        <f ca="1">IFERROR(__xludf.DUMMYFUNCTION("""COMPUTED_VALUE"""),7.4619)</f>
        <v>7.4619</v>
      </c>
    </row>
    <row r="27" spans="1:3" ht="15.75" customHeight="1" x14ac:dyDescent="0.25">
      <c r="A27" s="25" t="s">
        <v>52</v>
      </c>
      <c r="B27" s="26" t="str">
        <f ca="1">IFERROR(__xludf.DUMMYFUNCTION("split(A27,"":"")"),"ttcCamera[sec]")</f>
        <v>ttcCamera[sec]</v>
      </c>
      <c r="C27" s="26">
        <f ca="1">IFERROR(__xludf.DUMMYFUNCTION("""COMPUTED_VALUE"""),12.1119)</f>
        <v>12.1119</v>
      </c>
    </row>
    <row r="28" spans="1:3" ht="15.75" customHeight="1" x14ac:dyDescent="0.25">
      <c r="A28" s="25" t="s">
        <v>53</v>
      </c>
      <c r="B28" s="26" t="str">
        <f ca="1">IFERROR(__xludf.DUMMYFUNCTION("split(A28,"":"")"),"iamageID")</f>
        <v>iamageID</v>
      </c>
      <c r="C28" s="26">
        <f ca="1">IFERROR(__xludf.DUMMYFUNCTION("""COMPUTED_VALUE"""),10)</f>
        <v>10</v>
      </c>
    </row>
    <row r="29" spans="1:3" ht="15.75" customHeight="1" x14ac:dyDescent="0.25">
      <c r="A29" s="25" t="s">
        <v>54</v>
      </c>
      <c r="B29" s="26" t="str">
        <f ca="1">IFERROR(__xludf.DUMMYFUNCTION("split(A29,"":"")"),"ttcLidar[sec]")</f>
        <v>ttcLidar[sec]</v>
      </c>
      <c r="C29" s="26">
        <f ca="1">IFERROR(__xludf.DUMMYFUNCTION("""COMPUTED_VALUE"""),15.8242)</f>
        <v>15.824199999999999</v>
      </c>
    </row>
    <row r="30" spans="1:3" ht="15.75" customHeight="1" x14ac:dyDescent="0.25">
      <c r="A30" s="25" t="s">
        <v>55</v>
      </c>
      <c r="B30" s="26" t="str">
        <f ca="1">IFERROR(__xludf.DUMMYFUNCTION("split(A30,"":"")"),"ttcCamera[sec]")</f>
        <v>ttcCamera[sec]</v>
      </c>
      <c r="C30" s="26">
        <f ca="1">IFERROR(__xludf.DUMMYFUNCTION("""COMPUTED_VALUE"""),13.6608)</f>
        <v>13.6608</v>
      </c>
    </row>
    <row r="31" spans="1:3" ht="15.75" customHeight="1" x14ac:dyDescent="0.25">
      <c r="A31" s="25" t="s">
        <v>56</v>
      </c>
      <c r="B31" s="26" t="str">
        <f ca="1">IFERROR(__xludf.DUMMYFUNCTION("split(A31,"":"")"),"iamageID")</f>
        <v>iamageID</v>
      </c>
      <c r="C31" s="26">
        <f ca="1">IFERROR(__xludf.DUMMYFUNCTION("""COMPUTED_VALUE"""),11)</f>
        <v>11</v>
      </c>
    </row>
    <row r="32" spans="1:3" ht="15.75" customHeight="1" x14ac:dyDescent="0.25">
      <c r="A32" s="25" t="s">
        <v>57</v>
      </c>
      <c r="B32" s="26" t="str">
        <f ca="1">IFERROR(__xludf.DUMMYFUNCTION("split(A32,"":"")"),"ttcLidar[sec]")</f>
        <v>ttcLidar[sec]</v>
      </c>
      <c r="C32" s="26">
        <f ca="1">IFERROR(__xludf.DUMMYFUNCTION("""COMPUTED_VALUE"""),8.68199)</f>
        <v>8.6819900000000008</v>
      </c>
    </row>
    <row r="33" spans="1:3" ht="15.75" customHeight="1" x14ac:dyDescent="0.25">
      <c r="A33" s="25" t="s">
        <v>58</v>
      </c>
      <c r="B33" s="26" t="str">
        <f ca="1">IFERROR(__xludf.DUMMYFUNCTION("split(A33,"":"")"),"ttcCamera[sec]")</f>
        <v>ttcCamera[sec]</v>
      </c>
      <c r="C33" s="26">
        <f ca="1">IFERROR(__xludf.DUMMYFUNCTION("""COMPUTED_VALUE"""),13.4364)</f>
        <v>13.436400000000001</v>
      </c>
    </row>
    <row r="34" spans="1:3" ht="15.75" customHeight="1" x14ac:dyDescent="0.25">
      <c r="A34" s="25" t="s">
        <v>59</v>
      </c>
      <c r="B34" s="26" t="str">
        <f ca="1">IFERROR(__xludf.DUMMYFUNCTION("split(A34,"":"")"),"iamageID")</f>
        <v>iamageID</v>
      </c>
      <c r="C34" s="26">
        <f ca="1">IFERROR(__xludf.DUMMYFUNCTION("""COMPUTED_VALUE"""),12)</f>
        <v>12</v>
      </c>
    </row>
    <row r="35" spans="1:3" ht="15.75" customHeight="1" x14ac:dyDescent="0.25">
      <c r="A35" s="25" t="s">
        <v>60</v>
      </c>
      <c r="B35" s="26" t="str">
        <f ca="1">IFERROR(__xludf.DUMMYFUNCTION("split(A35,"":"")"),"ttcLidar[sec]")</f>
        <v>ttcLidar[sec]</v>
      </c>
      <c r="C35" s="26">
        <f ca="1">IFERROR(__xludf.DUMMYFUNCTION("""COMPUTED_VALUE"""),10.94)</f>
        <v>10.94</v>
      </c>
    </row>
    <row r="36" spans="1:3" ht="15.75" customHeight="1" x14ac:dyDescent="0.25">
      <c r="A36" s="25" t="s">
        <v>61</v>
      </c>
      <c r="B36" s="26" t="str">
        <f ca="1">IFERROR(__xludf.DUMMYFUNCTION("split(A36,"":"")"),"ttcCamera[sec]")</f>
        <v>ttcCamera[sec]</v>
      </c>
      <c r="C36" s="26">
        <f ca="1">IFERROR(__xludf.DUMMYFUNCTION("""COMPUTED_VALUE"""),11.777)</f>
        <v>11.776999999999999</v>
      </c>
    </row>
    <row r="37" spans="1:3" ht="15.75" customHeight="1" x14ac:dyDescent="0.25">
      <c r="A37" s="25" t="s">
        <v>62</v>
      </c>
      <c r="B37" s="26" t="str">
        <f ca="1">IFERROR(__xludf.DUMMYFUNCTION("split(A37,"":"")"),"iamageID")</f>
        <v>iamageID</v>
      </c>
      <c r="C37" s="26">
        <f ca="1">IFERROR(__xludf.DUMMYFUNCTION("""COMPUTED_VALUE"""),13)</f>
        <v>13</v>
      </c>
    </row>
    <row r="38" spans="1:3" ht="15.75" customHeight="1" x14ac:dyDescent="0.25">
      <c r="A38" s="25" t="s">
        <v>63</v>
      </c>
      <c r="B38" s="26" t="str">
        <f ca="1">IFERROR(__xludf.DUMMYFUNCTION("split(A38,"":"")"),"ttcLidar[sec]")</f>
        <v>ttcLidar[sec]</v>
      </c>
      <c r="C38" s="26">
        <f ca="1">IFERROR(__xludf.DUMMYFUNCTION("""COMPUTED_VALUE"""),6.37853)</f>
        <v>6.3785299999999996</v>
      </c>
    </row>
    <row r="39" spans="1:3" ht="15.75" customHeight="1" x14ac:dyDescent="0.25">
      <c r="A39" s="25" t="s">
        <v>64</v>
      </c>
      <c r="B39" s="26" t="str">
        <f ca="1">IFERROR(__xludf.DUMMYFUNCTION("split(A39,"":"")"),"ttcCamera[sec]")</f>
        <v>ttcCamera[sec]</v>
      </c>
      <c r="C39" s="26">
        <f ca="1">IFERROR(__xludf.DUMMYFUNCTION("""COMPUTED_VALUE"""),12.3008)</f>
        <v>12.300800000000001</v>
      </c>
    </row>
    <row r="40" spans="1:3" ht="12.5" x14ac:dyDescent="0.25">
      <c r="A40" s="25" t="s">
        <v>65</v>
      </c>
      <c r="B40" s="26" t="str">
        <f ca="1">IFERROR(__xludf.DUMMYFUNCTION("split(A40,"":"")"),"iamageID")</f>
        <v>iamageID</v>
      </c>
      <c r="C40" s="26">
        <f ca="1">IFERROR(__xludf.DUMMYFUNCTION("""COMPUTED_VALUE"""),14)</f>
        <v>14</v>
      </c>
    </row>
    <row r="41" spans="1:3" ht="12.5" x14ac:dyDescent="0.25">
      <c r="A41" s="25" t="s">
        <v>66</v>
      </c>
      <c r="B41" s="26" t="str">
        <f ca="1">IFERROR(__xludf.DUMMYFUNCTION("split(A41,"":"")"),"ttcLidar[sec]")</f>
        <v>ttcLidar[sec]</v>
      </c>
      <c r="C41" s="26">
        <f ca="1">IFERROR(__xludf.DUMMYFUNCTION("""COMPUTED_VALUE"""),17.9264)</f>
        <v>17.926400000000001</v>
      </c>
    </row>
    <row r="42" spans="1:3" ht="12.5" x14ac:dyDescent="0.25">
      <c r="A42" s="25" t="s">
        <v>67</v>
      </c>
      <c r="B42" s="26" t="str">
        <f ca="1">IFERROR(__xludf.DUMMYFUNCTION("split(A42,"":"")"),"ttcCamera[sec]")</f>
        <v>ttcCamera[sec]</v>
      </c>
      <c r="C42" s="26">
        <f ca="1">IFERROR(__xludf.DUMMYFUNCTION("""COMPUTED_VALUE"""),11.7213)</f>
        <v>11.721299999999999</v>
      </c>
    </row>
    <row r="43" spans="1:3" ht="12.5" x14ac:dyDescent="0.25">
      <c r="A43" s="25" t="s">
        <v>68</v>
      </c>
      <c r="B43" s="26" t="str">
        <f ca="1">IFERROR(__xludf.DUMMYFUNCTION("split(A43,"":"")"),"iamageID")</f>
        <v>iamageID</v>
      </c>
      <c r="C43" s="26">
        <f ca="1">IFERROR(__xludf.DUMMYFUNCTION("""COMPUTED_VALUE"""),15)</f>
        <v>15</v>
      </c>
    </row>
    <row r="44" spans="1:3" ht="12.5" x14ac:dyDescent="0.25">
      <c r="A44" s="25" t="s">
        <v>69</v>
      </c>
      <c r="B44" s="26" t="str">
        <f ca="1">IFERROR(__xludf.DUMMYFUNCTION("split(A44,"":"")"),"ttcLidar[sec]")</f>
        <v>ttcLidar[sec]</v>
      </c>
      <c r="C44" s="26">
        <f ca="1">IFERROR(__xludf.DUMMYFUNCTION("""COMPUTED_VALUE"""),13.714)</f>
        <v>13.714</v>
      </c>
    </row>
    <row r="45" spans="1:3" ht="12.5" x14ac:dyDescent="0.25">
      <c r="A45" s="25" t="s">
        <v>70</v>
      </c>
      <c r="B45" s="26" t="str">
        <f ca="1">IFERROR(__xludf.DUMMYFUNCTION("split(A45,"":"")"),"ttcCamera[sec]")</f>
        <v>ttcCamera[sec]</v>
      </c>
      <c r="C45" s="26">
        <f ca="1">IFERROR(__xludf.DUMMYFUNCTION("""COMPUTED_VALUE"""),11.3421)</f>
        <v>11.3421</v>
      </c>
    </row>
    <row r="46" spans="1:3" ht="12.5" x14ac:dyDescent="0.25">
      <c r="A46" s="25" t="s">
        <v>71</v>
      </c>
      <c r="B46" s="26" t="str">
        <f ca="1">IFERROR(__xludf.DUMMYFUNCTION("split(A46,"":"")"),"iamageID")</f>
        <v>iamageID</v>
      </c>
      <c r="C46" s="26">
        <f ca="1">IFERROR(__xludf.DUMMYFUNCTION("""COMPUTED_VALUE"""),16)</f>
        <v>16</v>
      </c>
    </row>
    <row r="47" spans="1:3" ht="12.5" x14ac:dyDescent="0.25">
      <c r="A47" s="25" t="s">
        <v>72</v>
      </c>
      <c r="B47" s="26" t="str">
        <f ca="1">IFERROR(__xludf.DUMMYFUNCTION("split(A47,"":"")"),"ttcLidar[sec]")</f>
        <v>ttcLidar[sec]</v>
      </c>
      <c r="C47" s="26">
        <f ca="1">IFERROR(__xludf.DUMMYFUNCTION("""COMPUTED_VALUE"""),6.1514)</f>
        <v>6.1513999999999998</v>
      </c>
    </row>
    <row r="48" spans="1:3" ht="12.5" x14ac:dyDescent="0.25">
      <c r="A48" s="25" t="s">
        <v>73</v>
      </c>
      <c r="B48" s="26" t="str">
        <f ca="1">IFERROR(__xludf.DUMMYFUNCTION("split(A48,"":"")"),"ttcCamera[sec]")</f>
        <v>ttcCamera[sec]</v>
      </c>
      <c r="C48" s="26">
        <f ca="1">IFERROR(__xludf.DUMMYFUNCTION("""COMPUTED_VALUE"""),11.7851)</f>
        <v>11.7851</v>
      </c>
    </row>
    <row r="49" spans="1:3" ht="12.5" x14ac:dyDescent="0.25">
      <c r="A49" s="25" t="s">
        <v>74</v>
      </c>
      <c r="B49" s="26" t="str">
        <f ca="1">IFERROR(__xludf.DUMMYFUNCTION("split(A49,"":"")"),"iamageID")</f>
        <v>iamageID</v>
      </c>
      <c r="C49" s="26">
        <f ca="1">IFERROR(__xludf.DUMMYFUNCTION("""COMPUTED_VALUE"""),17)</f>
        <v>17</v>
      </c>
    </row>
    <row r="50" spans="1:3" ht="12.5" x14ac:dyDescent="0.25">
      <c r="A50" s="25" t="s">
        <v>75</v>
      </c>
      <c r="B50" s="26" t="str">
        <f ca="1">IFERROR(__xludf.DUMMYFUNCTION("split(A50,"":"")"),"ttcLidar[sec]")</f>
        <v>ttcLidar[sec]</v>
      </c>
      <c r="C50" s="26">
        <f ca="1">IFERROR(__xludf.DUMMYFUNCTION("""COMPUTED_VALUE"""),5.30408)</f>
        <v>5.3040799999999999</v>
      </c>
    </row>
    <row r="51" spans="1:3" ht="12.5" x14ac:dyDescent="0.25">
      <c r="A51" s="25" t="s">
        <v>76</v>
      </c>
      <c r="B51" s="26" t="str">
        <f ca="1">IFERROR(__xludf.DUMMYFUNCTION("split(A51,"":"")"),"ttcCamera[sec]")</f>
        <v>ttcCamera[sec]</v>
      </c>
      <c r="C51" s="26">
        <f ca="1">IFERROR(__xludf.DUMMYFUNCTION("""COMPUTED_VALUE"""),9.41431)</f>
        <v>9.4143100000000004</v>
      </c>
    </row>
    <row r="52" spans="1:3" ht="12.5" x14ac:dyDescent="0.25">
      <c r="A52" s="25" t="s">
        <v>74</v>
      </c>
      <c r="B52" s="26" t="str">
        <f ca="1">IFERROR(__xludf.DUMMYFUNCTION("split(A52,"":"")"),"iamageID")</f>
        <v>iamageID</v>
      </c>
      <c r="C52" s="26">
        <f ca="1">IFERROR(__xludf.DUMMYFUNCTION("""COMPUTED_VALUE"""),17)</f>
        <v>17</v>
      </c>
    </row>
    <row r="53" spans="1:3" ht="12.5" x14ac:dyDescent="0.25">
      <c r="A53" s="25" t="s">
        <v>77</v>
      </c>
      <c r="B53" s="26" t="str">
        <f ca="1">IFERROR(__xludf.DUMMYFUNCTION("split(A53,"":"")"),"ttcLidar[sec]")</f>
        <v>ttcLidar[sec]</v>
      </c>
      <c r="C53" s="26">
        <f ca="1">IFERROR(__xludf.DUMMYFUNCTION("""COMPUTED_VALUE"""),0.000512202)</f>
        <v>5.1220200000000001E-4</v>
      </c>
    </row>
    <row r="54" spans="1:3" ht="12.5" x14ac:dyDescent="0.25">
      <c r="A54" s="25" t="s">
        <v>78</v>
      </c>
      <c r="B54" s="26" t="str">
        <f ca="1">IFERROR(__xludf.DUMMYFUNCTION("split(A54,"":"")"),"ttcCamera[sec]")</f>
        <v>ttcCamera[sec]</v>
      </c>
      <c r="C54" s="26">
        <f ca="1">IFERROR(__xludf.DUMMYFUNCTION("""COMPUTED_VALUE"""),9.9441)</f>
        <v>9.9441000000000006</v>
      </c>
    </row>
    <row r="55" spans="1:3" ht="12.5" x14ac:dyDescent="0.25">
      <c r="A55" s="25" t="s">
        <v>79</v>
      </c>
      <c r="B55" s="26" t="str">
        <f ca="1">IFERROR(__xludf.DUMMYFUNCTION("split(A55,"":"")"),"iamageID")</f>
        <v>iamageID</v>
      </c>
      <c r="C55" s="26">
        <f ca="1">IFERROR(__xludf.DUMMYFUNCTION("""COMPUTED_VALUE"""),18)</f>
        <v>18</v>
      </c>
    </row>
    <row r="56" spans="1:3" ht="12.5" x14ac:dyDescent="0.25">
      <c r="A56" s="25" t="s">
        <v>80</v>
      </c>
      <c r="B56" s="26" t="str">
        <f ca="1">IFERROR(__xludf.DUMMYFUNCTION("split(A56,"":"")"),"ttcLidar[sec]")</f>
        <v>ttcLidar[sec]</v>
      </c>
      <c r="C56" s="26">
        <f ca="1">IFERROR(__xludf.DUMMYFUNCTION("""COMPUTED_VALUE"""),50)</f>
        <v>50</v>
      </c>
    </row>
    <row r="57" spans="1:3" ht="12.5" x14ac:dyDescent="0.25">
      <c r="A57" s="25" t="s">
        <v>81</v>
      </c>
      <c r="B57" s="26" t="str">
        <f ca="1">IFERROR(__xludf.DUMMYFUNCTION("split(A57,"":"")"),"ttcCamera[sec]")</f>
        <v>ttcCamera[sec]</v>
      </c>
      <c r="C57" s="26">
        <f ca="1">IFERROR(__xludf.DUMMYFUNCTION("""COMPUTED_VALUE"""),11.8307)</f>
        <v>11.8307</v>
      </c>
    </row>
  </sheetData>
  <phoneticPr fontId="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C57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27" t="s">
        <v>26</v>
      </c>
      <c r="B1" s="26" t="str">
        <f ca="1">IFERROR(__xludf.DUMMYFUNCTION("split(A1,"":"")"),"iamageID")</f>
        <v>iamageID</v>
      </c>
      <c r="C1" s="26">
        <f ca="1">IFERROR(__xludf.DUMMYFUNCTION("""COMPUTED_VALUE"""),1)</f>
        <v>1</v>
      </c>
    </row>
    <row r="2" spans="1:3" ht="15.75" customHeight="1" x14ac:dyDescent="0.25">
      <c r="A2" s="27" t="s">
        <v>27</v>
      </c>
      <c r="B2" s="26" t="str">
        <f ca="1">IFERROR(__xludf.DUMMYFUNCTION("split(A2,"":"")"),"ttcLidar[sec]")</f>
        <v>ttcLidar[sec]</v>
      </c>
      <c r="C2" s="26">
        <f ca="1">IFERROR(__xludf.DUMMYFUNCTION("""COMPUTED_VALUE"""),8.05618)</f>
        <v>8.0561799999999995</v>
      </c>
    </row>
    <row r="3" spans="1:3" ht="15.75" customHeight="1" x14ac:dyDescent="0.25">
      <c r="A3" s="27" t="s">
        <v>82</v>
      </c>
      <c r="B3" s="26" t="str">
        <f ca="1">IFERROR(__xludf.DUMMYFUNCTION("split(A3,"":"")"),"ttcCamera[sec]")</f>
        <v>ttcCamera[sec]</v>
      </c>
      <c r="C3" s="26">
        <f ca="1">IFERROR(__xludf.DUMMYFUNCTION("""COMPUTED_VALUE"""),11.9301)</f>
        <v>11.930099999999999</v>
      </c>
    </row>
    <row r="4" spans="1:3" ht="15.75" customHeight="1" x14ac:dyDescent="0.25">
      <c r="A4" s="27" t="s">
        <v>29</v>
      </c>
      <c r="B4" s="26" t="str">
        <f ca="1">IFERROR(__xludf.DUMMYFUNCTION("split(A4,"":"")"),"iamageID")</f>
        <v>iamageID</v>
      </c>
      <c r="C4" s="26">
        <f ca="1">IFERROR(__xludf.DUMMYFUNCTION("""COMPUTED_VALUE"""),2)</f>
        <v>2</v>
      </c>
    </row>
    <row r="5" spans="1:3" ht="15.75" customHeight="1" x14ac:dyDescent="0.25">
      <c r="A5" s="27" t="s">
        <v>30</v>
      </c>
      <c r="B5" s="26" t="str">
        <f ca="1">IFERROR(__xludf.DUMMYFUNCTION("split(A5,"":"")"),"ttcLidar[sec]")</f>
        <v>ttcLidar[sec]</v>
      </c>
      <c r="C5" s="26">
        <f ca="1">IFERROR(__xludf.DUMMYFUNCTION("""COMPUTED_VALUE"""),13.9136)</f>
        <v>13.913600000000001</v>
      </c>
    </row>
    <row r="6" spans="1:3" ht="15.75" customHeight="1" x14ac:dyDescent="0.25">
      <c r="A6" s="27" t="s">
        <v>83</v>
      </c>
      <c r="B6" s="26" t="str">
        <f ca="1">IFERROR(__xludf.DUMMYFUNCTION("split(A6,"":"")"),"ttcCamera[sec]")</f>
        <v>ttcCamera[sec]</v>
      </c>
      <c r="C6" s="26">
        <f ca="1">IFERROR(__xludf.DUMMYFUNCTION("""COMPUTED_VALUE"""),15.6025)</f>
        <v>15.602499999999999</v>
      </c>
    </row>
    <row r="7" spans="1:3" ht="15.75" customHeight="1" x14ac:dyDescent="0.25">
      <c r="A7" s="27" t="s">
        <v>32</v>
      </c>
      <c r="B7" s="26" t="str">
        <f ca="1">IFERROR(__xludf.DUMMYFUNCTION("split(A7,"":"")"),"iamageID")</f>
        <v>iamageID</v>
      </c>
      <c r="C7" s="26">
        <f ca="1">IFERROR(__xludf.DUMMYFUNCTION("""COMPUTED_VALUE"""),3)</f>
        <v>3</v>
      </c>
    </row>
    <row r="8" spans="1:3" ht="15.75" customHeight="1" x14ac:dyDescent="0.25">
      <c r="A8" s="27" t="s">
        <v>33</v>
      </c>
      <c r="B8" s="26" t="str">
        <f ca="1">IFERROR(__xludf.DUMMYFUNCTION("split(A8,"":"")"),"ttcLidar[sec]")</f>
        <v>ttcLidar[sec]</v>
      </c>
      <c r="C8" s="26">
        <f ca="1">IFERROR(__xludf.DUMMYFUNCTION("""COMPUTED_VALUE"""),44.5655)</f>
        <v>44.5655</v>
      </c>
    </row>
    <row r="9" spans="1:3" ht="15.75" customHeight="1" x14ac:dyDescent="0.25">
      <c r="A9" s="27" t="s">
        <v>84</v>
      </c>
      <c r="B9" s="26" t="str">
        <f ca="1">IFERROR(__xludf.DUMMYFUNCTION("split(A9,"":"")"),"ttcCamera[sec]")</f>
        <v>ttcCamera[sec]</v>
      </c>
      <c r="C9" s="26">
        <f ca="1">IFERROR(__xludf.DUMMYFUNCTION("""COMPUTED_VALUE"""),13.2)</f>
        <v>13.2</v>
      </c>
    </row>
    <row r="10" spans="1:3" ht="15.75" customHeight="1" x14ac:dyDescent="0.25">
      <c r="A10" s="27" t="s">
        <v>35</v>
      </c>
      <c r="B10" s="26" t="str">
        <f ca="1">IFERROR(__xludf.DUMMYFUNCTION("split(A10,"":"")"),"iamageID")</f>
        <v>iamageID</v>
      </c>
      <c r="C10" s="26">
        <f ca="1">IFERROR(__xludf.DUMMYFUNCTION("""COMPUTED_VALUE"""),4)</f>
        <v>4</v>
      </c>
    </row>
    <row r="11" spans="1:3" ht="15.75" customHeight="1" x14ac:dyDescent="0.25">
      <c r="A11" s="27" t="s">
        <v>36</v>
      </c>
      <c r="B11" s="26" t="str">
        <f ca="1">IFERROR(__xludf.DUMMYFUNCTION("split(A11,"":"")"),"ttcLidar[sec]")</f>
        <v>ttcLidar[sec]</v>
      </c>
      <c r="C11" s="26">
        <f ca="1">IFERROR(__xludf.DUMMYFUNCTION("""COMPUTED_VALUE"""),14.633)</f>
        <v>14.632999999999999</v>
      </c>
    </row>
    <row r="12" spans="1:3" ht="15.75" customHeight="1" x14ac:dyDescent="0.25">
      <c r="A12" s="27" t="s">
        <v>85</v>
      </c>
      <c r="B12" s="26" t="str">
        <f ca="1">IFERROR(__xludf.DUMMYFUNCTION("split(A12,"":"")"),"ttcCamera[sec]")</f>
        <v>ttcCamera[sec]</v>
      </c>
      <c r="C12" s="26">
        <f ca="1">IFERROR(__xludf.DUMMYFUNCTION("""COMPUTED_VALUE"""),14.033)</f>
        <v>14.032999999999999</v>
      </c>
    </row>
    <row r="13" spans="1:3" ht="15.75" customHeight="1" x14ac:dyDescent="0.25">
      <c r="A13" s="27" t="s">
        <v>38</v>
      </c>
      <c r="B13" s="26" t="str">
        <f ca="1">IFERROR(__xludf.DUMMYFUNCTION("split(A13,"":"")"),"iamageID")</f>
        <v>iamageID</v>
      </c>
      <c r="C13" s="26">
        <f ca="1">IFERROR(__xludf.DUMMYFUNCTION("""COMPUTED_VALUE"""),5)</f>
        <v>5</v>
      </c>
    </row>
    <row r="14" spans="1:3" ht="15.75" customHeight="1" x14ac:dyDescent="0.25">
      <c r="A14" s="27" t="s">
        <v>39</v>
      </c>
      <c r="B14" s="26" t="str">
        <f ca="1">IFERROR(__xludf.DUMMYFUNCTION("split(A14,"":"")"),"ttcLidar[sec]")</f>
        <v>ttcLidar[sec]</v>
      </c>
      <c r="C14" s="26">
        <f ca="1">IFERROR(__xludf.DUMMYFUNCTION("""COMPUTED_VALUE"""),17.8178)</f>
        <v>17.817799999999998</v>
      </c>
    </row>
    <row r="15" spans="1:3" ht="15.75" customHeight="1" x14ac:dyDescent="0.25">
      <c r="A15" s="27" t="s">
        <v>86</v>
      </c>
      <c r="B15" s="26" t="str">
        <f ca="1">IFERROR(__xludf.DUMMYFUNCTION("split(A15,"":"")"),"ttcCamera[sec]")</f>
        <v>ttcCamera[sec]</v>
      </c>
      <c r="C15" s="26">
        <f ca="1">IFERROR(__xludf.DUMMYFUNCTION("""COMPUTED_VALUE"""),173.98)</f>
        <v>173.98</v>
      </c>
    </row>
    <row r="16" spans="1:3" ht="15.75" customHeight="1" x14ac:dyDescent="0.25">
      <c r="A16" s="27" t="s">
        <v>41</v>
      </c>
      <c r="B16" s="26" t="str">
        <f ca="1">IFERROR(__xludf.DUMMYFUNCTION("split(A16,"":"")"),"iamageID")</f>
        <v>iamageID</v>
      </c>
      <c r="C16" s="26">
        <f ca="1">IFERROR(__xludf.DUMMYFUNCTION("""COMPUTED_VALUE"""),6)</f>
        <v>6</v>
      </c>
    </row>
    <row r="17" spans="1:3" ht="15.75" customHeight="1" x14ac:dyDescent="0.25">
      <c r="A17" s="27" t="s">
        <v>42</v>
      </c>
      <c r="B17" s="26" t="str">
        <f ca="1">IFERROR(__xludf.DUMMYFUNCTION("split(A17,"":"")"),"ttcLidar[sec]")</f>
        <v>ttcLidar[sec]</v>
      </c>
      <c r="C17" s="26">
        <f ca="1">IFERROR(__xludf.DUMMYFUNCTION("""COMPUTED_VALUE"""),13.8814)</f>
        <v>13.881399999999999</v>
      </c>
    </row>
    <row r="18" spans="1:3" ht="15.75" customHeight="1" x14ac:dyDescent="0.25">
      <c r="A18" s="27" t="s">
        <v>87</v>
      </c>
      <c r="B18" s="26" t="str">
        <f ca="1">IFERROR(__xludf.DUMMYFUNCTION("split(A18,"":"")"),"ttcCamera[sec]")</f>
        <v>ttcCamera[sec]</v>
      </c>
      <c r="C18" s="26">
        <f ca="1">IFERROR(__xludf.DUMMYFUNCTION("""COMPUTED_VALUE"""),12.3086)</f>
        <v>12.3086</v>
      </c>
    </row>
    <row r="19" spans="1:3" ht="15.75" customHeight="1" x14ac:dyDescent="0.25">
      <c r="A19" s="27" t="s">
        <v>44</v>
      </c>
      <c r="B19" s="26" t="str">
        <f ca="1">IFERROR(__xludf.DUMMYFUNCTION("split(A19,"":"")"),"iamageID")</f>
        <v>iamageID</v>
      </c>
      <c r="C19" s="26">
        <f ca="1">IFERROR(__xludf.DUMMYFUNCTION("""COMPUTED_VALUE"""),7)</f>
        <v>7</v>
      </c>
    </row>
    <row r="20" spans="1:3" ht="15.75" customHeight="1" x14ac:dyDescent="0.25">
      <c r="A20" s="27" t="s">
        <v>45</v>
      </c>
      <c r="B20" s="26" t="str">
        <f ca="1">IFERROR(__xludf.DUMMYFUNCTION("split(A20,"":"")"),"ttcLidar[sec]")</f>
        <v>ttcLidar[sec]</v>
      </c>
      <c r="C20" s="26">
        <f ca="1">IFERROR(__xludf.DUMMYFUNCTION("""COMPUTED_VALUE"""),22.9091)</f>
        <v>22.909099999999999</v>
      </c>
    </row>
    <row r="21" spans="1:3" ht="15.75" customHeight="1" x14ac:dyDescent="0.25">
      <c r="A21" s="27" t="s">
        <v>88</v>
      </c>
      <c r="B21" s="26" t="str">
        <f ca="1">IFERROR(__xludf.DUMMYFUNCTION("split(A21,"":"")"),"ttcCamera[sec]")</f>
        <v>ttcCamera[sec]</v>
      </c>
      <c r="C21" s="26">
        <f ca="1">IFERROR(__xludf.DUMMYFUNCTION("""COMPUTED_VALUE"""),12.2021)</f>
        <v>12.2021</v>
      </c>
    </row>
    <row r="22" spans="1:3" ht="15.75" customHeight="1" x14ac:dyDescent="0.25">
      <c r="A22" s="27" t="s">
        <v>47</v>
      </c>
      <c r="B22" s="26" t="str">
        <f ca="1">IFERROR(__xludf.DUMMYFUNCTION("split(A22,"":"")"),"iamageID")</f>
        <v>iamageID</v>
      </c>
      <c r="C22" s="26">
        <f ca="1">IFERROR(__xludf.DUMMYFUNCTION("""COMPUTED_VALUE"""),8)</f>
        <v>8</v>
      </c>
    </row>
    <row r="23" spans="1:3" ht="15.75" customHeight="1" x14ac:dyDescent="0.25">
      <c r="A23" s="27" t="s">
        <v>48</v>
      </c>
      <c r="B23" s="26" t="str">
        <f ca="1">IFERROR(__xludf.DUMMYFUNCTION("split(A23,"":"")"),"ttcLidar[sec]")</f>
        <v>ttcLidar[sec]</v>
      </c>
      <c r="C23" s="26">
        <f ca="1">IFERROR(__xludf.DUMMYFUNCTION("""COMPUTED_VALUE"""),7.41929)</f>
        <v>7.4192900000000002</v>
      </c>
    </row>
    <row r="24" spans="1:3" ht="15.75" customHeight="1" x14ac:dyDescent="0.25">
      <c r="A24" s="27" t="s">
        <v>89</v>
      </c>
      <c r="B24" s="26" t="str">
        <f ca="1">IFERROR(__xludf.DUMMYFUNCTION("split(A24,"":"")"),"ttcCamera[sec]")</f>
        <v>ttcCamera[sec]</v>
      </c>
      <c r="C24" s="26">
        <f ca="1">IFERROR(__xludf.DUMMYFUNCTION("""COMPUTED_VALUE"""),11.5965)</f>
        <v>11.596500000000001</v>
      </c>
    </row>
    <row r="25" spans="1:3" ht="15.75" customHeight="1" x14ac:dyDescent="0.25">
      <c r="A25" s="27" t="s">
        <v>50</v>
      </c>
      <c r="B25" s="26" t="str">
        <f ca="1">IFERROR(__xludf.DUMMYFUNCTION("split(A25,"":"")"),"iamageID")</f>
        <v>iamageID</v>
      </c>
      <c r="C25" s="26">
        <f ca="1">IFERROR(__xludf.DUMMYFUNCTION("""COMPUTED_VALUE"""),9)</f>
        <v>9</v>
      </c>
    </row>
    <row r="26" spans="1:3" ht="15.75" customHeight="1" x14ac:dyDescent="0.25">
      <c r="A26" s="27" t="s">
        <v>51</v>
      </c>
      <c r="B26" s="26" t="str">
        <f ca="1">IFERROR(__xludf.DUMMYFUNCTION("split(A26,"":"")"),"ttcLidar[sec]")</f>
        <v>ttcLidar[sec]</v>
      </c>
      <c r="C26" s="26">
        <f ca="1">IFERROR(__xludf.DUMMYFUNCTION("""COMPUTED_VALUE"""),7.4619)</f>
        <v>7.4619</v>
      </c>
    </row>
    <row r="27" spans="1:3" ht="15.75" customHeight="1" x14ac:dyDescent="0.25">
      <c r="A27" s="27" t="s">
        <v>90</v>
      </c>
      <c r="B27" s="26" t="str">
        <f ca="1">IFERROR(__xludf.DUMMYFUNCTION("split(A27,"":"")"),"ttcCamera[sec]")</f>
        <v>ttcCamera[sec]</v>
      </c>
      <c r="C27" s="26">
        <f ca="1">IFERROR(__xludf.DUMMYFUNCTION("""COMPUTED_VALUE"""),12.3316)</f>
        <v>12.3316</v>
      </c>
    </row>
    <row r="28" spans="1:3" ht="15.75" customHeight="1" x14ac:dyDescent="0.25">
      <c r="A28" s="27" t="s">
        <v>53</v>
      </c>
      <c r="B28" s="26" t="str">
        <f ca="1">IFERROR(__xludf.DUMMYFUNCTION("split(A28,"":"")"),"iamageID")</f>
        <v>iamageID</v>
      </c>
      <c r="C28" s="26">
        <f ca="1">IFERROR(__xludf.DUMMYFUNCTION("""COMPUTED_VALUE"""),10)</f>
        <v>10</v>
      </c>
    </row>
    <row r="29" spans="1:3" ht="15.75" customHeight="1" x14ac:dyDescent="0.25">
      <c r="A29" s="27" t="s">
        <v>54</v>
      </c>
      <c r="B29" s="26" t="str">
        <f ca="1">IFERROR(__xludf.DUMMYFUNCTION("split(A29,"":"")"),"ttcLidar[sec]")</f>
        <v>ttcLidar[sec]</v>
      </c>
      <c r="C29" s="26">
        <f ca="1">IFERROR(__xludf.DUMMYFUNCTION("""COMPUTED_VALUE"""),15.8242)</f>
        <v>15.824199999999999</v>
      </c>
    </row>
    <row r="30" spans="1:3" ht="15.75" customHeight="1" x14ac:dyDescent="0.25">
      <c r="A30" s="27" t="s">
        <v>91</v>
      </c>
      <c r="B30" s="26" t="str">
        <f ca="1">IFERROR(__xludf.DUMMYFUNCTION("split(A30,"":"")"),"ttcCamera[sec]")</f>
        <v>ttcCamera[sec]</v>
      </c>
      <c r="C30" s="26">
        <f ca="1">IFERROR(__xludf.DUMMYFUNCTION("""COMPUTED_VALUE"""),13.4105)</f>
        <v>13.410500000000001</v>
      </c>
    </row>
    <row r="31" spans="1:3" ht="15.75" customHeight="1" x14ac:dyDescent="0.25">
      <c r="A31" s="27" t="s">
        <v>56</v>
      </c>
      <c r="B31" s="26" t="str">
        <f ca="1">IFERROR(__xludf.DUMMYFUNCTION("split(A31,"":"")"),"iamageID")</f>
        <v>iamageID</v>
      </c>
      <c r="C31" s="26">
        <f ca="1">IFERROR(__xludf.DUMMYFUNCTION("""COMPUTED_VALUE"""),11)</f>
        <v>11</v>
      </c>
    </row>
    <row r="32" spans="1:3" ht="15.75" customHeight="1" x14ac:dyDescent="0.25">
      <c r="A32" s="27" t="s">
        <v>57</v>
      </c>
      <c r="B32" s="26" t="str">
        <f ca="1">IFERROR(__xludf.DUMMYFUNCTION("split(A32,"":"")"),"ttcLidar[sec]")</f>
        <v>ttcLidar[sec]</v>
      </c>
      <c r="C32" s="26">
        <f ca="1">IFERROR(__xludf.DUMMYFUNCTION("""COMPUTED_VALUE"""),8.68199)</f>
        <v>8.6819900000000008</v>
      </c>
    </row>
    <row r="33" spans="1:3" ht="15.75" customHeight="1" x14ac:dyDescent="0.25">
      <c r="A33" s="27" t="s">
        <v>92</v>
      </c>
      <c r="B33" s="26" t="str">
        <f ca="1">IFERROR(__xludf.DUMMYFUNCTION("split(A33,"":"")"),"ttcCamera[sec]")</f>
        <v>ttcCamera[sec]</v>
      </c>
      <c r="C33" s="26">
        <f ca="1">IFERROR(__xludf.DUMMYFUNCTION("""COMPUTED_VALUE"""),13.0759)</f>
        <v>13.075900000000001</v>
      </c>
    </row>
    <row r="34" spans="1:3" ht="15.75" customHeight="1" x14ac:dyDescent="0.25">
      <c r="A34" s="27" t="s">
        <v>59</v>
      </c>
      <c r="B34" s="26" t="str">
        <f ca="1">IFERROR(__xludf.DUMMYFUNCTION("split(A34,"":"")"),"iamageID")</f>
        <v>iamageID</v>
      </c>
      <c r="C34" s="26">
        <f ca="1">IFERROR(__xludf.DUMMYFUNCTION("""COMPUTED_VALUE"""),12)</f>
        <v>12</v>
      </c>
    </row>
    <row r="35" spans="1:3" ht="15.75" customHeight="1" x14ac:dyDescent="0.25">
      <c r="A35" s="27" t="s">
        <v>60</v>
      </c>
      <c r="B35" s="26" t="str">
        <f ca="1">IFERROR(__xludf.DUMMYFUNCTION("split(A35,"":"")"),"ttcLidar[sec]")</f>
        <v>ttcLidar[sec]</v>
      </c>
      <c r="C35" s="26">
        <f ca="1">IFERROR(__xludf.DUMMYFUNCTION("""COMPUTED_VALUE"""),10.94)</f>
        <v>10.94</v>
      </c>
    </row>
    <row r="36" spans="1:3" ht="15.75" customHeight="1" x14ac:dyDescent="0.25">
      <c r="A36" s="27" t="s">
        <v>93</v>
      </c>
      <c r="B36" s="26" t="str">
        <f ca="1">IFERROR(__xludf.DUMMYFUNCTION("split(A36,"":"")"),"ttcCamera[sec]")</f>
        <v>ttcCamera[sec]</v>
      </c>
      <c r="C36" s="26">
        <f ca="1">IFERROR(__xludf.DUMMYFUNCTION("""COMPUTED_VALUE"""),11.8644)</f>
        <v>11.8644</v>
      </c>
    </row>
    <row r="37" spans="1:3" ht="15.75" customHeight="1" x14ac:dyDescent="0.25">
      <c r="A37" s="27" t="s">
        <v>62</v>
      </c>
      <c r="B37" s="26" t="str">
        <f ca="1">IFERROR(__xludf.DUMMYFUNCTION("split(A37,"":"")"),"iamageID")</f>
        <v>iamageID</v>
      </c>
      <c r="C37" s="26">
        <f ca="1">IFERROR(__xludf.DUMMYFUNCTION("""COMPUTED_VALUE"""),13)</f>
        <v>13</v>
      </c>
    </row>
    <row r="38" spans="1:3" ht="15.75" customHeight="1" x14ac:dyDescent="0.25">
      <c r="A38" s="27" t="s">
        <v>63</v>
      </c>
      <c r="B38" s="26" t="str">
        <f ca="1">IFERROR(__xludf.DUMMYFUNCTION("split(A38,"":"")"),"ttcLidar[sec]")</f>
        <v>ttcLidar[sec]</v>
      </c>
      <c r="C38" s="26">
        <f ca="1">IFERROR(__xludf.DUMMYFUNCTION("""COMPUTED_VALUE"""),6.37853)</f>
        <v>6.3785299999999996</v>
      </c>
    </row>
    <row r="39" spans="1:3" ht="15.75" customHeight="1" x14ac:dyDescent="0.25">
      <c r="A39" s="27" t="s">
        <v>94</v>
      </c>
      <c r="B39" s="26" t="str">
        <f ca="1">IFERROR(__xludf.DUMMYFUNCTION("split(A39,"":"")"),"ttcCamera[sec]")</f>
        <v>ttcCamera[sec]</v>
      </c>
      <c r="C39" s="26">
        <f ca="1">IFERROR(__xludf.DUMMYFUNCTION("""COMPUTED_VALUE"""),11.6118)</f>
        <v>11.611800000000001</v>
      </c>
    </row>
    <row r="40" spans="1:3" ht="12.5" x14ac:dyDescent="0.25">
      <c r="A40" s="27" t="s">
        <v>65</v>
      </c>
      <c r="B40" s="26" t="str">
        <f ca="1">IFERROR(__xludf.DUMMYFUNCTION("split(A40,"":"")"),"iamageID")</f>
        <v>iamageID</v>
      </c>
      <c r="C40" s="26">
        <f ca="1">IFERROR(__xludf.DUMMYFUNCTION("""COMPUTED_VALUE"""),14)</f>
        <v>14</v>
      </c>
    </row>
    <row r="41" spans="1:3" ht="12.5" x14ac:dyDescent="0.25">
      <c r="A41" s="27" t="s">
        <v>66</v>
      </c>
      <c r="B41" s="26" t="str">
        <f ca="1">IFERROR(__xludf.DUMMYFUNCTION("split(A41,"":"")"),"ttcLidar[sec]")</f>
        <v>ttcLidar[sec]</v>
      </c>
      <c r="C41" s="26">
        <f ca="1">IFERROR(__xludf.DUMMYFUNCTION("""COMPUTED_VALUE"""),17.9264)</f>
        <v>17.926400000000001</v>
      </c>
    </row>
    <row r="42" spans="1:3" ht="12.5" x14ac:dyDescent="0.25">
      <c r="A42" s="27" t="s">
        <v>95</v>
      </c>
      <c r="B42" s="26" t="str">
        <f ca="1">IFERROR(__xludf.DUMMYFUNCTION("split(A42,"":"")"),"ttcCamera[sec]")</f>
        <v>ttcCamera[sec]</v>
      </c>
      <c r="C42" s="26">
        <f ca="1">IFERROR(__xludf.DUMMYFUNCTION("""COMPUTED_VALUE"""),11.0205)</f>
        <v>11.0205</v>
      </c>
    </row>
    <row r="43" spans="1:3" ht="12.5" x14ac:dyDescent="0.25">
      <c r="A43" s="27" t="s">
        <v>68</v>
      </c>
      <c r="B43" s="26" t="str">
        <f ca="1">IFERROR(__xludf.DUMMYFUNCTION("split(A43,"":"")"),"iamageID")</f>
        <v>iamageID</v>
      </c>
      <c r="C43" s="26">
        <f ca="1">IFERROR(__xludf.DUMMYFUNCTION("""COMPUTED_VALUE"""),15)</f>
        <v>15</v>
      </c>
    </row>
    <row r="44" spans="1:3" ht="12.5" x14ac:dyDescent="0.25">
      <c r="A44" s="27" t="s">
        <v>69</v>
      </c>
      <c r="B44" s="26" t="str">
        <f ca="1">IFERROR(__xludf.DUMMYFUNCTION("split(A44,"":"")"),"ttcLidar[sec]")</f>
        <v>ttcLidar[sec]</v>
      </c>
      <c r="C44" s="26">
        <f ca="1">IFERROR(__xludf.DUMMYFUNCTION("""COMPUTED_VALUE"""),13.714)</f>
        <v>13.714</v>
      </c>
    </row>
    <row r="45" spans="1:3" ht="12.5" x14ac:dyDescent="0.25">
      <c r="A45" s="27" t="s">
        <v>96</v>
      </c>
      <c r="B45" s="26" t="str">
        <f ca="1">IFERROR(__xludf.DUMMYFUNCTION("split(A45,"":"")"),"ttcCamera[sec]")</f>
        <v>ttcCamera[sec]</v>
      </c>
      <c r="C45" s="26">
        <f ca="1">IFERROR(__xludf.DUMMYFUNCTION("""COMPUTED_VALUE"""),10.8147)</f>
        <v>10.8147</v>
      </c>
    </row>
    <row r="46" spans="1:3" ht="12.5" x14ac:dyDescent="0.25">
      <c r="A46" s="27" t="s">
        <v>71</v>
      </c>
      <c r="B46" s="26" t="str">
        <f ca="1">IFERROR(__xludf.DUMMYFUNCTION("split(A46,"":"")"),"iamageID")</f>
        <v>iamageID</v>
      </c>
      <c r="C46" s="26">
        <f ca="1">IFERROR(__xludf.DUMMYFUNCTION("""COMPUTED_VALUE"""),16)</f>
        <v>16</v>
      </c>
    </row>
    <row r="47" spans="1:3" ht="12.5" x14ac:dyDescent="0.25">
      <c r="A47" s="27" t="s">
        <v>72</v>
      </c>
      <c r="B47" s="26" t="str">
        <f ca="1">IFERROR(__xludf.DUMMYFUNCTION("split(A47,"":"")"),"ttcLidar[sec]")</f>
        <v>ttcLidar[sec]</v>
      </c>
      <c r="C47" s="26">
        <f ca="1">IFERROR(__xludf.DUMMYFUNCTION("""COMPUTED_VALUE"""),6.1514)</f>
        <v>6.1513999999999998</v>
      </c>
    </row>
    <row r="48" spans="1:3" ht="12.5" x14ac:dyDescent="0.25">
      <c r="A48" s="27" t="s">
        <v>97</v>
      </c>
      <c r="B48" s="26" t="str">
        <f ca="1">IFERROR(__xludf.DUMMYFUNCTION("split(A48,"":"")"),"ttcCamera[sec]")</f>
        <v>ttcCamera[sec]</v>
      </c>
      <c r="C48" s="26">
        <f ca="1">IFERROR(__xludf.DUMMYFUNCTION("""COMPUTED_VALUE"""),11.9191)</f>
        <v>11.9191</v>
      </c>
    </row>
    <row r="49" spans="1:3" ht="12.5" x14ac:dyDescent="0.25">
      <c r="A49" s="27" t="s">
        <v>74</v>
      </c>
      <c r="B49" s="26" t="str">
        <f ca="1">IFERROR(__xludf.DUMMYFUNCTION("split(A49,"":"")"),"iamageID")</f>
        <v>iamageID</v>
      </c>
      <c r="C49" s="26">
        <f ca="1">IFERROR(__xludf.DUMMYFUNCTION("""COMPUTED_VALUE"""),17)</f>
        <v>17</v>
      </c>
    </row>
    <row r="50" spans="1:3" ht="12.5" x14ac:dyDescent="0.25">
      <c r="A50" s="27" t="s">
        <v>75</v>
      </c>
      <c r="B50" s="26" t="str">
        <f ca="1">IFERROR(__xludf.DUMMYFUNCTION("split(A50,"":"")"),"ttcLidar[sec]")</f>
        <v>ttcLidar[sec]</v>
      </c>
      <c r="C50" s="26">
        <f ca="1">IFERROR(__xludf.DUMMYFUNCTION("""COMPUTED_VALUE"""),5.30408)</f>
        <v>5.3040799999999999</v>
      </c>
    </row>
    <row r="51" spans="1:3" ht="12.5" x14ac:dyDescent="0.25">
      <c r="A51" s="27" t="s">
        <v>98</v>
      </c>
      <c r="B51" s="26" t="str">
        <f ca="1">IFERROR(__xludf.DUMMYFUNCTION("split(A51,"":"")"),"ttcCamera[sec]")</f>
        <v>ttcCamera[sec]</v>
      </c>
      <c r="C51" s="26">
        <f ca="1">IFERROR(__xludf.DUMMYFUNCTION("""COMPUTED_VALUE"""),8.3405)</f>
        <v>8.3405000000000005</v>
      </c>
    </row>
    <row r="52" spans="1:3" ht="12.5" x14ac:dyDescent="0.25">
      <c r="A52" s="27" t="s">
        <v>74</v>
      </c>
      <c r="B52" s="26" t="str">
        <f ca="1">IFERROR(__xludf.DUMMYFUNCTION("split(A52,"":"")"),"iamageID")</f>
        <v>iamageID</v>
      </c>
      <c r="C52" s="26">
        <f ca="1">IFERROR(__xludf.DUMMYFUNCTION("""COMPUTED_VALUE"""),17)</f>
        <v>17</v>
      </c>
    </row>
    <row r="53" spans="1:3" ht="12.5" x14ac:dyDescent="0.25">
      <c r="A53" s="27" t="s">
        <v>77</v>
      </c>
      <c r="B53" s="26" t="str">
        <f ca="1">IFERROR(__xludf.DUMMYFUNCTION("split(A53,"":"")"),"ttcLidar[sec]")</f>
        <v>ttcLidar[sec]</v>
      </c>
      <c r="C53" s="26">
        <f ca="1">IFERROR(__xludf.DUMMYFUNCTION("""COMPUTED_VALUE"""),0.000512202)</f>
        <v>5.1220200000000001E-4</v>
      </c>
    </row>
    <row r="54" spans="1:3" ht="12.5" x14ac:dyDescent="0.25">
      <c r="A54" s="27" t="s">
        <v>99</v>
      </c>
      <c r="B54" s="26" t="str">
        <f ca="1">IFERROR(__xludf.DUMMYFUNCTION("split(A54,"":"")"),"ttcCamera[sec]")</f>
        <v>ttcCamera[sec]</v>
      </c>
      <c r="C54" s="26">
        <f ca="1">IFERROR(__xludf.DUMMYFUNCTION("""COMPUTED_VALUE"""),7.80452)</f>
        <v>7.8045200000000001</v>
      </c>
    </row>
    <row r="55" spans="1:3" ht="12.5" x14ac:dyDescent="0.25">
      <c r="A55" s="27" t="s">
        <v>79</v>
      </c>
      <c r="B55" s="26" t="str">
        <f ca="1">IFERROR(__xludf.DUMMYFUNCTION("split(A55,"":"")"),"iamageID")</f>
        <v>iamageID</v>
      </c>
      <c r="C55" s="26">
        <f ca="1">IFERROR(__xludf.DUMMYFUNCTION("""COMPUTED_VALUE"""),18)</f>
        <v>18</v>
      </c>
    </row>
    <row r="56" spans="1:3" ht="12.5" x14ac:dyDescent="0.25">
      <c r="A56" s="27" t="s">
        <v>80</v>
      </c>
      <c r="B56" s="26" t="str">
        <f ca="1">IFERROR(__xludf.DUMMYFUNCTION("split(A56,"":"")"),"ttcLidar[sec]")</f>
        <v>ttcLidar[sec]</v>
      </c>
      <c r="C56" s="26">
        <f ca="1">IFERROR(__xludf.DUMMYFUNCTION("""COMPUTED_VALUE"""),50)</f>
        <v>50</v>
      </c>
    </row>
    <row r="57" spans="1:3" ht="12.5" x14ac:dyDescent="0.25">
      <c r="A57" s="27" t="s">
        <v>100</v>
      </c>
      <c r="B57" s="26" t="str">
        <f ca="1">IFERROR(__xludf.DUMMYFUNCTION("split(A57,"":"")"),"ttcCamera[sec]")</f>
        <v>ttcCamera[sec]</v>
      </c>
      <c r="C57" s="26">
        <f ca="1">IFERROR(__xludf.DUMMYFUNCTION("""COMPUTED_VALUE"""),11.9006)</f>
        <v>11.900600000000001</v>
      </c>
    </row>
  </sheetData>
  <phoneticPr fontId="1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C57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27" t="s">
        <v>26</v>
      </c>
      <c r="B1" s="26" t="str">
        <f ca="1">IFERROR(__xludf.DUMMYFUNCTION("split(A1,"":"")"),"iamageID")</f>
        <v>iamageID</v>
      </c>
      <c r="C1" s="26">
        <f ca="1">IFERROR(__xludf.DUMMYFUNCTION("""COMPUTED_VALUE"""),1)</f>
        <v>1</v>
      </c>
    </row>
    <row r="2" spans="1:3" ht="15.75" customHeight="1" x14ac:dyDescent="0.25">
      <c r="A2" s="27" t="s">
        <v>27</v>
      </c>
      <c r="B2" s="26" t="str">
        <f ca="1">IFERROR(__xludf.DUMMYFUNCTION("split(A2,"":"")"),"ttcLidar[sec]")</f>
        <v>ttcLidar[sec]</v>
      </c>
      <c r="C2" s="26">
        <f ca="1">IFERROR(__xludf.DUMMYFUNCTION("""COMPUTED_VALUE"""),8.05618)</f>
        <v>8.0561799999999995</v>
      </c>
    </row>
    <row r="3" spans="1:3" ht="15.75" customHeight="1" x14ac:dyDescent="0.25">
      <c r="A3" s="27" t="s">
        <v>101</v>
      </c>
      <c r="B3" s="26" t="str">
        <f ca="1">IFERROR(__xludf.DUMMYFUNCTION("split(A3,"":"")"),"ttcCamera[sec]")</f>
        <v>ttcCamera[sec]</v>
      </c>
      <c r="C3" s="26">
        <f ca="1">IFERROR(__xludf.DUMMYFUNCTION("""COMPUTED_VALUE"""),11.2388)</f>
        <v>11.238799999999999</v>
      </c>
    </row>
    <row r="4" spans="1:3" ht="15.75" customHeight="1" x14ac:dyDescent="0.25">
      <c r="A4" s="27" t="s">
        <v>29</v>
      </c>
      <c r="B4" s="26" t="str">
        <f ca="1">IFERROR(__xludf.DUMMYFUNCTION("split(A4,"":"")"),"iamageID")</f>
        <v>iamageID</v>
      </c>
      <c r="C4" s="26">
        <f ca="1">IFERROR(__xludf.DUMMYFUNCTION("""COMPUTED_VALUE"""),2)</f>
        <v>2</v>
      </c>
    </row>
    <row r="5" spans="1:3" ht="15.75" customHeight="1" x14ac:dyDescent="0.25">
      <c r="A5" s="27" t="s">
        <v>30</v>
      </c>
      <c r="B5" s="26" t="str">
        <f ca="1">IFERROR(__xludf.DUMMYFUNCTION("split(A5,"":"")"),"ttcLidar[sec]")</f>
        <v>ttcLidar[sec]</v>
      </c>
      <c r="C5" s="26">
        <f ca="1">IFERROR(__xludf.DUMMYFUNCTION("""COMPUTED_VALUE"""),13.9136)</f>
        <v>13.913600000000001</v>
      </c>
    </row>
    <row r="6" spans="1:3" ht="15.75" customHeight="1" x14ac:dyDescent="0.25">
      <c r="A6" s="27" t="s">
        <v>102</v>
      </c>
      <c r="B6" s="26" t="str">
        <f ca="1">IFERROR(__xludf.DUMMYFUNCTION("split(A6,"":"")"),"ttcCamera[sec]")</f>
        <v>ttcCamera[sec]</v>
      </c>
      <c r="C6" s="26">
        <f ca="1">IFERROR(__xludf.DUMMYFUNCTION("""COMPUTED_VALUE"""),11.0789)</f>
        <v>11.078900000000001</v>
      </c>
    </row>
    <row r="7" spans="1:3" ht="15.75" customHeight="1" x14ac:dyDescent="0.25">
      <c r="A7" s="27" t="s">
        <v>32</v>
      </c>
      <c r="B7" s="26" t="str">
        <f ca="1">IFERROR(__xludf.DUMMYFUNCTION("split(A7,"":"")"),"iamageID")</f>
        <v>iamageID</v>
      </c>
      <c r="C7" s="26">
        <f ca="1">IFERROR(__xludf.DUMMYFUNCTION("""COMPUTED_VALUE"""),3)</f>
        <v>3</v>
      </c>
    </row>
    <row r="8" spans="1:3" ht="15.75" customHeight="1" x14ac:dyDescent="0.25">
      <c r="A8" s="27" t="s">
        <v>33</v>
      </c>
      <c r="B8" s="26" t="str">
        <f ca="1">IFERROR(__xludf.DUMMYFUNCTION("split(A8,"":"")"),"ttcLidar[sec]")</f>
        <v>ttcLidar[sec]</v>
      </c>
      <c r="C8" s="26">
        <f ca="1">IFERROR(__xludf.DUMMYFUNCTION("""COMPUTED_VALUE"""),44.5655)</f>
        <v>44.5655</v>
      </c>
    </row>
    <row r="9" spans="1:3" ht="15.75" customHeight="1" x14ac:dyDescent="0.25">
      <c r="A9" s="27" t="s">
        <v>103</v>
      </c>
      <c r="B9" s="26" t="str">
        <f ca="1">IFERROR(__xludf.DUMMYFUNCTION("split(A9,"":"")"),"ttcCamera[sec]")</f>
        <v>ttcCamera[sec]</v>
      </c>
      <c r="C9" s="26">
        <f ca="1">IFERROR(__xludf.DUMMYFUNCTION("""COMPUTED_VALUE"""),12.8872)</f>
        <v>12.8872</v>
      </c>
    </row>
    <row r="10" spans="1:3" ht="15.75" customHeight="1" x14ac:dyDescent="0.25">
      <c r="A10" s="27" t="s">
        <v>35</v>
      </c>
      <c r="B10" s="26" t="str">
        <f ca="1">IFERROR(__xludf.DUMMYFUNCTION("split(A10,"":"")"),"iamageID")</f>
        <v>iamageID</v>
      </c>
      <c r="C10" s="26">
        <f ca="1">IFERROR(__xludf.DUMMYFUNCTION("""COMPUTED_VALUE"""),4)</f>
        <v>4</v>
      </c>
    </row>
    <row r="11" spans="1:3" ht="15.75" customHeight="1" x14ac:dyDescent="0.25">
      <c r="A11" s="27" t="s">
        <v>36</v>
      </c>
      <c r="B11" s="26" t="str">
        <f ca="1">IFERROR(__xludf.DUMMYFUNCTION("split(A11,"":"")"),"ttcLidar[sec]")</f>
        <v>ttcLidar[sec]</v>
      </c>
      <c r="C11" s="26">
        <f ca="1">IFERROR(__xludf.DUMMYFUNCTION("""COMPUTED_VALUE"""),14.633)</f>
        <v>14.632999999999999</v>
      </c>
    </row>
    <row r="12" spans="1:3" ht="15.75" customHeight="1" x14ac:dyDescent="0.25">
      <c r="A12" s="27" t="s">
        <v>104</v>
      </c>
      <c r="B12" s="26" t="str">
        <f ca="1">IFERROR(__xludf.DUMMYFUNCTION("split(A12,"":"")"),"ttcCamera[sec]")</f>
        <v>ttcCamera[sec]</v>
      </c>
      <c r="C12" s="26">
        <f ca="1">IFERROR(__xludf.DUMMYFUNCTION("""COMPUTED_VALUE"""),14.0676)</f>
        <v>14.067600000000001</v>
      </c>
    </row>
    <row r="13" spans="1:3" ht="15.75" customHeight="1" x14ac:dyDescent="0.25">
      <c r="A13" s="27" t="s">
        <v>38</v>
      </c>
      <c r="B13" s="26" t="str">
        <f ca="1">IFERROR(__xludf.DUMMYFUNCTION("split(A13,"":"")"),"iamageID")</f>
        <v>iamageID</v>
      </c>
      <c r="C13" s="26">
        <f ca="1">IFERROR(__xludf.DUMMYFUNCTION("""COMPUTED_VALUE"""),5)</f>
        <v>5</v>
      </c>
    </row>
    <row r="14" spans="1:3" ht="15.75" customHeight="1" x14ac:dyDescent="0.25">
      <c r="A14" s="27" t="s">
        <v>39</v>
      </c>
      <c r="B14" s="26" t="str">
        <f ca="1">IFERROR(__xludf.DUMMYFUNCTION("split(A14,"":"")"),"ttcLidar[sec]")</f>
        <v>ttcLidar[sec]</v>
      </c>
      <c r="C14" s="26">
        <f ca="1">IFERROR(__xludf.DUMMYFUNCTION("""COMPUTED_VALUE"""),17.8178)</f>
        <v>17.817799999999998</v>
      </c>
    </row>
    <row r="15" spans="1:3" ht="15.75" customHeight="1" x14ac:dyDescent="0.25">
      <c r="A15" s="27" t="s">
        <v>105</v>
      </c>
      <c r="B15" s="26" t="str">
        <f ca="1">IFERROR(__xludf.DUMMYFUNCTION("split(A15,"":"")"),"ttcCamera[sec]")</f>
        <v>ttcCamera[sec]</v>
      </c>
      <c r="C15" s="26">
        <f ca="1">IFERROR(__xludf.DUMMYFUNCTION("""COMPUTED_VALUE"""),20.9709)</f>
        <v>20.9709</v>
      </c>
    </row>
    <row r="16" spans="1:3" ht="15.75" customHeight="1" x14ac:dyDescent="0.25">
      <c r="A16" s="27" t="s">
        <v>41</v>
      </c>
      <c r="B16" s="26" t="str">
        <f ca="1">IFERROR(__xludf.DUMMYFUNCTION("split(A16,"":"")"),"iamageID")</f>
        <v>iamageID</v>
      </c>
      <c r="C16" s="26">
        <f ca="1">IFERROR(__xludf.DUMMYFUNCTION("""COMPUTED_VALUE"""),6)</f>
        <v>6</v>
      </c>
    </row>
    <row r="17" spans="1:3" ht="15.75" customHeight="1" x14ac:dyDescent="0.25">
      <c r="A17" s="27" t="s">
        <v>42</v>
      </c>
      <c r="B17" s="26" t="str">
        <f ca="1">IFERROR(__xludf.DUMMYFUNCTION("split(A17,"":"")"),"ttcLidar[sec]")</f>
        <v>ttcLidar[sec]</v>
      </c>
      <c r="C17" s="26">
        <f ca="1">IFERROR(__xludf.DUMMYFUNCTION("""COMPUTED_VALUE"""),13.8814)</f>
        <v>13.881399999999999</v>
      </c>
    </row>
    <row r="18" spans="1:3" ht="15.75" customHeight="1" x14ac:dyDescent="0.25">
      <c r="A18" s="27" t="s">
        <v>106</v>
      </c>
      <c r="B18" s="26" t="str">
        <f ca="1">IFERROR(__xludf.DUMMYFUNCTION("split(A18,"":"")"),"ttcCamera[sec]")</f>
        <v>ttcCamera[sec]</v>
      </c>
      <c r="C18" s="26">
        <f ca="1">IFERROR(__xludf.DUMMYFUNCTION("""COMPUTED_VALUE"""),12.888)</f>
        <v>12.888</v>
      </c>
    </row>
    <row r="19" spans="1:3" ht="15.75" customHeight="1" x14ac:dyDescent="0.25">
      <c r="A19" s="27" t="s">
        <v>44</v>
      </c>
      <c r="B19" s="26" t="str">
        <f ca="1">IFERROR(__xludf.DUMMYFUNCTION("split(A19,"":"")"),"iamageID")</f>
        <v>iamageID</v>
      </c>
      <c r="C19" s="26">
        <f ca="1">IFERROR(__xludf.DUMMYFUNCTION("""COMPUTED_VALUE"""),7)</f>
        <v>7</v>
      </c>
    </row>
    <row r="20" spans="1:3" ht="15.75" customHeight="1" x14ac:dyDescent="0.25">
      <c r="A20" s="27" t="s">
        <v>45</v>
      </c>
      <c r="B20" s="26" t="str">
        <f ca="1">IFERROR(__xludf.DUMMYFUNCTION("split(A20,"":"")"),"ttcLidar[sec]")</f>
        <v>ttcLidar[sec]</v>
      </c>
      <c r="C20" s="26">
        <f ca="1">IFERROR(__xludf.DUMMYFUNCTION("""COMPUTED_VALUE"""),22.9091)</f>
        <v>22.909099999999999</v>
      </c>
    </row>
    <row r="21" spans="1:3" ht="15.75" customHeight="1" x14ac:dyDescent="0.25">
      <c r="A21" s="27" t="s">
        <v>107</v>
      </c>
      <c r="B21" s="26" t="str">
        <f ca="1">IFERROR(__xludf.DUMMYFUNCTION("split(A21,"":"")"),"ttcCamera[sec]")</f>
        <v>ttcCamera[sec]</v>
      </c>
      <c r="C21" s="26">
        <f ca="1">IFERROR(__xludf.DUMMYFUNCTION("""COMPUTED_VALUE"""),11.8985)</f>
        <v>11.8985</v>
      </c>
    </row>
    <row r="22" spans="1:3" ht="15.75" customHeight="1" x14ac:dyDescent="0.25">
      <c r="A22" s="27" t="s">
        <v>47</v>
      </c>
      <c r="B22" s="26" t="str">
        <f ca="1">IFERROR(__xludf.DUMMYFUNCTION("split(A22,"":"")"),"iamageID")</f>
        <v>iamageID</v>
      </c>
      <c r="C22" s="26">
        <f ca="1">IFERROR(__xludf.DUMMYFUNCTION("""COMPUTED_VALUE"""),8)</f>
        <v>8</v>
      </c>
    </row>
    <row r="23" spans="1:3" ht="15.75" customHeight="1" x14ac:dyDescent="0.25">
      <c r="A23" s="27" t="s">
        <v>48</v>
      </c>
      <c r="B23" s="26" t="str">
        <f ca="1">IFERROR(__xludf.DUMMYFUNCTION("split(A23,"":"")"),"ttcLidar[sec]")</f>
        <v>ttcLidar[sec]</v>
      </c>
      <c r="C23" s="26">
        <f ca="1">IFERROR(__xludf.DUMMYFUNCTION("""COMPUTED_VALUE"""),7.41929)</f>
        <v>7.4192900000000002</v>
      </c>
    </row>
    <row r="24" spans="1:3" ht="15.75" customHeight="1" x14ac:dyDescent="0.25">
      <c r="A24" s="27" t="s">
        <v>108</v>
      </c>
      <c r="B24" s="26" t="str">
        <f ca="1">IFERROR(__xludf.DUMMYFUNCTION("split(A24,"":"")"),"ttcCamera[sec]")</f>
        <v>ttcCamera[sec]</v>
      </c>
      <c r="C24" s="26">
        <f ca="1">IFERROR(__xludf.DUMMYFUNCTION("""COMPUTED_VALUE"""),11.7219)</f>
        <v>11.7219</v>
      </c>
    </row>
    <row r="25" spans="1:3" ht="15.75" customHeight="1" x14ac:dyDescent="0.25">
      <c r="A25" s="27" t="s">
        <v>50</v>
      </c>
      <c r="B25" s="26" t="str">
        <f ca="1">IFERROR(__xludf.DUMMYFUNCTION("split(A25,"":"")"),"iamageID")</f>
        <v>iamageID</v>
      </c>
      <c r="C25" s="26">
        <f ca="1">IFERROR(__xludf.DUMMYFUNCTION("""COMPUTED_VALUE"""),9)</f>
        <v>9</v>
      </c>
    </row>
    <row r="26" spans="1:3" ht="15.75" customHeight="1" x14ac:dyDescent="0.25">
      <c r="A26" s="27" t="s">
        <v>51</v>
      </c>
      <c r="B26" s="26" t="str">
        <f ca="1">IFERROR(__xludf.DUMMYFUNCTION("split(A26,"":"")"),"ttcLidar[sec]")</f>
        <v>ttcLidar[sec]</v>
      </c>
      <c r="C26" s="26">
        <f ca="1">IFERROR(__xludf.DUMMYFUNCTION("""COMPUTED_VALUE"""),7.4619)</f>
        <v>7.4619</v>
      </c>
    </row>
    <row r="27" spans="1:3" ht="15.75" customHeight="1" x14ac:dyDescent="0.25">
      <c r="A27" s="27" t="s">
        <v>109</v>
      </c>
      <c r="B27" s="26" t="str">
        <f ca="1">IFERROR(__xludf.DUMMYFUNCTION("split(A27,"":"")"),"ttcCamera[sec]")</f>
        <v>ttcCamera[sec]</v>
      </c>
      <c r="C27" s="26">
        <f ca="1">IFERROR(__xludf.DUMMYFUNCTION("""COMPUTED_VALUE"""),11.7599)</f>
        <v>11.7599</v>
      </c>
    </row>
    <row r="28" spans="1:3" ht="15.75" customHeight="1" x14ac:dyDescent="0.25">
      <c r="A28" s="27" t="s">
        <v>53</v>
      </c>
      <c r="B28" s="26" t="str">
        <f ca="1">IFERROR(__xludf.DUMMYFUNCTION("split(A28,"":"")"),"iamageID")</f>
        <v>iamageID</v>
      </c>
      <c r="C28" s="26">
        <f ca="1">IFERROR(__xludf.DUMMYFUNCTION("""COMPUTED_VALUE"""),10)</f>
        <v>10</v>
      </c>
    </row>
    <row r="29" spans="1:3" ht="15.75" customHeight="1" x14ac:dyDescent="0.25">
      <c r="A29" s="27" t="s">
        <v>54</v>
      </c>
      <c r="B29" s="26" t="str">
        <f ca="1">IFERROR(__xludf.DUMMYFUNCTION("split(A29,"":"")"),"ttcLidar[sec]")</f>
        <v>ttcLidar[sec]</v>
      </c>
      <c r="C29" s="26">
        <f ca="1">IFERROR(__xludf.DUMMYFUNCTION("""COMPUTED_VALUE"""),15.8242)</f>
        <v>15.824199999999999</v>
      </c>
    </row>
    <row r="30" spans="1:3" ht="15.75" customHeight="1" x14ac:dyDescent="0.25">
      <c r="A30" s="27" t="s">
        <v>110</v>
      </c>
      <c r="B30" s="26" t="str">
        <f ca="1">IFERROR(__xludf.DUMMYFUNCTION("split(A30,"":"")"),"ttcCamera[sec]")</f>
        <v>ttcCamera[sec]</v>
      </c>
      <c r="C30" s="26">
        <f ca="1">IFERROR(__xludf.DUMMYFUNCTION("""COMPUTED_VALUE"""),13.3278)</f>
        <v>13.3278</v>
      </c>
    </row>
    <row r="31" spans="1:3" ht="15.75" customHeight="1" x14ac:dyDescent="0.25">
      <c r="A31" s="27" t="s">
        <v>56</v>
      </c>
      <c r="B31" s="26" t="str">
        <f ca="1">IFERROR(__xludf.DUMMYFUNCTION("split(A31,"":"")"),"iamageID")</f>
        <v>iamageID</v>
      </c>
      <c r="C31" s="26">
        <f ca="1">IFERROR(__xludf.DUMMYFUNCTION("""COMPUTED_VALUE"""),11)</f>
        <v>11</v>
      </c>
    </row>
    <row r="32" spans="1:3" ht="15.75" customHeight="1" x14ac:dyDescent="0.25">
      <c r="A32" s="27" t="s">
        <v>57</v>
      </c>
      <c r="B32" s="26" t="str">
        <f ca="1">IFERROR(__xludf.DUMMYFUNCTION("split(A32,"":"")"),"ttcLidar[sec]")</f>
        <v>ttcLidar[sec]</v>
      </c>
      <c r="C32" s="26">
        <f ca="1">IFERROR(__xludf.DUMMYFUNCTION("""COMPUTED_VALUE"""),8.68199)</f>
        <v>8.6819900000000008</v>
      </c>
    </row>
    <row r="33" spans="1:3" ht="15.75" customHeight="1" x14ac:dyDescent="0.25">
      <c r="A33" s="27" t="s">
        <v>111</v>
      </c>
      <c r="B33" s="26" t="str">
        <f ca="1">IFERROR(__xludf.DUMMYFUNCTION("split(A33,"":"")"),"ttcCamera[sec]")</f>
        <v>ttcCamera[sec]</v>
      </c>
      <c r="C33" s="26">
        <f ca="1">IFERROR(__xludf.DUMMYFUNCTION("""COMPUTED_VALUE"""),13.7899)</f>
        <v>13.789899999999999</v>
      </c>
    </row>
    <row r="34" spans="1:3" ht="15.75" customHeight="1" x14ac:dyDescent="0.25">
      <c r="A34" s="27" t="s">
        <v>59</v>
      </c>
      <c r="B34" s="26" t="str">
        <f ca="1">IFERROR(__xludf.DUMMYFUNCTION("split(A34,"":"")"),"iamageID")</f>
        <v>iamageID</v>
      </c>
      <c r="C34" s="26">
        <f ca="1">IFERROR(__xludf.DUMMYFUNCTION("""COMPUTED_VALUE"""),12)</f>
        <v>12</v>
      </c>
    </row>
    <row r="35" spans="1:3" ht="15.75" customHeight="1" x14ac:dyDescent="0.25">
      <c r="A35" s="27" t="s">
        <v>60</v>
      </c>
      <c r="B35" s="26" t="str">
        <f ca="1">IFERROR(__xludf.DUMMYFUNCTION("split(A35,"":"")"),"ttcLidar[sec]")</f>
        <v>ttcLidar[sec]</v>
      </c>
      <c r="C35" s="26">
        <f ca="1">IFERROR(__xludf.DUMMYFUNCTION("""COMPUTED_VALUE"""),10.94)</f>
        <v>10.94</v>
      </c>
    </row>
    <row r="36" spans="1:3" ht="15.75" customHeight="1" x14ac:dyDescent="0.25">
      <c r="A36" s="27" t="s">
        <v>112</v>
      </c>
      <c r="B36" s="26" t="str">
        <f ca="1">IFERROR(__xludf.DUMMYFUNCTION("split(A36,"":"")"),"ttcCamera[sec]")</f>
        <v>ttcCamera[sec]</v>
      </c>
      <c r="C36" s="26">
        <f ca="1">IFERROR(__xludf.DUMMYFUNCTION("""COMPUTED_VALUE"""),11.0836)</f>
        <v>11.083600000000001</v>
      </c>
    </row>
    <row r="37" spans="1:3" ht="15.75" customHeight="1" x14ac:dyDescent="0.25">
      <c r="A37" s="27" t="s">
        <v>62</v>
      </c>
      <c r="B37" s="26" t="str">
        <f ca="1">IFERROR(__xludf.DUMMYFUNCTION("split(A37,"":"")"),"iamageID")</f>
        <v>iamageID</v>
      </c>
      <c r="C37" s="26">
        <f ca="1">IFERROR(__xludf.DUMMYFUNCTION("""COMPUTED_VALUE"""),13)</f>
        <v>13</v>
      </c>
    </row>
    <row r="38" spans="1:3" ht="15.75" customHeight="1" x14ac:dyDescent="0.25">
      <c r="A38" s="27" t="s">
        <v>63</v>
      </c>
      <c r="B38" s="26" t="str">
        <f ca="1">IFERROR(__xludf.DUMMYFUNCTION("split(A38,"":"")"),"ttcLidar[sec]")</f>
        <v>ttcLidar[sec]</v>
      </c>
      <c r="C38" s="26">
        <f ca="1">IFERROR(__xludf.DUMMYFUNCTION("""COMPUTED_VALUE"""),6.37853)</f>
        <v>6.3785299999999996</v>
      </c>
    </row>
    <row r="39" spans="1:3" ht="15.75" customHeight="1" x14ac:dyDescent="0.25">
      <c r="A39" s="27" t="s">
        <v>113</v>
      </c>
      <c r="B39" s="26" t="str">
        <f ca="1">IFERROR(__xludf.DUMMYFUNCTION("split(A39,"":"")"),"ttcCamera[sec]")</f>
        <v>ttcCamera[sec]</v>
      </c>
      <c r="C39" s="26">
        <f ca="1">IFERROR(__xludf.DUMMYFUNCTION("""COMPUTED_VALUE"""),11.6502)</f>
        <v>11.6502</v>
      </c>
    </row>
    <row r="40" spans="1:3" ht="12.5" x14ac:dyDescent="0.25">
      <c r="A40" s="27" t="s">
        <v>65</v>
      </c>
      <c r="B40" s="26" t="str">
        <f ca="1">IFERROR(__xludf.DUMMYFUNCTION("split(A40,"":"")"),"iamageID")</f>
        <v>iamageID</v>
      </c>
      <c r="C40" s="26">
        <f ca="1">IFERROR(__xludf.DUMMYFUNCTION("""COMPUTED_VALUE"""),14)</f>
        <v>14</v>
      </c>
    </row>
    <row r="41" spans="1:3" ht="12.5" x14ac:dyDescent="0.25">
      <c r="A41" s="27" t="s">
        <v>66</v>
      </c>
      <c r="B41" s="26" t="str">
        <f ca="1">IFERROR(__xludf.DUMMYFUNCTION("split(A41,"":"")"),"ttcLidar[sec]")</f>
        <v>ttcLidar[sec]</v>
      </c>
      <c r="C41" s="26">
        <f ca="1">IFERROR(__xludf.DUMMYFUNCTION("""COMPUTED_VALUE"""),17.9264)</f>
        <v>17.926400000000001</v>
      </c>
    </row>
    <row r="42" spans="1:3" ht="12.5" x14ac:dyDescent="0.25">
      <c r="A42" s="27" t="s">
        <v>114</v>
      </c>
      <c r="B42" s="26" t="str">
        <f ca="1">IFERROR(__xludf.DUMMYFUNCTION("split(A42,"":"")"),"ttcCamera[sec]")</f>
        <v>ttcCamera[sec]</v>
      </c>
      <c r="C42" s="26">
        <f ca="1">IFERROR(__xludf.DUMMYFUNCTION("""COMPUTED_VALUE"""),11.5887)</f>
        <v>11.588699999999999</v>
      </c>
    </row>
    <row r="43" spans="1:3" ht="12.5" x14ac:dyDescent="0.25">
      <c r="A43" s="27" t="s">
        <v>68</v>
      </c>
      <c r="B43" s="26" t="str">
        <f ca="1">IFERROR(__xludf.DUMMYFUNCTION("split(A43,"":"")"),"iamageID")</f>
        <v>iamageID</v>
      </c>
      <c r="C43" s="26">
        <f ca="1">IFERROR(__xludf.DUMMYFUNCTION("""COMPUTED_VALUE"""),15)</f>
        <v>15</v>
      </c>
    </row>
    <row r="44" spans="1:3" ht="12.5" x14ac:dyDescent="0.25">
      <c r="A44" s="27" t="s">
        <v>69</v>
      </c>
      <c r="B44" s="26" t="str">
        <f ca="1">IFERROR(__xludf.DUMMYFUNCTION("split(A44,"":"")"),"ttcLidar[sec]")</f>
        <v>ttcLidar[sec]</v>
      </c>
      <c r="C44" s="26">
        <f ca="1">IFERROR(__xludf.DUMMYFUNCTION("""COMPUTED_VALUE"""),13.714)</f>
        <v>13.714</v>
      </c>
    </row>
    <row r="45" spans="1:3" ht="12.5" x14ac:dyDescent="0.25">
      <c r="A45" s="27" t="s">
        <v>115</v>
      </c>
      <c r="B45" s="26" t="str">
        <f ca="1">IFERROR(__xludf.DUMMYFUNCTION("split(A45,"":"")"),"ttcCamera[sec]")</f>
        <v>ttcCamera[sec]</v>
      </c>
      <c r="C45" s="26">
        <f ca="1">IFERROR(__xludf.DUMMYFUNCTION("""COMPUTED_VALUE"""),11.9075)</f>
        <v>11.907500000000001</v>
      </c>
    </row>
    <row r="46" spans="1:3" ht="12.5" x14ac:dyDescent="0.25">
      <c r="A46" s="27" t="s">
        <v>71</v>
      </c>
      <c r="B46" s="26" t="str">
        <f ca="1">IFERROR(__xludf.DUMMYFUNCTION("split(A46,"":"")"),"iamageID")</f>
        <v>iamageID</v>
      </c>
      <c r="C46" s="26">
        <f ca="1">IFERROR(__xludf.DUMMYFUNCTION("""COMPUTED_VALUE"""),16)</f>
        <v>16</v>
      </c>
    </row>
    <row r="47" spans="1:3" ht="12.5" x14ac:dyDescent="0.25">
      <c r="A47" s="27" t="s">
        <v>72</v>
      </c>
      <c r="B47" s="26" t="str">
        <f ca="1">IFERROR(__xludf.DUMMYFUNCTION("split(A47,"":"")"),"ttcLidar[sec]")</f>
        <v>ttcLidar[sec]</v>
      </c>
      <c r="C47" s="26">
        <f ca="1">IFERROR(__xludf.DUMMYFUNCTION("""COMPUTED_VALUE"""),6.1514)</f>
        <v>6.1513999999999998</v>
      </c>
    </row>
    <row r="48" spans="1:3" ht="12.5" x14ac:dyDescent="0.25">
      <c r="A48" s="27" t="s">
        <v>116</v>
      </c>
      <c r="B48" s="26" t="str">
        <f ca="1">IFERROR(__xludf.DUMMYFUNCTION("split(A48,"":"")"),"ttcCamera[sec]")</f>
        <v>ttcCamera[sec]</v>
      </c>
      <c r="C48" s="26">
        <f ca="1">IFERROR(__xludf.DUMMYFUNCTION("""COMPUTED_VALUE"""),12.381)</f>
        <v>12.381</v>
      </c>
    </row>
    <row r="49" spans="1:3" ht="12.5" x14ac:dyDescent="0.25">
      <c r="A49" s="27" t="s">
        <v>74</v>
      </c>
      <c r="B49" s="26" t="str">
        <f ca="1">IFERROR(__xludf.DUMMYFUNCTION("split(A49,"":"")"),"iamageID")</f>
        <v>iamageID</v>
      </c>
      <c r="C49" s="26">
        <f ca="1">IFERROR(__xludf.DUMMYFUNCTION("""COMPUTED_VALUE"""),17)</f>
        <v>17</v>
      </c>
    </row>
    <row r="50" spans="1:3" ht="12.5" x14ac:dyDescent="0.25">
      <c r="A50" s="27" t="s">
        <v>75</v>
      </c>
      <c r="B50" s="26" t="str">
        <f ca="1">IFERROR(__xludf.DUMMYFUNCTION("split(A50,"":"")"),"ttcLidar[sec]")</f>
        <v>ttcLidar[sec]</v>
      </c>
      <c r="C50" s="26">
        <f ca="1">IFERROR(__xludf.DUMMYFUNCTION("""COMPUTED_VALUE"""),5.30408)</f>
        <v>5.3040799999999999</v>
      </c>
    </row>
    <row r="51" spans="1:3" ht="12.5" x14ac:dyDescent="0.25">
      <c r="A51" s="27" t="s">
        <v>117</v>
      </c>
      <c r="B51" s="26" t="str">
        <f ca="1">IFERROR(__xludf.DUMMYFUNCTION("split(A51,"":"")"),"ttcCamera[sec]")</f>
        <v>ttcCamera[sec]</v>
      </c>
      <c r="C51" s="26">
        <f ca="1">IFERROR(__xludf.DUMMYFUNCTION("""COMPUTED_VALUE"""),7.57979)</f>
        <v>7.57979</v>
      </c>
    </row>
    <row r="52" spans="1:3" ht="12.5" x14ac:dyDescent="0.25">
      <c r="A52" s="27" t="s">
        <v>74</v>
      </c>
      <c r="B52" s="26" t="str">
        <f ca="1">IFERROR(__xludf.DUMMYFUNCTION("split(A52,"":"")"),"iamageID")</f>
        <v>iamageID</v>
      </c>
      <c r="C52" s="26">
        <f ca="1">IFERROR(__xludf.DUMMYFUNCTION("""COMPUTED_VALUE"""),17)</f>
        <v>17</v>
      </c>
    </row>
    <row r="53" spans="1:3" ht="12.5" x14ac:dyDescent="0.25">
      <c r="A53" s="27" t="s">
        <v>77</v>
      </c>
      <c r="B53" s="26" t="str">
        <f ca="1">IFERROR(__xludf.DUMMYFUNCTION("split(A53,"":"")"),"ttcLidar[sec]")</f>
        <v>ttcLidar[sec]</v>
      </c>
      <c r="C53" s="26">
        <f ca="1">IFERROR(__xludf.DUMMYFUNCTION("""COMPUTED_VALUE"""),0.000512202)</f>
        <v>5.1220200000000001E-4</v>
      </c>
    </row>
    <row r="54" spans="1:3" ht="12.5" x14ac:dyDescent="0.25">
      <c r="A54" s="27" t="s">
        <v>118</v>
      </c>
      <c r="B54" s="26" t="str">
        <f ca="1">IFERROR(__xludf.DUMMYFUNCTION("split(A54,"":"")"),"ttcCamera[sec]")</f>
        <v>ttcCamera[sec]</v>
      </c>
      <c r="C54" s="26">
        <f ca="1">IFERROR(__xludf.DUMMYFUNCTION("""COMPUTED_VALUE"""),9.91089)</f>
        <v>9.9108900000000002</v>
      </c>
    </row>
    <row r="55" spans="1:3" ht="12.5" x14ac:dyDescent="0.25">
      <c r="A55" s="27" t="s">
        <v>79</v>
      </c>
      <c r="B55" s="26" t="str">
        <f ca="1">IFERROR(__xludf.DUMMYFUNCTION("split(A55,"":"")"),"iamageID")</f>
        <v>iamageID</v>
      </c>
      <c r="C55" s="26">
        <f ca="1">IFERROR(__xludf.DUMMYFUNCTION("""COMPUTED_VALUE"""),18)</f>
        <v>18</v>
      </c>
    </row>
    <row r="56" spans="1:3" ht="12.5" x14ac:dyDescent="0.25">
      <c r="A56" s="27" t="s">
        <v>80</v>
      </c>
      <c r="B56" s="26" t="str">
        <f ca="1">IFERROR(__xludf.DUMMYFUNCTION("split(A56,"":"")"),"ttcLidar[sec]")</f>
        <v>ttcLidar[sec]</v>
      </c>
      <c r="C56" s="26">
        <f ca="1">IFERROR(__xludf.DUMMYFUNCTION("""COMPUTED_VALUE"""),50)</f>
        <v>50</v>
      </c>
    </row>
    <row r="57" spans="1:3" ht="12.5" x14ac:dyDescent="0.25">
      <c r="A57" s="27" t="s">
        <v>119</v>
      </c>
      <c r="B57" s="26" t="str">
        <f ca="1">IFERROR(__xludf.DUMMYFUNCTION("split(A57,"":"")"),"ttcCamera[sec]")</f>
        <v>ttcCamera[sec]</v>
      </c>
      <c r="C57" s="26">
        <f ca="1">IFERROR(__xludf.DUMMYFUNCTION("""COMPUTED_VALUE"""),11.0526)</f>
        <v>11.0526</v>
      </c>
    </row>
  </sheetData>
  <phoneticPr fontId="1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C57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27" t="s">
        <v>26</v>
      </c>
      <c r="B1" s="26" t="str">
        <f ca="1">IFERROR(__xludf.DUMMYFUNCTION("split(A1,"":"")"),"iamageID")</f>
        <v>iamageID</v>
      </c>
      <c r="C1" s="26">
        <f ca="1">IFERROR(__xludf.DUMMYFUNCTION("""COMPUTED_VALUE"""),1)</f>
        <v>1</v>
      </c>
    </row>
    <row r="2" spans="1:3" ht="15.75" customHeight="1" x14ac:dyDescent="0.25">
      <c r="A2" s="27" t="s">
        <v>27</v>
      </c>
      <c r="B2" s="26" t="str">
        <f ca="1">IFERROR(__xludf.DUMMYFUNCTION("split(A2,"":"")"),"ttcLidar[sec]")</f>
        <v>ttcLidar[sec]</v>
      </c>
      <c r="C2" s="26">
        <f ca="1">IFERROR(__xludf.DUMMYFUNCTION("""COMPUTED_VALUE"""),8.05618)</f>
        <v>8.0561799999999995</v>
      </c>
    </row>
    <row r="3" spans="1:3" ht="15.75" customHeight="1" x14ac:dyDescent="0.25">
      <c r="A3" s="27" t="s">
        <v>120</v>
      </c>
      <c r="B3" s="26" t="str">
        <f ca="1">IFERROR(__xludf.DUMMYFUNCTION("split(A3,"":"")"),"ttcCamera[sec]")</f>
        <v>ttcCamera[sec]</v>
      </c>
      <c r="C3" s="26">
        <f ca="1">IFERROR(__xludf.DUMMYFUNCTION("""COMPUTED_VALUE"""),17.4635)</f>
        <v>17.4635</v>
      </c>
    </row>
    <row r="4" spans="1:3" ht="15.75" customHeight="1" x14ac:dyDescent="0.25">
      <c r="A4" s="27" t="s">
        <v>29</v>
      </c>
      <c r="B4" s="26" t="str">
        <f ca="1">IFERROR(__xludf.DUMMYFUNCTION("split(A4,"":"")"),"iamageID")</f>
        <v>iamageID</v>
      </c>
      <c r="C4" s="26">
        <f ca="1">IFERROR(__xludf.DUMMYFUNCTION("""COMPUTED_VALUE"""),2)</f>
        <v>2</v>
      </c>
    </row>
    <row r="5" spans="1:3" ht="15.75" customHeight="1" x14ac:dyDescent="0.25">
      <c r="A5" s="27" t="s">
        <v>30</v>
      </c>
      <c r="B5" s="26" t="str">
        <f ca="1">IFERROR(__xludf.DUMMYFUNCTION("split(A5,"":"")"),"ttcLidar[sec]")</f>
        <v>ttcLidar[sec]</v>
      </c>
      <c r="C5" s="26">
        <f ca="1">IFERROR(__xludf.DUMMYFUNCTION("""COMPUTED_VALUE"""),13.9136)</f>
        <v>13.913600000000001</v>
      </c>
    </row>
    <row r="6" spans="1:3" ht="15.75" customHeight="1" x14ac:dyDescent="0.25">
      <c r="A6" s="27" t="s">
        <v>121</v>
      </c>
      <c r="B6" s="26" t="str">
        <f ca="1">IFERROR(__xludf.DUMMYFUNCTION("split(A6,"":"")"),"ttcCamera[sec]")</f>
        <v>ttcCamera[sec]</v>
      </c>
      <c r="C6" s="26">
        <f ca="1">IFERROR(__xludf.DUMMYFUNCTION("""COMPUTED_VALUE"""),9.63158)</f>
        <v>9.6315799999999996</v>
      </c>
    </row>
    <row r="7" spans="1:3" ht="15.75" customHeight="1" x14ac:dyDescent="0.25">
      <c r="A7" s="27" t="s">
        <v>32</v>
      </c>
      <c r="B7" s="26" t="str">
        <f ca="1">IFERROR(__xludf.DUMMYFUNCTION("split(A7,"":"")"),"iamageID")</f>
        <v>iamageID</v>
      </c>
      <c r="C7" s="26">
        <f ca="1">IFERROR(__xludf.DUMMYFUNCTION("""COMPUTED_VALUE"""),3)</f>
        <v>3</v>
      </c>
    </row>
    <row r="8" spans="1:3" ht="15.75" customHeight="1" x14ac:dyDescent="0.25">
      <c r="A8" s="27" t="s">
        <v>33</v>
      </c>
      <c r="B8" s="26" t="str">
        <f ca="1">IFERROR(__xludf.DUMMYFUNCTION("split(A8,"":"")"),"ttcLidar[sec]")</f>
        <v>ttcLidar[sec]</v>
      </c>
      <c r="C8" s="26">
        <f ca="1">IFERROR(__xludf.DUMMYFUNCTION("""COMPUTED_VALUE"""),44.5655)</f>
        <v>44.5655</v>
      </c>
    </row>
    <row r="9" spans="1:3" ht="15.75" customHeight="1" x14ac:dyDescent="0.25">
      <c r="A9" s="27" t="s">
        <v>122</v>
      </c>
      <c r="B9" s="26" t="str">
        <f ca="1">IFERROR(__xludf.DUMMYFUNCTION("split(A9,"":"")"),"ttcCamera[sec]")</f>
        <v>ttcCamera[sec]</v>
      </c>
      <c r="C9" s="26">
        <f ca="1">IFERROR(__xludf.DUMMYFUNCTION("""COMPUTED_VALUE"""),18.2793)</f>
        <v>18.279299999999999</v>
      </c>
    </row>
    <row r="10" spans="1:3" ht="15.75" customHeight="1" x14ac:dyDescent="0.25">
      <c r="A10" s="27" t="s">
        <v>35</v>
      </c>
      <c r="B10" s="26" t="str">
        <f ca="1">IFERROR(__xludf.DUMMYFUNCTION("split(A10,"":"")"),"iamageID")</f>
        <v>iamageID</v>
      </c>
      <c r="C10" s="26">
        <f ca="1">IFERROR(__xludf.DUMMYFUNCTION("""COMPUTED_VALUE"""),4)</f>
        <v>4</v>
      </c>
    </row>
    <row r="11" spans="1:3" ht="15.75" customHeight="1" x14ac:dyDescent="0.25">
      <c r="A11" s="27" t="s">
        <v>36</v>
      </c>
      <c r="B11" s="26" t="str">
        <f ca="1">IFERROR(__xludf.DUMMYFUNCTION("split(A11,"":"")"),"ttcLidar[sec]")</f>
        <v>ttcLidar[sec]</v>
      </c>
      <c r="C11" s="26">
        <f ca="1">IFERROR(__xludf.DUMMYFUNCTION("""COMPUTED_VALUE"""),14.633)</f>
        <v>14.632999999999999</v>
      </c>
    </row>
    <row r="12" spans="1:3" ht="15.75" customHeight="1" x14ac:dyDescent="0.25">
      <c r="A12" s="27" t="s">
        <v>123</v>
      </c>
      <c r="B12" s="26" t="str">
        <f ca="1">IFERROR(__xludf.DUMMYFUNCTION("split(A12,"":"")"),"ttcCamera[sec]")</f>
        <v>ttcCamera[sec]</v>
      </c>
      <c r="C12" s="26">
        <f ca="1">IFERROR(__xludf.DUMMYFUNCTION("""COMPUTED_VALUE"""),28.1023)</f>
        <v>28.1023</v>
      </c>
    </row>
    <row r="13" spans="1:3" ht="15.75" customHeight="1" x14ac:dyDescent="0.25">
      <c r="A13" s="27" t="s">
        <v>38</v>
      </c>
      <c r="B13" s="26" t="str">
        <f ca="1">IFERROR(__xludf.DUMMYFUNCTION("split(A13,"":"")"),"iamageID")</f>
        <v>iamageID</v>
      </c>
      <c r="C13" s="26">
        <f ca="1">IFERROR(__xludf.DUMMYFUNCTION("""COMPUTED_VALUE"""),5)</f>
        <v>5</v>
      </c>
    </row>
    <row r="14" spans="1:3" ht="15.75" customHeight="1" x14ac:dyDescent="0.25">
      <c r="A14" s="27" t="s">
        <v>39</v>
      </c>
      <c r="B14" s="26" t="str">
        <f ca="1">IFERROR(__xludf.DUMMYFUNCTION("split(A14,"":"")"),"ttcLidar[sec]")</f>
        <v>ttcLidar[sec]</v>
      </c>
      <c r="C14" s="26">
        <f ca="1">IFERROR(__xludf.DUMMYFUNCTION("""COMPUTED_VALUE"""),17.8178)</f>
        <v>17.817799999999998</v>
      </c>
    </row>
    <row r="15" spans="1:3" ht="15.75" customHeight="1" x14ac:dyDescent="0.25">
      <c r="A15" s="27" t="s">
        <v>124</v>
      </c>
      <c r="B15" s="26" t="str">
        <f ca="1">IFERROR(__xludf.DUMMYFUNCTION("split(A15,"":"")"),"ttcCamera[sec]")</f>
        <v>ttcCamera[sec]</v>
      </c>
      <c r="C15" s="26">
        <f ca="1">IFERROR(__xludf.DUMMYFUNCTION("""COMPUTED_VALUE"""),30.1357)</f>
        <v>30.1357</v>
      </c>
    </row>
    <row r="16" spans="1:3" ht="15.75" customHeight="1" x14ac:dyDescent="0.25">
      <c r="A16" s="27" t="s">
        <v>41</v>
      </c>
      <c r="B16" s="26" t="str">
        <f ca="1">IFERROR(__xludf.DUMMYFUNCTION("split(A16,"":"")"),"iamageID")</f>
        <v>iamageID</v>
      </c>
      <c r="C16" s="26">
        <f ca="1">IFERROR(__xludf.DUMMYFUNCTION("""COMPUTED_VALUE"""),6)</f>
        <v>6</v>
      </c>
    </row>
    <row r="17" spans="1:3" ht="15.75" customHeight="1" x14ac:dyDescent="0.25">
      <c r="A17" s="27" t="s">
        <v>42</v>
      </c>
      <c r="B17" s="26" t="str">
        <f ca="1">IFERROR(__xludf.DUMMYFUNCTION("split(A17,"":"")"),"ttcLidar[sec]")</f>
        <v>ttcLidar[sec]</v>
      </c>
      <c r="C17" s="26">
        <f ca="1">IFERROR(__xludf.DUMMYFUNCTION("""COMPUTED_VALUE"""),13.8814)</f>
        <v>13.881399999999999</v>
      </c>
    </row>
    <row r="18" spans="1:3" ht="15.75" customHeight="1" x14ac:dyDescent="0.25">
      <c r="A18" s="27" t="s">
        <v>125</v>
      </c>
      <c r="B18" s="26" t="str">
        <f ca="1">IFERROR(__xludf.DUMMYFUNCTION("split(A18,"":"")"),"ttcCamera[sec]")</f>
        <v>ttcCamera[sec]</v>
      </c>
      <c r="C18" s="26">
        <f ca="1">IFERROR(__xludf.DUMMYFUNCTION("""COMPUTED_VALUE"""),17.9796)</f>
        <v>17.979600000000001</v>
      </c>
    </row>
    <row r="19" spans="1:3" ht="15.75" customHeight="1" x14ac:dyDescent="0.25">
      <c r="A19" s="27" t="s">
        <v>44</v>
      </c>
      <c r="B19" s="26" t="str">
        <f ca="1">IFERROR(__xludf.DUMMYFUNCTION("split(A19,"":"")"),"iamageID")</f>
        <v>iamageID</v>
      </c>
      <c r="C19" s="26">
        <f ca="1">IFERROR(__xludf.DUMMYFUNCTION("""COMPUTED_VALUE"""),7)</f>
        <v>7</v>
      </c>
    </row>
    <row r="20" spans="1:3" ht="15.75" customHeight="1" x14ac:dyDescent="0.25">
      <c r="A20" s="27" t="s">
        <v>45</v>
      </c>
      <c r="B20" s="26" t="str">
        <f ca="1">IFERROR(__xludf.DUMMYFUNCTION("split(A20,"":"")"),"ttcLidar[sec]")</f>
        <v>ttcLidar[sec]</v>
      </c>
      <c r="C20" s="26">
        <f ca="1">IFERROR(__xludf.DUMMYFUNCTION("""COMPUTED_VALUE"""),22.9091)</f>
        <v>22.909099999999999</v>
      </c>
    </row>
    <row r="21" spans="1:3" ht="15.75" customHeight="1" x14ac:dyDescent="0.25">
      <c r="A21" s="27" t="s">
        <v>126</v>
      </c>
      <c r="B21" s="26" t="str">
        <f ca="1">IFERROR(__xludf.DUMMYFUNCTION("split(A21,"":"")"),"ttcCamera[sec]")</f>
        <v>ttcCamera[sec]</v>
      </c>
      <c r="C21" s="26">
        <f ca="1">IFERROR(__xludf.DUMMYFUNCTION("""COMPUTED_VALUE"""),220.536)</f>
        <v>220.536</v>
      </c>
    </row>
    <row r="22" spans="1:3" ht="15.75" customHeight="1" x14ac:dyDescent="0.25">
      <c r="A22" s="27" t="s">
        <v>47</v>
      </c>
      <c r="B22" s="26" t="str">
        <f ca="1">IFERROR(__xludf.DUMMYFUNCTION("split(A22,"":"")"),"iamageID")</f>
        <v>iamageID</v>
      </c>
      <c r="C22" s="26">
        <f ca="1">IFERROR(__xludf.DUMMYFUNCTION("""COMPUTED_VALUE"""),8)</f>
        <v>8</v>
      </c>
    </row>
    <row r="23" spans="1:3" ht="15.75" customHeight="1" x14ac:dyDescent="0.25">
      <c r="A23" s="27" t="s">
        <v>48</v>
      </c>
      <c r="B23" s="26" t="str">
        <f ca="1">IFERROR(__xludf.DUMMYFUNCTION("split(A23,"":"")"),"ttcLidar[sec]")</f>
        <v>ttcLidar[sec]</v>
      </c>
      <c r="C23" s="26">
        <f ca="1">IFERROR(__xludf.DUMMYFUNCTION("""COMPUTED_VALUE"""),7.41929)</f>
        <v>7.4192900000000002</v>
      </c>
    </row>
    <row r="24" spans="1:3" ht="15.75" customHeight="1" x14ac:dyDescent="0.25">
      <c r="A24" s="27" t="s">
        <v>127</v>
      </c>
      <c r="B24" s="26" t="str">
        <f ca="1">IFERROR(__xludf.DUMMYFUNCTION("split(A24,"":"")"),"ttcCamera[sec]")</f>
        <v>ttcCamera[sec]</v>
      </c>
      <c r="C24" s="26">
        <f ca="1">IFERROR(__xludf.DUMMYFUNCTION("""COMPUTED_VALUE"""),10.4367)</f>
        <v>10.4367</v>
      </c>
    </row>
    <row r="25" spans="1:3" ht="15.75" customHeight="1" x14ac:dyDescent="0.25">
      <c r="A25" s="27" t="s">
        <v>50</v>
      </c>
      <c r="B25" s="26" t="str">
        <f ca="1">IFERROR(__xludf.DUMMYFUNCTION("split(A25,"":"")"),"iamageID")</f>
        <v>iamageID</v>
      </c>
      <c r="C25" s="26">
        <f ca="1">IFERROR(__xludf.DUMMYFUNCTION("""COMPUTED_VALUE"""),9)</f>
        <v>9</v>
      </c>
    </row>
    <row r="26" spans="1:3" ht="15.75" customHeight="1" x14ac:dyDescent="0.25">
      <c r="A26" s="27" t="s">
        <v>51</v>
      </c>
      <c r="B26" s="26" t="str">
        <f ca="1">IFERROR(__xludf.DUMMYFUNCTION("split(A26,"":"")"),"ttcLidar[sec]")</f>
        <v>ttcLidar[sec]</v>
      </c>
      <c r="C26" s="26">
        <f ca="1">IFERROR(__xludf.DUMMYFUNCTION("""COMPUTED_VALUE"""),7.4619)</f>
        <v>7.4619</v>
      </c>
    </row>
    <row r="27" spans="1:3" ht="15.75" customHeight="1" x14ac:dyDescent="0.25">
      <c r="A27" s="27" t="s">
        <v>128</v>
      </c>
      <c r="B27" s="26" t="str">
        <f ca="1">IFERROR(__xludf.DUMMYFUNCTION("split(A27,"":"")"),"ttcCamera[sec]")</f>
        <v>ttcCamera[sec]</v>
      </c>
      <c r="C27" s="26" t="str">
        <f ca="1">IFERROR(__xludf.DUMMYFUNCTION("""COMPUTED_VALUE""")," -inf")</f>
        <v xml:space="preserve"> -inf</v>
      </c>
    </row>
    <row r="28" spans="1:3" ht="15.75" customHeight="1" x14ac:dyDescent="0.25">
      <c r="A28" s="27" t="s">
        <v>53</v>
      </c>
      <c r="B28" s="26" t="str">
        <f ca="1">IFERROR(__xludf.DUMMYFUNCTION("split(A28,"":"")"),"iamageID")</f>
        <v>iamageID</v>
      </c>
      <c r="C28" s="26">
        <f ca="1">IFERROR(__xludf.DUMMYFUNCTION("""COMPUTED_VALUE"""),10)</f>
        <v>10</v>
      </c>
    </row>
    <row r="29" spans="1:3" ht="15.75" customHeight="1" x14ac:dyDescent="0.25">
      <c r="A29" s="27" t="s">
        <v>54</v>
      </c>
      <c r="B29" s="26" t="str">
        <f ca="1">IFERROR(__xludf.DUMMYFUNCTION("split(A29,"":"")"),"ttcLidar[sec]")</f>
        <v>ttcLidar[sec]</v>
      </c>
      <c r="C29" s="26">
        <f ca="1">IFERROR(__xludf.DUMMYFUNCTION("""COMPUTED_VALUE"""),15.8242)</f>
        <v>15.824199999999999</v>
      </c>
    </row>
    <row r="30" spans="1:3" ht="15.75" customHeight="1" x14ac:dyDescent="0.25">
      <c r="A30" s="27" t="s">
        <v>129</v>
      </c>
      <c r="B30" s="26" t="str">
        <f ca="1">IFERROR(__xludf.DUMMYFUNCTION("split(A30,"":"")"),"ttcCamera[sec]")</f>
        <v>ttcCamera[sec]</v>
      </c>
      <c r="C30" s="26">
        <f ca="1">IFERROR(__xludf.DUMMYFUNCTION("""COMPUTED_VALUE"""),13.2779)</f>
        <v>13.277900000000001</v>
      </c>
    </row>
    <row r="31" spans="1:3" ht="15.75" customHeight="1" x14ac:dyDescent="0.25">
      <c r="A31" s="27" t="s">
        <v>56</v>
      </c>
      <c r="B31" s="26" t="str">
        <f ca="1">IFERROR(__xludf.DUMMYFUNCTION("split(A31,"":"")"),"iamageID")</f>
        <v>iamageID</v>
      </c>
      <c r="C31" s="26">
        <f ca="1">IFERROR(__xludf.DUMMYFUNCTION("""COMPUTED_VALUE"""),11)</f>
        <v>11</v>
      </c>
    </row>
    <row r="32" spans="1:3" ht="15.75" customHeight="1" x14ac:dyDescent="0.25">
      <c r="A32" s="27" t="s">
        <v>57</v>
      </c>
      <c r="B32" s="26" t="str">
        <f ca="1">IFERROR(__xludf.DUMMYFUNCTION("split(A32,"":"")"),"ttcLidar[sec]")</f>
        <v>ttcLidar[sec]</v>
      </c>
      <c r="C32" s="26">
        <f ca="1">IFERROR(__xludf.DUMMYFUNCTION("""COMPUTED_VALUE"""),8.68199)</f>
        <v>8.6819900000000008</v>
      </c>
    </row>
    <row r="33" spans="1:3" ht="15.75" customHeight="1" x14ac:dyDescent="0.25">
      <c r="A33" s="27" t="s">
        <v>130</v>
      </c>
      <c r="B33" s="26" t="str">
        <f ca="1">IFERROR(__xludf.DUMMYFUNCTION("split(A33,"":"")"),"ttcCamera[sec]")</f>
        <v>ttcCamera[sec]</v>
      </c>
      <c r="C33" s="26">
        <f ca="1">IFERROR(__xludf.DUMMYFUNCTION("""COMPUTED_VALUE"""),8.2896)</f>
        <v>8.2896000000000001</v>
      </c>
    </row>
    <row r="34" spans="1:3" ht="15.75" customHeight="1" x14ac:dyDescent="0.25">
      <c r="A34" s="27" t="s">
        <v>59</v>
      </c>
      <c r="B34" s="26" t="str">
        <f ca="1">IFERROR(__xludf.DUMMYFUNCTION("split(A34,"":"")"),"iamageID")</f>
        <v>iamageID</v>
      </c>
      <c r="C34" s="26">
        <f ca="1">IFERROR(__xludf.DUMMYFUNCTION("""COMPUTED_VALUE"""),12)</f>
        <v>12</v>
      </c>
    </row>
    <row r="35" spans="1:3" ht="15.75" customHeight="1" x14ac:dyDescent="0.25">
      <c r="A35" s="27" t="s">
        <v>60</v>
      </c>
      <c r="B35" s="26" t="str">
        <f ca="1">IFERROR(__xludf.DUMMYFUNCTION("split(A35,"":"")"),"ttcLidar[sec]")</f>
        <v>ttcLidar[sec]</v>
      </c>
      <c r="C35" s="26">
        <f ca="1">IFERROR(__xludf.DUMMYFUNCTION("""COMPUTED_VALUE"""),10.94)</f>
        <v>10.94</v>
      </c>
    </row>
    <row r="36" spans="1:3" ht="15.75" customHeight="1" x14ac:dyDescent="0.25">
      <c r="A36" s="27" t="s">
        <v>131</v>
      </c>
      <c r="B36" s="26" t="str">
        <f ca="1">IFERROR(__xludf.DUMMYFUNCTION("split(A36,"":"")"),"ttcCamera[sec]")</f>
        <v>ttcCamera[sec]</v>
      </c>
      <c r="C36" s="26">
        <f ca="1">IFERROR(__xludf.DUMMYFUNCTION("""COMPUTED_VALUE"""),36.2236)</f>
        <v>36.223599999999998</v>
      </c>
    </row>
    <row r="37" spans="1:3" ht="15.75" customHeight="1" x14ac:dyDescent="0.25">
      <c r="A37" s="27" t="s">
        <v>62</v>
      </c>
      <c r="B37" s="26" t="str">
        <f ca="1">IFERROR(__xludf.DUMMYFUNCTION("split(A37,"":"")"),"iamageID")</f>
        <v>iamageID</v>
      </c>
      <c r="C37" s="26">
        <f ca="1">IFERROR(__xludf.DUMMYFUNCTION("""COMPUTED_VALUE"""),13)</f>
        <v>13</v>
      </c>
    </row>
    <row r="38" spans="1:3" ht="15.75" customHeight="1" x14ac:dyDescent="0.25">
      <c r="A38" s="27" t="s">
        <v>63</v>
      </c>
      <c r="B38" s="26" t="str">
        <f ca="1">IFERROR(__xludf.DUMMYFUNCTION("split(A38,"":"")"),"ttcLidar[sec]")</f>
        <v>ttcLidar[sec]</v>
      </c>
      <c r="C38" s="26">
        <f ca="1">IFERROR(__xludf.DUMMYFUNCTION("""COMPUTED_VALUE"""),6.37853)</f>
        <v>6.3785299999999996</v>
      </c>
    </row>
    <row r="39" spans="1:3" ht="15.75" customHeight="1" x14ac:dyDescent="0.25">
      <c r="A39" s="27" t="s">
        <v>132</v>
      </c>
      <c r="B39" s="26" t="str">
        <f ca="1">IFERROR(__xludf.DUMMYFUNCTION("split(A39,"":"")"),"ttcCamera[sec]")</f>
        <v>ttcCamera[sec]</v>
      </c>
      <c r="C39" s="26">
        <f ca="1">IFERROR(__xludf.DUMMYFUNCTION("""COMPUTED_VALUE"""),10.4189)</f>
        <v>10.418900000000001</v>
      </c>
    </row>
    <row r="40" spans="1:3" ht="12.5" x14ac:dyDescent="0.25">
      <c r="A40" s="27" t="s">
        <v>65</v>
      </c>
      <c r="B40" s="26" t="str">
        <f ca="1">IFERROR(__xludf.DUMMYFUNCTION("split(A40,"":"")"),"iamageID")</f>
        <v>iamageID</v>
      </c>
      <c r="C40" s="26">
        <f ca="1">IFERROR(__xludf.DUMMYFUNCTION("""COMPUTED_VALUE"""),14)</f>
        <v>14</v>
      </c>
    </row>
    <row r="41" spans="1:3" ht="12.5" x14ac:dyDescent="0.25">
      <c r="A41" s="27" t="s">
        <v>66</v>
      </c>
      <c r="B41" s="26" t="str">
        <f ca="1">IFERROR(__xludf.DUMMYFUNCTION("split(A41,"":"")"),"ttcLidar[sec]")</f>
        <v>ttcLidar[sec]</v>
      </c>
      <c r="C41" s="26">
        <f ca="1">IFERROR(__xludf.DUMMYFUNCTION("""COMPUTED_VALUE"""),17.9264)</f>
        <v>17.926400000000001</v>
      </c>
    </row>
    <row r="42" spans="1:3" ht="12.5" x14ac:dyDescent="0.25">
      <c r="A42" s="27" t="s">
        <v>133</v>
      </c>
      <c r="B42" s="26" t="str">
        <f ca="1">IFERROR(__xludf.DUMMYFUNCTION("split(A42,"":"")"),"ttcCamera[sec]")</f>
        <v>ttcCamera[sec]</v>
      </c>
      <c r="C42" s="26">
        <f ca="1">IFERROR(__xludf.DUMMYFUNCTION("""COMPUTED_VALUE"""),13.4253)</f>
        <v>13.4253</v>
      </c>
    </row>
    <row r="43" spans="1:3" ht="12.5" x14ac:dyDescent="0.25">
      <c r="A43" s="27" t="s">
        <v>68</v>
      </c>
      <c r="B43" s="26" t="str">
        <f ca="1">IFERROR(__xludf.DUMMYFUNCTION("split(A43,"":"")"),"iamageID")</f>
        <v>iamageID</v>
      </c>
      <c r="C43" s="26">
        <f ca="1">IFERROR(__xludf.DUMMYFUNCTION("""COMPUTED_VALUE"""),15)</f>
        <v>15</v>
      </c>
    </row>
    <row r="44" spans="1:3" ht="12.5" x14ac:dyDescent="0.25">
      <c r="A44" s="27" t="s">
        <v>69</v>
      </c>
      <c r="B44" s="26" t="str">
        <f ca="1">IFERROR(__xludf.DUMMYFUNCTION("split(A44,"":"")"),"ttcLidar[sec]")</f>
        <v>ttcLidar[sec]</v>
      </c>
      <c r="C44" s="26">
        <f ca="1">IFERROR(__xludf.DUMMYFUNCTION("""COMPUTED_VALUE"""),13.714)</f>
        <v>13.714</v>
      </c>
    </row>
    <row r="45" spans="1:3" ht="12.5" x14ac:dyDescent="0.25">
      <c r="A45" s="27" t="s">
        <v>134</v>
      </c>
      <c r="B45" s="26" t="str">
        <f ca="1">IFERROR(__xludf.DUMMYFUNCTION("split(A45,"":"")"),"ttcCamera[sec]")</f>
        <v>ttcCamera[sec]</v>
      </c>
      <c r="C45" s="26">
        <f ca="1">IFERROR(__xludf.DUMMYFUNCTION("""COMPUTED_VALUE"""),9.30504)</f>
        <v>9.30504</v>
      </c>
    </row>
    <row r="46" spans="1:3" ht="12.5" x14ac:dyDescent="0.25">
      <c r="A46" s="27" t="s">
        <v>71</v>
      </c>
      <c r="B46" s="26" t="str">
        <f ca="1">IFERROR(__xludf.DUMMYFUNCTION("split(A46,"":"")"),"iamageID")</f>
        <v>iamageID</v>
      </c>
      <c r="C46" s="26">
        <f ca="1">IFERROR(__xludf.DUMMYFUNCTION("""COMPUTED_VALUE"""),16)</f>
        <v>16</v>
      </c>
    </row>
    <row r="47" spans="1:3" ht="12.5" x14ac:dyDescent="0.25">
      <c r="A47" s="27" t="s">
        <v>72</v>
      </c>
      <c r="B47" s="26" t="str">
        <f ca="1">IFERROR(__xludf.DUMMYFUNCTION("split(A47,"":"")"),"ttcLidar[sec]")</f>
        <v>ttcLidar[sec]</v>
      </c>
      <c r="C47" s="26">
        <f ca="1">IFERROR(__xludf.DUMMYFUNCTION("""COMPUTED_VALUE"""),6.1514)</f>
        <v>6.1513999999999998</v>
      </c>
    </row>
    <row r="48" spans="1:3" ht="12.5" x14ac:dyDescent="0.25">
      <c r="A48" s="27" t="s">
        <v>135</v>
      </c>
      <c r="B48" s="26" t="str">
        <f ca="1">IFERROR(__xludf.DUMMYFUNCTION("split(A48,"":"")"),"ttcCamera[sec]")</f>
        <v>ttcCamera[sec]</v>
      </c>
      <c r="C48" s="26">
        <f ca="1">IFERROR(__xludf.DUMMYFUNCTION("""COMPUTED_VALUE"""),9.76932)</f>
        <v>9.7693200000000004</v>
      </c>
    </row>
    <row r="49" spans="1:3" ht="12.5" x14ac:dyDescent="0.25">
      <c r="A49" s="27" t="s">
        <v>74</v>
      </c>
      <c r="B49" s="26" t="str">
        <f ca="1">IFERROR(__xludf.DUMMYFUNCTION("split(A49,"":"")"),"iamageID")</f>
        <v>iamageID</v>
      </c>
      <c r="C49" s="26">
        <f ca="1">IFERROR(__xludf.DUMMYFUNCTION("""COMPUTED_VALUE"""),17)</f>
        <v>17</v>
      </c>
    </row>
    <row r="50" spans="1:3" ht="12.5" x14ac:dyDescent="0.25">
      <c r="A50" s="27" t="s">
        <v>75</v>
      </c>
      <c r="B50" s="26" t="str">
        <f ca="1">IFERROR(__xludf.DUMMYFUNCTION("split(A50,"":"")"),"ttcLidar[sec]")</f>
        <v>ttcLidar[sec]</v>
      </c>
      <c r="C50" s="26">
        <f ca="1">IFERROR(__xludf.DUMMYFUNCTION("""COMPUTED_VALUE"""),5.30408)</f>
        <v>5.3040799999999999</v>
      </c>
    </row>
    <row r="51" spans="1:3" ht="12.5" x14ac:dyDescent="0.25">
      <c r="A51" s="27" t="s">
        <v>136</v>
      </c>
      <c r="B51" s="26" t="str">
        <f ca="1">IFERROR(__xludf.DUMMYFUNCTION("split(A51,"":"")"),"ttcCamera[sec]")</f>
        <v>ttcCamera[sec]</v>
      </c>
      <c r="C51" s="26">
        <f ca="1">IFERROR(__xludf.DUMMYFUNCTION("""COMPUTED_VALUE"""),13.4367)</f>
        <v>13.4367</v>
      </c>
    </row>
    <row r="52" spans="1:3" ht="12.5" x14ac:dyDescent="0.25">
      <c r="A52" s="27" t="s">
        <v>74</v>
      </c>
      <c r="B52" s="26" t="str">
        <f ca="1">IFERROR(__xludf.DUMMYFUNCTION("split(A52,"":"")"),"iamageID")</f>
        <v>iamageID</v>
      </c>
      <c r="C52" s="26">
        <f ca="1">IFERROR(__xludf.DUMMYFUNCTION("""COMPUTED_VALUE"""),17)</f>
        <v>17</v>
      </c>
    </row>
    <row r="53" spans="1:3" ht="12.5" x14ac:dyDescent="0.25">
      <c r="A53" s="27" t="s">
        <v>77</v>
      </c>
      <c r="B53" s="26" t="str">
        <f ca="1">IFERROR(__xludf.DUMMYFUNCTION("split(A53,"":"")"),"ttcLidar[sec]")</f>
        <v>ttcLidar[sec]</v>
      </c>
      <c r="C53" s="26">
        <f ca="1">IFERROR(__xludf.DUMMYFUNCTION("""COMPUTED_VALUE"""),0.000512202)</f>
        <v>5.1220200000000001E-4</v>
      </c>
    </row>
    <row r="54" spans="1:3" ht="12.5" x14ac:dyDescent="0.25">
      <c r="A54" s="27" t="s">
        <v>137</v>
      </c>
      <c r="B54" s="26" t="str">
        <f ca="1">IFERROR(__xludf.DUMMYFUNCTION("split(A54,"":"")"),"ttcCamera[sec]")</f>
        <v>ttcCamera[sec]</v>
      </c>
      <c r="C54" s="26">
        <f ca="1">IFERROR(__xludf.DUMMYFUNCTION("""COMPUTED_VALUE"""),13.0461)</f>
        <v>13.046099999999999</v>
      </c>
    </row>
    <row r="55" spans="1:3" ht="12.5" x14ac:dyDescent="0.25">
      <c r="A55" s="27" t="s">
        <v>79</v>
      </c>
      <c r="B55" s="26" t="str">
        <f ca="1">IFERROR(__xludf.DUMMYFUNCTION("split(A55,"":"")"),"iamageID")</f>
        <v>iamageID</v>
      </c>
      <c r="C55" s="26">
        <f ca="1">IFERROR(__xludf.DUMMYFUNCTION("""COMPUTED_VALUE"""),18)</f>
        <v>18</v>
      </c>
    </row>
    <row r="56" spans="1:3" ht="12.5" x14ac:dyDescent="0.25">
      <c r="A56" s="27" t="s">
        <v>80</v>
      </c>
      <c r="B56" s="26" t="str">
        <f ca="1">IFERROR(__xludf.DUMMYFUNCTION("split(A56,"":"")"),"ttcLidar[sec]")</f>
        <v>ttcLidar[sec]</v>
      </c>
      <c r="C56" s="26">
        <f ca="1">IFERROR(__xludf.DUMMYFUNCTION("""COMPUTED_VALUE"""),50)</f>
        <v>50</v>
      </c>
    </row>
    <row r="57" spans="1:3" ht="12.5" x14ac:dyDescent="0.25">
      <c r="A57" s="27" t="s">
        <v>138</v>
      </c>
      <c r="B57" s="26" t="str">
        <f ca="1">IFERROR(__xludf.DUMMYFUNCTION("split(A57,"":"")"),"ttcCamera[sec]")</f>
        <v>ttcCamera[sec]</v>
      </c>
      <c r="C57" s="26">
        <f ca="1">IFERROR(__xludf.DUMMYFUNCTION("""COMPUTED_VALUE"""),26.6197)</f>
        <v>26.619700000000002</v>
      </c>
    </row>
  </sheetData>
  <phoneticPr fontId="1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C57"/>
  <sheetViews>
    <sheetView workbookViewId="0"/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27" t="s">
        <v>26</v>
      </c>
      <c r="B1" s="26" t="str">
        <f ca="1">IFERROR(__xludf.DUMMYFUNCTION("split(A1,"":"")"),"iamageID")</f>
        <v>iamageID</v>
      </c>
      <c r="C1" s="26">
        <f ca="1">IFERROR(__xludf.DUMMYFUNCTION("""COMPUTED_VALUE"""),1)</f>
        <v>1</v>
      </c>
    </row>
    <row r="2" spans="1:3" ht="15.75" customHeight="1" x14ac:dyDescent="0.25">
      <c r="A2" s="27" t="s">
        <v>27</v>
      </c>
      <c r="B2" s="26" t="str">
        <f ca="1">IFERROR(__xludf.DUMMYFUNCTION("split(A2,"":"")"),"ttcLidar[sec]")</f>
        <v>ttcLidar[sec]</v>
      </c>
      <c r="C2" s="26">
        <f ca="1">IFERROR(__xludf.DUMMYFUNCTION("""COMPUTED_VALUE"""),8.05618)</f>
        <v>8.0561799999999995</v>
      </c>
    </row>
    <row r="3" spans="1:3" ht="15.75" customHeight="1" x14ac:dyDescent="0.25">
      <c r="A3" s="27" t="s">
        <v>139</v>
      </c>
      <c r="B3" s="26" t="str">
        <f ca="1">IFERROR(__xludf.DUMMYFUNCTION("split(A3,"":"")"),"ttcCamera[sec]")</f>
        <v>ttcCamera[sec]</v>
      </c>
      <c r="C3" s="26">
        <f ca="1">IFERROR(__xludf.DUMMYFUNCTION("""COMPUTED_VALUE"""),12.6861)</f>
        <v>12.6861</v>
      </c>
    </row>
    <row r="4" spans="1:3" ht="15.75" customHeight="1" x14ac:dyDescent="0.25">
      <c r="A4" s="27" t="s">
        <v>29</v>
      </c>
      <c r="B4" s="26" t="str">
        <f ca="1">IFERROR(__xludf.DUMMYFUNCTION("split(A4,"":"")"),"iamageID")</f>
        <v>iamageID</v>
      </c>
      <c r="C4" s="26">
        <f ca="1">IFERROR(__xludf.DUMMYFUNCTION("""COMPUTED_VALUE"""),2)</f>
        <v>2</v>
      </c>
    </row>
    <row r="5" spans="1:3" ht="15.75" customHeight="1" x14ac:dyDescent="0.25">
      <c r="A5" s="27" t="s">
        <v>30</v>
      </c>
      <c r="B5" s="26" t="str">
        <f ca="1">IFERROR(__xludf.DUMMYFUNCTION("split(A5,"":"")"),"ttcLidar[sec]")</f>
        <v>ttcLidar[sec]</v>
      </c>
      <c r="C5" s="26">
        <f ca="1">IFERROR(__xludf.DUMMYFUNCTION("""COMPUTED_VALUE"""),13.9136)</f>
        <v>13.913600000000001</v>
      </c>
    </row>
    <row r="6" spans="1:3" ht="15.75" customHeight="1" x14ac:dyDescent="0.25">
      <c r="A6" s="27" t="s">
        <v>140</v>
      </c>
      <c r="B6" s="26" t="str">
        <f ca="1">IFERROR(__xludf.DUMMYFUNCTION("split(A6,"":"")"),"ttcCamera[sec]")</f>
        <v>ttcCamera[sec]</v>
      </c>
      <c r="C6" s="26">
        <f ca="1">IFERROR(__xludf.DUMMYFUNCTION("""COMPUTED_VALUE"""),38.7882)</f>
        <v>38.788200000000003</v>
      </c>
    </row>
    <row r="7" spans="1:3" ht="15.75" customHeight="1" x14ac:dyDescent="0.25">
      <c r="A7" s="27" t="s">
        <v>32</v>
      </c>
      <c r="B7" s="26" t="str">
        <f ca="1">IFERROR(__xludf.DUMMYFUNCTION("split(A7,"":"")"),"iamageID")</f>
        <v>iamageID</v>
      </c>
      <c r="C7" s="26">
        <f ca="1">IFERROR(__xludf.DUMMYFUNCTION("""COMPUTED_VALUE"""),3)</f>
        <v>3</v>
      </c>
    </row>
    <row r="8" spans="1:3" ht="15.75" customHeight="1" x14ac:dyDescent="0.25">
      <c r="A8" s="27" t="s">
        <v>33</v>
      </c>
      <c r="B8" s="26" t="str">
        <f ca="1">IFERROR(__xludf.DUMMYFUNCTION("split(A8,"":"")"),"ttcLidar[sec]")</f>
        <v>ttcLidar[sec]</v>
      </c>
      <c r="C8" s="26">
        <f ca="1">IFERROR(__xludf.DUMMYFUNCTION("""COMPUTED_VALUE"""),44.5655)</f>
        <v>44.5655</v>
      </c>
    </row>
    <row r="9" spans="1:3" ht="15.75" customHeight="1" x14ac:dyDescent="0.25">
      <c r="A9" s="27" t="s">
        <v>141</v>
      </c>
      <c r="B9" s="26" t="str">
        <f ca="1">IFERROR(__xludf.DUMMYFUNCTION("split(A9,"":"")"),"ttcCamera[sec]")</f>
        <v>ttcCamera[sec]</v>
      </c>
      <c r="C9" s="26">
        <f ca="1">IFERROR(__xludf.DUMMYFUNCTION("""COMPUTED_VALUE"""),11.3805)</f>
        <v>11.3805</v>
      </c>
    </row>
    <row r="10" spans="1:3" ht="15.75" customHeight="1" x14ac:dyDescent="0.25">
      <c r="A10" s="27" t="s">
        <v>35</v>
      </c>
      <c r="B10" s="26" t="str">
        <f ca="1">IFERROR(__xludf.DUMMYFUNCTION("split(A10,"":"")"),"iamageID")</f>
        <v>iamageID</v>
      </c>
      <c r="C10" s="26">
        <f ca="1">IFERROR(__xludf.DUMMYFUNCTION("""COMPUTED_VALUE"""),4)</f>
        <v>4</v>
      </c>
    </row>
    <row r="11" spans="1:3" ht="15.75" customHeight="1" x14ac:dyDescent="0.25">
      <c r="A11" s="27" t="s">
        <v>36</v>
      </c>
      <c r="B11" s="26" t="str">
        <f ca="1">IFERROR(__xludf.DUMMYFUNCTION("split(A11,"":"")"),"ttcLidar[sec]")</f>
        <v>ttcLidar[sec]</v>
      </c>
      <c r="C11" s="26">
        <f ca="1">IFERROR(__xludf.DUMMYFUNCTION("""COMPUTED_VALUE"""),14.633)</f>
        <v>14.632999999999999</v>
      </c>
    </row>
    <row r="12" spans="1:3" ht="15.75" customHeight="1" x14ac:dyDescent="0.25">
      <c r="A12" s="27" t="s">
        <v>142</v>
      </c>
      <c r="B12" s="26" t="str">
        <f ca="1">IFERROR(__xludf.DUMMYFUNCTION("split(A12,"":"")"),"ttcCamera[sec]")</f>
        <v>ttcCamera[sec]</v>
      </c>
      <c r="C12" s="26">
        <f ca="1">IFERROR(__xludf.DUMMYFUNCTION("""COMPUTED_VALUE"""),11.2087)</f>
        <v>11.2087</v>
      </c>
    </row>
    <row r="13" spans="1:3" ht="15.75" customHeight="1" x14ac:dyDescent="0.25">
      <c r="A13" s="27" t="s">
        <v>38</v>
      </c>
      <c r="B13" s="26" t="str">
        <f ca="1">IFERROR(__xludf.DUMMYFUNCTION("split(A13,"":"")"),"iamageID")</f>
        <v>iamageID</v>
      </c>
      <c r="C13" s="26">
        <f ca="1">IFERROR(__xludf.DUMMYFUNCTION("""COMPUTED_VALUE"""),5)</f>
        <v>5</v>
      </c>
    </row>
    <row r="14" spans="1:3" ht="15.75" customHeight="1" x14ac:dyDescent="0.25">
      <c r="A14" s="27" t="s">
        <v>39</v>
      </c>
      <c r="B14" s="26" t="str">
        <f ca="1">IFERROR(__xludf.DUMMYFUNCTION("split(A14,"":"")"),"ttcLidar[sec]")</f>
        <v>ttcLidar[sec]</v>
      </c>
      <c r="C14" s="26">
        <f ca="1">IFERROR(__xludf.DUMMYFUNCTION("""COMPUTED_VALUE"""),17.8178)</f>
        <v>17.817799999999998</v>
      </c>
    </row>
    <row r="15" spans="1:3" ht="15.75" customHeight="1" x14ac:dyDescent="0.25">
      <c r="A15" s="27" t="s">
        <v>128</v>
      </c>
      <c r="B15" s="26" t="str">
        <f ca="1">IFERROR(__xludf.DUMMYFUNCTION("split(A15,"":"")"),"ttcCamera[sec]")</f>
        <v>ttcCamera[sec]</v>
      </c>
      <c r="C15" s="26" t="str">
        <f ca="1">IFERROR(__xludf.DUMMYFUNCTION("""COMPUTED_VALUE""")," -inf")</f>
        <v xml:space="preserve"> -inf</v>
      </c>
    </row>
    <row r="16" spans="1:3" ht="15.75" customHeight="1" x14ac:dyDescent="0.25">
      <c r="A16" s="27" t="s">
        <v>41</v>
      </c>
      <c r="B16" s="26" t="str">
        <f ca="1">IFERROR(__xludf.DUMMYFUNCTION("split(A16,"":"")"),"iamageID")</f>
        <v>iamageID</v>
      </c>
      <c r="C16" s="26">
        <f ca="1">IFERROR(__xludf.DUMMYFUNCTION("""COMPUTED_VALUE"""),6)</f>
        <v>6</v>
      </c>
    </row>
    <row r="17" spans="1:3" ht="15.75" customHeight="1" x14ac:dyDescent="0.25">
      <c r="A17" s="27" t="s">
        <v>42</v>
      </c>
      <c r="B17" s="26" t="str">
        <f ca="1">IFERROR(__xludf.DUMMYFUNCTION("split(A17,"":"")"),"ttcLidar[sec]")</f>
        <v>ttcLidar[sec]</v>
      </c>
      <c r="C17" s="26">
        <f ca="1">IFERROR(__xludf.DUMMYFUNCTION("""COMPUTED_VALUE"""),13.8814)</f>
        <v>13.881399999999999</v>
      </c>
    </row>
    <row r="18" spans="1:3" ht="15.75" customHeight="1" x14ac:dyDescent="0.25">
      <c r="A18" s="27" t="s">
        <v>143</v>
      </c>
      <c r="B18" s="26" t="str">
        <f ca="1">IFERROR(__xludf.DUMMYFUNCTION("split(A18,"":"")"),"ttcCamera[sec]")</f>
        <v>ttcCamera[sec]</v>
      </c>
      <c r="C18" s="26">
        <f ca="1">IFERROR(__xludf.DUMMYFUNCTION("""COMPUTED_VALUE"""),11.1989)</f>
        <v>11.1989</v>
      </c>
    </row>
    <row r="19" spans="1:3" ht="15.75" customHeight="1" x14ac:dyDescent="0.25">
      <c r="A19" s="27" t="s">
        <v>44</v>
      </c>
      <c r="B19" s="26" t="str">
        <f ca="1">IFERROR(__xludf.DUMMYFUNCTION("split(A19,"":"")"),"iamageID")</f>
        <v>iamageID</v>
      </c>
      <c r="C19" s="26">
        <f ca="1">IFERROR(__xludf.DUMMYFUNCTION("""COMPUTED_VALUE"""),7)</f>
        <v>7</v>
      </c>
    </row>
    <row r="20" spans="1:3" ht="15.75" customHeight="1" x14ac:dyDescent="0.25">
      <c r="A20" s="27" t="s">
        <v>45</v>
      </c>
      <c r="B20" s="26" t="str">
        <f ca="1">IFERROR(__xludf.DUMMYFUNCTION("split(A20,"":"")"),"ttcLidar[sec]")</f>
        <v>ttcLidar[sec]</v>
      </c>
      <c r="C20" s="26">
        <f ca="1">IFERROR(__xludf.DUMMYFUNCTION("""COMPUTED_VALUE"""),22.9091)</f>
        <v>22.909099999999999</v>
      </c>
    </row>
    <row r="21" spans="1:3" ht="15.75" customHeight="1" x14ac:dyDescent="0.25">
      <c r="A21" s="27" t="s">
        <v>128</v>
      </c>
      <c r="B21" s="26" t="str">
        <f ca="1">IFERROR(__xludf.DUMMYFUNCTION("split(A21,"":"")"),"ttcCamera[sec]")</f>
        <v>ttcCamera[sec]</v>
      </c>
      <c r="C21" s="26" t="str">
        <f ca="1">IFERROR(__xludf.DUMMYFUNCTION("""COMPUTED_VALUE""")," -inf")</f>
        <v xml:space="preserve"> -inf</v>
      </c>
    </row>
    <row r="22" spans="1:3" ht="15.75" customHeight="1" x14ac:dyDescent="0.25">
      <c r="A22" s="27" t="s">
        <v>47</v>
      </c>
      <c r="B22" s="26" t="str">
        <f ca="1">IFERROR(__xludf.DUMMYFUNCTION("split(A22,"":"")"),"iamageID")</f>
        <v>iamageID</v>
      </c>
      <c r="C22" s="26">
        <f ca="1">IFERROR(__xludf.DUMMYFUNCTION("""COMPUTED_VALUE"""),8)</f>
        <v>8</v>
      </c>
    </row>
    <row r="23" spans="1:3" ht="15.75" customHeight="1" x14ac:dyDescent="0.25">
      <c r="A23" s="27" t="s">
        <v>48</v>
      </c>
      <c r="B23" s="26" t="str">
        <f ca="1">IFERROR(__xludf.DUMMYFUNCTION("split(A23,"":"")"),"ttcLidar[sec]")</f>
        <v>ttcLidar[sec]</v>
      </c>
      <c r="C23" s="26">
        <f ca="1">IFERROR(__xludf.DUMMYFUNCTION("""COMPUTED_VALUE"""),7.41929)</f>
        <v>7.4192900000000002</v>
      </c>
    </row>
    <row r="24" spans="1:3" ht="15.75" customHeight="1" x14ac:dyDescent="0.25">
      <c r="A24" s="27" t="s">
        <v>144</v>
      </c>
      <c r="B24" s="26" t="str">
        <f ca="1">IFERROR(__xludf.DUMMYFUNCTION("split(A24,"":"")"),"ttcCamera[sec]")</f>
        <v>ttcCamera[sec]</v>
      </c>
      <c r="C24" s="26">
        <f ca="1">IFERROR(__xludf.DUMMYFUNCTION("""COMPUTED_VALUE"""),9.38588)</f>
        <v>9.3858800000000002</v>
      </c>
    </row>
    <row r="25" spans="1:3" ht="15.75" customHeight="1" x14ac:dyDescent="0.25">
      <c r="A25" s="27" t="s">
        <v>50</v>
      </c>
      <c r="B25" s="26" t="str">
        <f ca="1">IFERROR(__xludf.DUMMYFUNCTION("split(A25,"":"")"),"iamageID")</f>
        <v>iamageID</v>
      </c>
      <c r="C25" s="26">
        <f ca="1">IFERROR(__xludf.DUMMYFUNCTION("""COMPUTED_VALUE"""),9)</f>
        <v>9</v>
      </c>
    </row>
    <row r="26" spans="1:3" ht="15.75" customHeight="1" x14ac:dyDescent="0.25">
      <c r="A26" s="27" t="s">
        <v>51</v>
      </c>
      <c r="B26" s="26" t="str">
        <f ca="1">IFERROR(__xludf.DUMMYFUNCTION("split(A26,"":"")"),"ttcLidar[sec]")</f>
        <v>ttcLidar[sec]</v>
      </c>
      <c r="C26" s="26">
        <f ca="1">IFERROR(__xludf.DUMMYFUNCTION("""COMPUTED_VALUE"""),7.4619)</f>
        <v>7.4619</v>
      </c>
    </row>
    <row r="27" spans="1:3" ht="15.75" customHeight="1" x14ac:dyDescent="0.25">
      <c r="A27" s="27" t="s">
        <v>145</v>
      </c>
      <c r="B27" s="26" t="str">
        <f ca="1">IFERROR(__xludf.DUMMYFUNCTION("split(A27,"":"")"),"ttcCamera[sec]")</f>
        <v>ttcCamera[sec]</v>
      </c>
      <c r="C27" s="26">
        <f ca="1">IFERROR(__xludf.DUMMYFUNCTION("""COMPUTED_VALUE"""),12.8815)</f>
        <v>12.881500000000001</v>
      </c>
    </row>
    <row r="28" spans="1:3" ht="15.75" customHeight="1" x14ac:dyDescent="0.25">
      <c r="A28" s="27" t="s">
        <v>53</v>
      </c>
      <c r="B28" s="26" t="str">
        <f ca="1">IFERROR(__xludf.DUMMYFUNCTION("split(A28,"":"")"),"iamageID")</f>
        <v>iamageID</v>
      </c>
      <c r="C28" s="26">
        <f ca="1">IFERROR(__xludf.DUMMYFUNCTION("""COMPUTED_VALUE"""),10)</f>
        <v>10</v>
      </c>
    </row>
    <row r="29" spans="1:3" ht="15.75" customHeight="1" x14ac:dyDescent="0.25">
      <c r="A29" s="27" t="s">
        <v>54</v>
      </c>
      <c r="B29" s="26" t="str">
        <f ca="1">IFERROR(__xludf.DUMMYFUNCTION("split(A29,"":"")"),"ttcLidar[sec]")</f>
        <v>ttcLidar[sec]</v>
      </c>
      <c r="C29" s="26">
        <f ca="1">IFERROR(__xludf.DUMMYFUNCTION("""COMPUTED_VALUE"""),15.8242)</f>
        <v>15.824199999999999</v>
      </c>
    </row>
    <row r="30" spans="1:3" ht="15.75" customHeight="1" x14ac:dyDescent="0.25">
      <c r="A30" s="27" t="s">
        <v>128</v>
      </c>
      <c r="B30" s="26" t="str">
        <f ca="1">IFERROR(__xludf.DUMMYFUNCTION("split(A30,"":"")"),"ttcCamera[sec]")</f>
        <v>ttcCamera[sec]</v>
      </c>
      <c r="C30" s="26" t="str">
        <f ca="1">IFERROR(__xludf.DUMMYFUNCTION("""COMPUTED_VALUE""")," -inf")</f>
        <v xml:space="preserve"> -inf</v>
      </c>
    </row>
    <row r="31" spans="1:3" ht="15.75" customHeight="1" x14ac:dyDescent="0.25">
      <c r="A31" s="27" t="s">
        <v>56</v>
      </c>
      <c r="B31" s="26" t="str">
        <f ca="1">IFERROR(__xludf.DUMMYFUNCTION("split(A31,"":"")"),"iamageID")</f>
        <v>iamageID</v>
      </c>
      <c r="C31" s="26">
        <f ca="1">IFERROR(__xludf.DUMMYFUNCTION("""COMPUTED_VALUE"""),11)</f>
        <v>11</v>
      </c>
    </row>
    <row r="32" spans="1:3" ht="15.75" customHeight="1" x14ac:dyDescent="0.25">
      <c r="A32" s="27" t="s">
        <v>57</v>
      </c>
      <c r="B32" s="26" t="str">
        <f ca="1">IFERROR(__xludf.DUMMYFUNCTION("split(A32,"":"")"),"ttcLidar[sec]")</f>
        <v>ttcLidar[sec]</v>
      </c>
      <c r="C32" s="26">
        <f ca="1">IFERROR(__xludf.DUMMYFUNCTION("""COMPUTED_VALUE"""),8.68199)</f>
        <v>8.6819900000000008</v>
      </c>
    </row>
    <row r="33" spans="1:3" ht="15.75" customHeight="1" x14ac:dyDescent="0.25">
      <c r="A33" s="27" t="s">
        <v>146</v>
      </c>
      <c r="B33" s="26" t="str">
        <f ca="1">IFERROR(__xludf.DUMMYFUNCTION("split(A33,"":"")"),"ttcCamera[sec]")</f>
        <v>ttcCamera[sec]</v>
      </c>
      <c r="C33" s="26">
        <f ca="1">IFERROR(__xludf.DUMMYFUNCTION("""COMPUTED_VALUE"""),7.86174)</f>
        <v>7.8617400000000002</v>
      </c>
    </row>
    <row r="34" spans="1:3" ht="15.75" customHeight="1" x14ac:dyDescent="0.25">
      <c r="A34" s="27" t="s">
        <v>59</v>
      </c>
      <c r="B34" s="26" t="str">
        <f ca="1">IFERROR(__xludf.DUMMYFUNCTION("split(A34,"":"")"),"iamageID")</f>
        <v>iamageID</v>
      </c>
      <c r="C34" s="26">
        <f ca="1">IFERROR(__xludf.DUMMYFUNCTION("""COMPUTED_VALUE"""),12)</f>
        <v>12</v>
      </c>
    </row>
    <row r="35" spans="1:3" ht="15.75" customHeight="1" x14ac:dyDescent="0.25">
      <c r="A35" s="27" t="s">
        <v>60</v>
      </c>
      <c r="B35" s="26" t="str">
        <f ca="1">IFERROR(__xludf.DUMMYFUNCTION("split(A35,"":"")"),"ttcLidar[sec]")</f>
        <v>ttcLidar[sec]</v>
      </c>
      <c r="C35" s="26">
        <f ca="1">IFERROR(__xludf.DUMMYFUNCTION("""COMPUTED_VALUE"""),10.94)</f>
        <v>10.94</v>
      </c>
    </row>
    <row r="36" spans="1:3" ht="15.75" customHeight="1" x14ac:dyDescent="0.25">
      <c r="A36" s="27" t="s">
        <v>147</v>
      </c>
      <c r="B36" s="26" t="str">
        <f ca="1">IFERROR(__xludf.DUMMYFUNCTION("split(A36,"":"")"),"ttcCamera[sec]")</f>
        <v>ttcCamera[sec]</v>
      </c>
      <c r="C36" s="26">
        <f ca="1">IFERROR(__xludf.DUMMYFUNCTION("""COMPUTED_VALUE"""),26.106)</f>
        <v>26.106000000000002</v>
      </c>
    </row>
    <row r="37" spans="1:3" ht="15.75" customHeight="1" x14ac:dyDescent="0.25">
      <c r="A37" s="27" t="s">
        <v>62</v>
      </c>
      <c r="B37" s="26" t="str">
        <f ca="1">IFERROR(__xludf.DUMMYFUNCTION("split(A37,"":"")"),"iamageID")</f>
        <v>iamageID</v>
      </c>
      <c r="C37" s="26">
        <f ca="1">IFERROR(__xludf.DUMMYFUNCTION("""COMPUTED_VALUE"""),13)</f>
        <v>13</v>
      </c>
    </row>
    <row r="38" spans="1:3" ht="15.75" customHeight="1" x14ac:dyDescent="0.25">
      <c r="A38" s="27" t="s">
        <v>63</v>
      </c>
      <c r="B38" s="26" t="str">
        <f ca="1">IFERROR(__xludf.DUMMYFUNCTION("split(A38,"":"")"),"ttcLidar[sec]")</f>
        <v>ttcLidar[sec]</v>
      </c>
      <c r="C38" s="26">
        <f ca="1">IFERROR(__xludf.DUMMYFUNCTION("""COMPUTED_VALUE"""),6.37853)</f>
        <v>6.3785299999999996</v>
      </c>
    </row>
    <row r="39" spans="1:3" ht="15.75" customHeight="1" x14ac:dyDescent="0.25">
      <c r="A39" s="27" t="s">
        <v>148</v>
      </c>
      <c r="B39" s="26" t="str">
        <f ca="1">IFERROR(__xludf.DUMMYFUNCTION("split(A39,"":"")"),"ttcCamera[sec]")</f>
        <v>ttcCamera[sec]</v>
      </c>
      <c r="C39" s="26">
        <f ca="1">IFERROR(__xludf.DUMMYFUNCTION("""COMPUTED_VALUE"""),7.32054)</f>
        <v>7.3205400000000003</v>
      </c>
    </row>
    <row r="40" spans="1:3" ht="12.5" x14ac:dyDescent="0.25">
      <c r="A40" s="27" t="s">
        <v>65</v>
      </c>
      <c r="B40" s="26" t="str">
        <f ca="1">IFERROR(__xludf.DUMMYFUNCTION("split(A40,"":"")"),"iamageID")</f>
        <v>iamageID</v>
      </c>
      <c r="C40" s="26">
        <f ca="1">IFERROR(__xludf.DUMMYFUNCTION("""COMPUTED_VALUE"""),14)</f>
        <v>14</v>
      </c>
    </row>
    <row r="41" spans="1:3" ht="12.5" x14ac:dyDescent="0.25">
      <c r="A41" s="27" t="s">
        <v>66</v>
      </c>
      <c r="B41" s="26" t="str">
        <f ca="1">IFERROR(__xludf.DUMMYFUNCTION("split(A41,"":"")"),"ttcLidar[sec]")</f>
        <v>ttcLidar[sec]</v>
      </c>
      <c r="C41" s="26">
        <f ca="1">IFERROR(__xludf.DUMMYFUNCTION("""COMPUTED_VALUE"""),17.9264)</f>
        <v>17.926400000000001</v>
      </c>
    </row>
    <row r="42" spans="1:3" ht="12.5" x14ac:dyDescent="0.25">
      <c r="A42" s="27" t="s">
        <v>149</v>
      </c>
      <c r="B42" s="26" t="str">
        <f ca="1">IFERROR(__xludf.DUMMYFUNCTION("split(A42,"":"")"),"ttcCamera[sec]")</f>
        <v>ttcCamera[sec]</v>
      </c>
      <c r="C42" s="26">
        <f ca="1">IFERROR(__xludf.DUMMYFUNCTION("""COMPUTED_VALUE"""),63.442)</f>
        <v>63.442</v>
      </c>
    </row>
    <row r="43" spans="1:3" ht="12.5" x14ac:dyDescent="0.25">
      <c r="A43" s="27" t="s">
        <v>68</v>
      </c>
      <c r="B43" s="26" t="str">
        <f ca="1">IFERROR(__xludf.DUMMYFUNCTION("split(A43,"":"")"),"iamageID")</f>
        <v>iamageID</v>
      </c>
      <c r="C43" s="26">
        <f ca="1">IFERROR(__xludf.DUMMYFUNCTION("""COMPUTED_VALUE"""),15)</f>
        <v>15</v>
      </c>
    </row>
    <row r="44" spans="1:3" ht="12.5" x14ac:dyDescent="0.25">
      <c r="A44" s="27" t="s">
        <v>69</v>
      </c>
      <c r="B44" s="26" t="str">
        <f ca="1">IFERROR(__xludf.DUMMYFUNCTION("split(A44,"":"")"),"ttcLidar[sec]")</f>
        <v>ttcLidar[sec]</v>
      </c>
      <c r="C44" s="26">
        <f ca="1">IFERROR(__xludf.DUMMYFUNCTION("""COMPUTED_VALUE"""),13.714)</f>
        <v>13.714</v>
      </c>
    </row>
    <row r="45" spans="1:3" ht="12.5" x14ac:dyDescent="0.25">
      <c r="A45" s="27" t="s">
        <v>150</v>
      </c>
      <c r="B45" s="26" t="str">
        <f ca="1">IFERROR(__xludf.DUMMYFUNCTION("split(A45,"":"")"),"ttcCamera[sec]")</f>
        <v>ttcCamera[sec]</v>
      </c>
      <c r="C45" s="26">
        <f ca="1">IFERROR(__xludf.DUMMYFUNCTION("""COMPUTED_VALUE"""),8.35406)</f>
        <v>8.3540600000000005</v>
      </c>
    </row>
    <row r="46" spans="1:3" ht="12.5" x14ac:dyDescent="0.25">
      <c r="A46" s="27" t="s">
        <v>71</v>
      </c>
      <c r="B46" s="26" t="str">
        <f ca="1">IFERROR(__xludf.DUMMYFUNCTION("split(A46,"":"")"),"iamageID")</f>
        <v>iamageID</v>
      </c>
      <c r="C46" s="26">
        <f ca="1">IFERROR(__xludf.DUMMYFUNCTION("""COMPUTED_VALUE"""),16)</f>
        <v>16</v>
      </c>
    </row>
    <row r="47" spans="1:3" ht="12.5" x14ac:dyDescent="0.25">
      <c r="A47" s="27" t="s">
        <v>72</v>
      </c>
      <c r="B47" s="26" t="str">
        <f ca="1">IFERROR(__xludf.DUMMYFUNCTION("split(A47,"":"")"),"ttcLidar[sec]")</f>
        <v>ttcLidar[sec]</v>
      </c>
      <c r="C47" s="26">
        <f ca="1">IFERROR(__xludf.DUMMYFUNCTION("""COMPUTED_VALUE"""),6.1514)</f>
        <v>6.1513999999999998</v>
      </c>
    </row>
    <row r="48" spans="1:3" ht="12.5" x14ac:dyDescent="0.25">
      <c r="A48" s="27" t="s">
        <v>151</v>
      </c>
      <c r="B48" s="26" t="str">
        <f ca="1">IFERROR(__xludf.DUMMYFUNCTION("split(A48,"":"")"),"ttcCamera[sec]")</f>
        <v>ttcCamera[sec]</v>
      </c>
      <c r="C48" s="26">
        <f ca="1">IFERROR(__xludf.DUMMYFUNCTION("""COMPUTED_VALUE"""),7.35272)</f>
        <v>7.3527199999999997</v>
      </c>
    </row>
    <row r="49" spans="1:3" ht="12.5" x14ac:dyDescent="0.25">
      <c r="A49" s="27" t="s">
        <v>74</v>
      </c>
      <c r="B49" s="26" t="str">
        <f ca="1">IFERROR(__xludf.DUMMYFUNCTION("split(A49,"":"")"),"iamageID")</f>
        <v>iamageID</v>
      </c>
      <c r="C49" s="26">
        <f ca="1">IFERROR(__xludf.DUMMYFUNCTION("""COMPUTED_VALUE"""),17)</f>
        <v>17</v>
      </c>
    </row>
    <row r="50" spans="1:3" ht="12.5" x14ac:dyDescent="0.25">
      <c r="A50" s="27" t="s">
        <v>75</v>
      </c>
      <c r="B50" s="26" t="str">
        <f ca="1">IFERROR(__xludf.DUMMYFUNCTION("split(A50,"":"")"),"ttcLidar[sec]")</f>
        <v>ttcLidar[sec]</v>
      </c>
      <c r="C50" s="26">
        <f ca="1">IFERROR(__xludf.DUMMYFUNCTION("""COMPUTED_VALUE"""),5.30408)</f>
        <v>5.3040799999999999</v>
      </c>
    </row>
    <row r="51" spans="1:3" ht="12.5" x14ac:dyDescent="0.25">
      <c r="A51" s="27" t="s">
        <v>152</v>
      </c>
      <c r="B51" s="26" t="str">
        <f ca="1">IFERROR(__xludf.DUMMYFUNCTION("split(A51,"":"")"),"ttcCamera[sec]")</f>
        <v>ttcCamera[sec]</v>
      </c>
      <c r="C51" s="26">
        <f ca="1">IFERROR(__xludf.DUMMYFUNCTION("""COMPUTED_VALUE"""),11.3219)</f>
        <v>11.321899999999999</v>
      </c>
    </row>
    <row r="52" spans="1:3" ht="12.5" x14ac:dyDescent="0.25">
      <c r="A52" s="27" t="s">
        <v>74</v>
      </c>
      <c r="B52" s="26" t="str">
        <f ca="1">IFERROR(__xludf.DUMMYFUNCTION("split(A52,"":"")"),"iamageID")</f>
        <v>iamageID</v>
      </c>
      <c r="C52" s="26">
        <f ca="1">IFERROR(__xludf.DUMMYFUNCTION("""COMPUTED_VALUE"""),17)</f>
        <v>17</v>
      </c>
    </row>
    <row r="53" spans="1:3" ht="12.5" x14ac:dyDescent="0.25">
      <c r="A53" s="27" t="s">
        <v>77</v>
      </c>
      <c r="B53" s="26" t="str">
        <f ca="1">IFERROR(__xludf.DUMMYFUNCTION("split(A53,"":"")"),"ttcLidar[sec]")</f>
        <v>ttcLidar[sec]</v>
      </c>
      <c r="C53" s="26">
        <f ca="1">IFERROR(__xludf.DUMMYFUNCTION("""COMPUTED_VALUE"""),0.000512202)</f>
        <v>5.1220200000000001E-4</v>
      </c>
    </row>
    <row r="54" spans="1:3" ht="12.5" x14ac:dyDescent="0.25">
      <c r="A54" s="27" t="s">
        <v>153</v>
      </c>
      <c r="B54" s="26" t="str">
        <f ca="1">IFERROR(__xludf.DUMMYFUNCTION("split(A54,"":"")"),"ttcCamera[sec]")</f>
        <v>ttcCamera[sec]</v>
      </c>
      <c r="C54" s="26">
        <f ca="1">IFERROR(__xludf.DUMMYFUNCTION("""COMPUTED_VALUE"""),6.94823)</f>
        <v>6.9482299999999997</v>
      </c>
    </row>
    <row r="55" spans="1:3" ht="12.5" x14ac:dyDescent="0.25">
      <c r="A55" s="27" t="s">
        <v>79</v>
      </c>
      <c r="B55" s="26" t="str">
        <f ca="1">IFERROR(__xludf.DUMMYFUNCTION("split(A55,"":"")"),"iamageID")</f>
        <v>iamageID</v>
      </c>
      <c r="C55" s="26">
        <f ca="1">IFERROR(__xludf.DUMMYFUNCTION("""COMPUTED_VALUE"""),18)</f>
        <v>18</v>
      </c>
    </row>
    <row r="56" spans="1:3" ht="12.5" x14ac:dyDescent="0.25">
      <c r="A56" s="27" t="s">
        <v>80</v>
      </c>
      <c r="B56" s="26" t="str">
        <f ca="1">IFERROR(__xludf.DUMMYFUNCTION("split(A56,"":"")"),"ttcLidar[sec]")</f>
        <v>ttcLidar[sec]</v>
      </c>
      <c r="C56" s="26">
        <f ca="1">IFERROR(__xludf.DUMMYFUNCTION("""COMPUTED_VALUE"""),50)</f>
        <v>50</v>
      </c>
    </row>
    <row r="57" spans="1:3" ht="12.5" x14ac:dyDescent="0.25">
      <c r="A57" s="27" t="s">
        <v>154</v>
      </c>
      <c r="B57" s="26" t="str">
        <f ca="1">IFERROR(__xludf.DUMMYFUNCTION("split(A57,"":"")"),"ttcCamera[sec]")</f>
        <v>ttcCamera[sec]</v>
      </c>
      <c r="C57" s="26">
        <f ca="1">IFERROR(__xludf.DUMMYFUNCTION("""COMPUTED_VALUE"""),-0.20083)</f>
        <v>-0.20083000000000001</v>
      </c>
    </row>
  </sheetData>
  <phoneticPr fontId="1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C54"/>
  <sheetViews>
    <sheetView workbookViewId="0">
      <selection activeCell="F31" sqref="F31"/>
    </sheetView>
  </sheetViews>
  <sheetFormatPr defaultColWidth="14.453125" defaultRowHeight="15.75" customHeight="1" x14ac:dyDescent="0.25"/>
  <cols>
    <col min="1" max="1" width="20.54296875" customWidth="1"/>
    <col min="2" max="2" width="30.453125" customWidth="1"/>
  </cols>
  <sheetData>
    <row r="1" spans="1:3" ht="15.75" customHeight="1" x14ac:dyDescent="0.25">
      <c r="A1" s="27" t="s">
        <v>26</v>
      </c>
      <c r="B1" s="26" t="str">
        <f ca="1">IFERROR(__xludf.DUMMYFUNCTION("split(A1,"":"")"),"iamageID")</f>
        <v>iamageID</v>
      </c>
      <c r="C1" s="26">
        <f ca="1">IFERROR(__xludf.DUMMYFUNCTION("""COMPUTED_VALUE"""),1)</f>
        <v>1</v>
      </c>
    </row>
    <row r="2" spans="1:3" ht="15.75" customHeight="1" x14ac:dyDescent="0.25">
      <c r="A2" s="27" t="s">
        <v>27</v>
      </c>
      <c r="B2" s="26" t="str">
        <f ca="1">IFERROR(__xludf.DUMMYFUNCTION("split(A2,"":"")"),"ttcLidar[sec]")</f>
        <v>ttcLidar[sec]</v>
      </c>
      <c r="C2" s="26">
        <f ca="1">IFERROR(__xludf.DUMMYFUNCTION("""COMPUTED_VALUE"""),8.05618)</f>
        <v>8.0561799999999995</v>
      </c>
    </row>
    <row r="3" spans="1:3" ht="15.75" customHeight="1" x14ac:dyDescent="0.25">
      <c r="A3" s="27" t="s">
        <v>155</v>
      </c>
      <c r="B3" s="26" t="str">
        <f ca="1">IFERROR(__xludf.DUMMYFUNCTION("split(A3,"":"")"),"ttcCamera[sec]")</f>
        <v>ttcCamera[sec]</v>
      </c>
      <c r="C3" s="26">
        <f ca="1">IFERROR(__xludf.DUMMYFUNCTION("""COMPUTED_VALUE"""),22.07)</f>
        <v>22.07</v>
      </c>
    </row>
    <row r="4" spans="1:3" ht="15.75" customHeight="1" x14ac:dyDescent="0.25">
      <c r="A4" s="27" t="s">
        <v>29</v>
      </c>
      <c r="B4" s="26" t="str">
        <f ca="1">IFERROR(__xludf.DUMMYFUNCTION("split(A4,"":"")"),"iamageID")</f>
        <v>iamageID</v>
      </c>
      <c r="C4" s="26">
        <f ca="1">IFERROR(__xludf.DUMMYFUNCTION("""COMPUTED_VALUE"""),2)</f>
        <v>2</v>
      </c>
    </row>
    <row r="5" spans="1:3" ht="15.75" customHeight="1" x14ac:dyDescent="0.25">
      <c r="A5" s="27" t="s">
        <v>30</v>
      </c>
      <c r="B5" s="26" t="str">
        <f ca="1">IFERROR(__xludf.DUMMYFUNCTION("split(A5,"":"")"),"ttcLidar[sec]")</f>
        <v>ttcLidar[sec]</v>
      </c>
      <c r="C5" s="26">
        <f ca="1">IFERROR(__xludf.DUMMYFUNCTION("""COMPUTED_VALUE"""),13.9136)</f>
        <v>13.913600000000001</v>
      </c>
    </row>
    <row r="6" spans="1:3" ht="15.75" customHeight="1" x14ac:dyDescent="0.25">
      <c r="A6" s="27" t="s">
        <v>156</v>
      </c>
      <c r="B6" s="26" t="str">
        <f ca="1">IFERROR(__xludf.DUMMYFUNCTION("split(A6,"":"")"),"ttcCamera[sec]")</f>
        <v>ttcCamera[sec]</v>
      </c>
      <c r="C6" s="26">
        <f ca="1">IFERROR(__xludf.DUMMYFUNCTION("""COMPUTED_VALUE"""),24.1294)</f>
        <v>24.1294</v>
      </c>
    </row>
    <row r="7" spans="1:3" ht="15.75" customHeight="1" x14ac:dyDescent="0.25">
      <c r="A7" s="27" t="s">
        <v>32</v>
      </c>
      <c r="B7" s="26" t="str">
        <f ca="1">IFERROR(__xludf.DUMMYFUNCTION("split(A7,"":"")"),"iamageID")</f>
        <v>iamageID</v>
      </c>
      <c r="C7" s="26">
        <f ca="1">IFERROR(__xludf.DUMMYFUNCTION("""COMPUTED_VALUE"""),3)</f>
        <v>3</v>
      </c>
    </row>
    <row r="8" spans="1:3" ht="15.75" customHeight="1" x14ac:dyDescent="0.25">
      <c r="A8" s="27" t="s">
        <v>33</v>
      </c>
      <c r="B8" s="26" t="str">
        <f ca="1">IFERROR(__xludf.DUMMYFUNCTION("split(A8,"":"")"),"ttcLidar[sec]")</f>
        <v>ttcLidar[sec]</v>
      </c>
      <c r="C8" s="26">
        <f ca="1">IFERROR(__xludf.DUMMYFUNCTION("""COMPUTED_VALUE"""),44.5655)</f>
        <v>44.5655</v>
      </c>
    </row>
    <row r="9" spans="1:3" ht="15.75" customHeight="1" x14ac:dyDescent="0.25">
      <c r="A9" s="27" t="s">
        <v>157</v>
      </c>
      <c r="B9" s="26" t="str">
        <f ca="1">IFERROR(__xludf.DUMMYFUNCTION("split(A9,"":"")"),"ttcCamera[sec]")</f>
        <v>ttcCamera[sec]</v>
      </c>
      <c r="C9" s="26">
        <f ca="1">IFERROR(__xludf.DUMMYFUNCTION("""COMPUTED_VALUE"""),92.8179)</f>
        <v>92.817899999999995</v>
      </c>
    </row>
    <row r="10" spans="1:3" ht="15.75" customHeight="1" x14ac:dyDescent="0.25">
      <c r="A10" s="27" t="s">
        <v>35</v>
      </c>
      <c r="B10" s="26" t="str">
        <f ca="1">IFERROR(__xludf.DUMMYFUNCTION("split(A10,"":"")"),"iamageID")</f>
        <v>iamageID</v>
      </c>
      <c r="C10" s="26">
        <f ca="1">IFERROR(__xludf.DUMMYFUNCTION("""COMPUTED_VALUE"""),4)</f>
        <v>4</v>
      </c>
    </row>
    <row r="11" spans="1:3" ht="15.75" customHeight="1" x14ac:dyDescent="0.25">
      <c r="A11" s="27" t="s">
        <v>36</v>
      </c>
      <c r="B11" s="26" t="str">
        <f ca="1">IFERROR(__xludf.DUMMYFUNCTION("split(A11,"":"")"),"ttcLidar[sec]")</f>
        <v>ttcLidar[sec]</v>
      </c>
      <c r="C11" s="26">
        <f ca="1">IFERROR(__xludf.DUMMYFUNCTION("""COMPUTED_VALUE"""),14.633)</f>
        <v>14.632999999999999</v>
      </c>
    </row>
    <row r="12" spans="1:3" ht="15.75" customHeight="1" x14ac:dyDescent="0.25">
      <c r="A12" s="27" t="s">
        <v>158</v>
      </c>
      <c r="B12" s="26" t="str">
        <f ca="1">IFERROR(__xludf.DUMMYFUNCTION("split(A12,"":"")"),"ttcCamera[sec]")</f>
        <v>ttcCamera[sec]</v>
      </c>
      <c r="C12" s="26">
        <f ca="1">IFERROR(__xludf.DUMMYFUNCTION("""COMPUTED_VALUE"""),15.233)</f>
        <v>15.233000000000001</v>
      </c>
    </row>
    <row r="13" spans="1:3" ht="15.75" customHeight="1" x14ac:dyDescent="0.25">
      <c r="A13" s="27" t="s">
        <v>38</v>
      </c>
      <c r="B13" s="26" t="str">
        <f ca="1">IFERROR(__xludf.DUMMYFUNCTION("split(A13,"":"")"),"iamageID")</f>
        <v>iamageID</v>
      </c>
      <c r="C13" s="26">
        <f ca="1">IFERROR(__xludf.DUMMYFUNCTION("""COMPUTED_VALUE"""),5)</f>
        <v>5</v>
      </c>
    </row>
    <row r="14" spans="1:3" ht="15.75" customHeight="1" x14ac:dyDescent="0.25">
      <c r="A14" s="27" t="s">
        <v>39</v>
      </c>
      <c r="B14" s="26" t="str">
        <f ca="1">IFERROR(__xludf.DUMMYFUNCTION("split(A14,"":"")"),"ttcLidar[sec]")</f>
        <v>ttcLidar[sec]</v>
      </c>
      <c r="C14" s="26">
        <f ca="1">IFERROR(__xludf.DUMMYFUNCTION("""COMPUTED_VALUE"""),17.8178)</f>
        <v>17.817799999999998</v>
      </c>
    </row>
    <row r="15" spans="1:3" ht="15.75" customHeight="1" x14ac:dyDescent="0.25">
      <c r="A15" s="27" t="s">
        <v>159</v>
      </c>
      <c r="B15" s="26" t="str">
        <f ca="1">IFERROR(__xludf.DUMMYFUNCTION("split(A15,"":"")"),"ttcCamera[sec]")</f>
        <v>ttcCamera[sec]</v>
      </c>
      <c r="C15" s="26">
        <f ca="1">IFERROR(__xludf.DUMMYFUNCTION("""COMPUTED_VALUE"""),20.1612)</f>
        <v>20.161200000000001</v>
      </c>
    </row>
    <row r="16" spans="1:3" ht="15.75" customHeight="1" x14ac:dyDescent="0.25">
      <c r="A16" s="27" t="s">
        <v>41</v>
      </c>
      <c r="B16" s="26" t="str">
        <f ca="1">IFERROR(__xludf.DUMMYFUNCTION("split(A16,"":"")"),"iamageID")</f>
        <v>iamageID</v>
      </c>
      <c r="C16" s="26">
        <f ca="1">IFERROR(__xludf.DUMMYFUNCTION("""COMPUTED_VALUE"""),6)</f>
        <v>6</v>
      </c>
    </row>
    <row r="17" spans="1:3" ht="15.75" customHeight="1" x14ac:dyDescent="0.25">
      <c r="A17" s="27" t="s">
        <v>42</v>
      </c>
      <c r="B17" s="26" t="str">
        <f ca="1">IFERROR(__xludf.DUMMYFUNCTION("split(A17,"":"")"),"ttcLidar[sec]")</f>
        <v>ttcLidar[sec]</v>
      </c>
      <c r="C17" s="26">
        <f ca="1">IFERROR(__xludf.DUMMYFUNCTION("""COMPUTED_VALUE"""),13.8814)</f>
        <v>13.881399999999999</v>
      </c>
    </row>
    <row r="18" spans="1:3" ht="15.75" customHeight="1" x14ac:dyDescent="0.25">
      <c r="A18" s="27" t="s">
        <v>160</v>
      </c>
      <c r="B18" s="26" t="str">
        <f ca="1">IFERROR(__xludf.DUMMYFUNCTION("split(A18,"":"")"),"ttcCamera[sec]")</f>
        <v>ttcCamera[sec]</v>
      </c>
      <c r="C18" s="26">
        <f ca="1">IFERROR(__xludf.DUMMYFUNCTION("""COMPUTED_VALUE"""),13.3056)</f>
        <v>13.3056</v>
      </c>
    </row>
    <row r="19" spans="1:3" ht="15.75" customHeight="1" x14ac:dyDescent="0.25">
      <c r="A19" s="27" t="s">
        <v>44</v>
      </c>
      <c r="B19" s="26" t="str">
        <f ca="1">IFERROR(__xludf.DUMMYFUNCTION("split(A19,"":"")"),"iamageID")</f>
        <v>iamageID</v>
      </c>
      <c r="C19" s="26">
        <f ca="1">IFERROR(__xludf.DUMMYFUNCTION("""COMPUTED_VALUE"""),7)</f>
        <v>7</v>
      </c>
    </row>
    <row r="20" spans="1:3" ht="15.75" customHeight="1" x14ac:dyDescent="0.25">
      <c r="A20" s="27" t="s">
        <v>45</v>
      </c>
      <c r="B20" s="26" t="str">
        <f ca="1">IFERROR(__xludf.DUMMYFUNCTION("split(A20,"":"")"),"ttcLidar[sec]")</f>
        <v>ttcLidar[sec]</v>
      </c>
      <c r="C20" s="26">
        <f ca="1">IFERROR(__xludf.DUMMYFUNCTION("""COMPUTED_VALUE"""),22.9091)</f>
        <v>22.909099999999999</v>
      </c>
    </row>
    <row r="21" spans="1:3" ht="15.75" customHeight="1" x14ac:dyDescent="0.25">
      <c r="A21" s="27" t="s">
        <v>161</v>
      </c>
      <c r="B21" s="26" t="str">
        <f ca="1">IFERROR(__xludf.DUMMYFUNCTION("split(A21,"":"")"),"ttcCamera[sec]")</f>
        <v>ttcCamera[sec]</v>
      </c>
      <c r="C21" s="26">
        <f ca="1">IFERROR(__xludf.DUMMYFUNCTION("""COMPUTED_VALUE"""),36.3987)</f>
        <v>36.398699999999998</v>
      </c>
    </row>
    <row r="22" spans="1:3" ht="15.75" customHeight="1" x14ac:dyDescent="0.25">
      <c r="A22" s="27" t="s">
        <v>47</v>
      </c>
      <c r="B22" s="26" t="str">
        <f ca="1">IFERROR(__xludf.DUMMYFUNCTION("split(A22,"":"")"),"iamageID")</f>
        <v>iamageID</v>
      </c>
      <c r="C22" s="26">
        <f ca="1">IFERROR(__xludf.DUMMYFUNCTION("""COMPUTED_VALUE"""),8)</f>
        <v>8</v>
      </c>
    </row>
    <row r="23" spans="1:3" ht="15.75" customHeight="1" x14ac:dyDescent="0.25">
      <c r="A23" s="27" t="s">
        <v>48</v>
      </c>
      <c r="B23" s="26" t="str">
        <f ca="1">IFERROR(__xludf.DUMMYFUNCTION("split(A23,"":"")"),"ttcLidar[sec]")</f>
        <v>ttcLidar[sec]</v>
      </c>
      <c r="C23" s="26">
        <f ca="1">IFERROR(__xludf.DUMMYFUNCTION("""COMPUTED_VALUE"""),7.41929)</f>
        <v>7.4192900000000002</v>
      </c>
    </row>
    <row r="24" spans="1:3" ht="15.75" customHeight="1" x14ac:dyDescent="0.25">
      <c r="A24" s="27" t="s">
        <v>162</v>
      </c>
      <c r="B24" s="26" t="str">
        <f ca="1">IFERROR(__xludf.DUMMYFUNCTION("split(A24,"":"")"),"ttcCamera[sec]")</f>
        <v>ttcCamera[sec]</v>
      </c>
      <c r="C24" s="26">
        <f ca="1">IFERROR(__xludf.DUMMYFUNCTION("""COMPUTED_VALUE"""),326.784)</f>
        <v>326.78399999999999</v>
      </c>
    </row>
    <row r="25" spans="1:3" ht="15.75" customHeight="1" x14ac:dyDescent="0.25">
      <c r="A25" s="27" t="s">
        <v>50</v>
      </c>
      <c r="B25" s="26" t="str">
        <f ca="1">IFERROR(__xludf.DUMMYFUNCTION("split(A25,"":"")"),"iamageID")</f>
        <v>iamageID</v>
      </c>
      <c r="C25" s="26">
        <f ca="1">IFERROR(__xludf.DUMMYFUNCTION("""COMPUTED_VALUE"""),9)</f>
        <v>9</v>
      </c>
    </row>
    <row r="26" spans="1:3" ht="15.75" customHeight="1" x14ac:dyDescent="0.25">
      <c r="A26" s="27" t="s">
        <v>51</v>
      </c>
      <c r="B26" s="26" t="str">
        <f ca="1">IFERROR(__xludf.DUMMYFUNCTION("split(A26,"":"")"),"ttcLidar[sec]")</f>
        <v>ttcLidar[sec]</v>
      </c>
      <c r="C26" s="26">
        <f ca="1">IFERROR(__xludf.DUMMYFUNCTION("""COMPUTED_VALUE"""),7.4619)</f>
        <v>7.4619</v>
      </c>
    </row>
    <row r="27" spans="1:3" ht="15.75" customHeight="1" x14ac:dyDescent="0.25">
      <c r="A27" s="27" t="s">
        <v>163</v>
      </c>
      <c r="B27" s="26" t="str">
        <f ca="1">IFERROR(__xludf.DUMMYFUNCTION("split(A27,"":"")"),"ttcCamera[sec]")</f>
        <v>ttcCamera[sec]</v>
      </c>
      <c r="C27" s="28">
        <f ca="1">IFERROR(__xludf.DUMMYFUNCTION("""COMPUTED_VALUE"""),2854080)</f>
        <v>2854080</v>
      </c>
    </row>
    <row r="28" spans="1:3" ht="15.75" customHeight="1" x14ac:dyDescent="0.25">
      <c r="A28" s="27" t="s">
        <v>53</v>
      </c>
      <c r="B28" s="26" t="str">
        <f ca="1">IFERROR(__xludf.DUMMYFUNCTION("split(A28,"":"")"),"iamageID")</f>
        <v>iamageID</v>
      </c>
      <c r="C28" s="26">
        <f ca="1">IFERROR(__xludf.DUMMYFUNCTION("""COMPUTED_VALUE"""),10)</f>
        <v>10</v>
      </c>
    </row>
    <row r="29" spans="1:3" ht="15.75" customHeight="1" x14ac:dyDescent="0.25">
      <c r="A29" s="27" t="s">
        <v>54</v>
      </c>
      <c r="B29" s="26" t="str">
        <f ca="1">IFERROR(__xludf.DUMMYFUNCTION("split(A29,"":"")"),"ttcLidar[sec]")</f>
        <v>ttcLidar[sec]</v>
      </c>
      <c r="C29" s="26">
        <f ca="1">IFERROR(__xludf.DUMMYFUNCTION("""COMPUTED_VALUE"""),15.8242)</f>
        <v>15.824199999999999</v>
      </c>
    </row>
    <row r="30" spans="1:3" ht="15.75" customHeight="1" x14ac:dyDescent="0.25">
      <c r="A30" s="27" t="s">
        <v>164</v>
      </c>
      <c r="B30" s="26" t="str">
        <f ca="1">IFERROR(__xludf.DUMMYFUNCTION("split(A30,"":"")"),"ttcCamera[sec]")</f>
        <v>ttcCamera[sec]</v>
      </c>
      <c r="C30" s="26">
        <f ca="1">IFERROR(__xludf.DUMMYFUNCTION("""COMPUTED_VALUE"""),17.7467)</f>
        <v>17.746700000000001</v>
      </c>
    </row>
    <row r="31" spans="1:3" ht="15.75" customHeight="1" x14ac:dyDescent="0.25">
      <c r="A31" s="27" t="s">
        <v>56</v>
      </c>
      <c r="B31" s="26" t="str">
        <f ca="1">IFERROR(__xludf.DUMMYFUNCTION("split(A31,"":"")"),"iamageID")</f>
        <v>iamageID</v>
      </c>
      <c r="C31" s="26">
        <f ca="1">IFERROR(__xludf.DUMMYFUNCTION("""COMPUTED_VALUE"""),11)</f>
        <v>11</v>
      </c>
    </row>
    <row r="32" spans="1:3" ht="15.75" customHeight="1" x14ac:dyDescent="0.25">
      <c r="A32" s="27" t="s">
        <v>57</v>
      </c>
      <c r="B32" s="26" t="str">
        <f ca="1">IFERROR(__xludf.DUMMYFUNCTION("split(A32,"":"")"),"ttcLidar[sec]")</f>
        <v>ttcLidar[sec]</v>
      </c>
      <c r="C32" s="26">
        <f ca="1">IFERROR(__xludf.DUMMYFUNCTION("""COMPUTED_VALUE"""),8.68199)</f>
        <v>8.6819900000000008</v>
      </c>
    </row>
    <row r="33" spans="1:3" ht="15.75" customHeight="1" x14ac:dyDescent="0.25">
      <c r="A33" s="27" t="s">
        <v>165</v>
      </c>
      <c r="B33" s="26" t="str">
        <f ca="1">IFERROR(__xludf.DUMMYFUNCTION("split(A33,"":"")"),"ttcCamera[sec]")</f>
        <v>ttcCamera[sec]</v>
      </c>
      <c r="C33" s="26">
        <f ca="1">IFERROR(__xludf.DUMMYFUNCTION("""COMPUTED_VALUE"""),19.4803)</f>
        <v>19.4803</v>
      </c>
    </row>
    <row r="34" spans="1:3" ht="15.75" customHeight="1" x14ac:dyDescent="0.25">
      <c r="A34" s="27" t="s">
        <v>59</v>
      </c>
      <c r="B34" s="26" t="str">
        <f ca="1">IFERROR(__xludf.DUMMYFUNCTION("split(A34,"":"")"),"iamageID")</f>
        <v>iamageID</v>
      </c>
      <c r="C34" s="26">
        <f ca="1">IFERROR(__xludf.DUMMYFUNCTION("""COMPUTED_VALUE"""),12)</f>
        <v>12</v>
      </c>
    </row>
    <row r="35" spans="1:3" ht="15.75" customHeight="1" x14ac:dyDescent="0.25">
      <c r="A35" s="27" t="s">
        <v>60</v>
      </c>
      <c r="B35" s="26" t="str">
        <f ca="1">IFERROR(__xludf.DUMMYFUNCTION("split(A35,"":"")"),"ttcLidar[sec]")</f>
        <v>ttcLidar[sec]</v>
      </c>
      <c r="C35" s="26">
        <f ca="1">IFERROR(__xludf.DUMMYFUNCTION("""COMPUTED_VALUE"""),10.94)</f>
        <v>10.94</v>
      </c>
    </row>
    <row r="36" spans="1:3" ht="15.75" customHeight="1" x14ac:dyDescent="0.25">
      <c r="A36" s="27" t="s">
        <v>166</v>
      </c>
      <c r="B36" s="26" t="str">
        <f ca="1">IFERROR(__xludf.DUMMYFUNCTION("split(A36,"":"")"),"ttcCamera[sec]")</f>
        <v>ttcCamera[sec]</v>
      </c>
      <c r="C36" s="26">
        <f ca="1">IFERROR(__xludf.DUMMYFUNCTION("""COMPUTED_VALUE"""),21.2644)</f>
        <v>21.264399999999998</v>
      </c>
    </row>
    <row r="37" spans="1:3" ht="15.75" customHeight="1" x14ac:dyDescent="0.25">
      <c r="A37" s="27" t="s">
        <v>62</v>
      </c>
      <c r="B37" s="26" t="str">
        <f ca="1">IFERROR(__xludf.DUMMYFUNCTION("split(A37,"":"")"),"iamageID")</f>
        <v>iamageID</v>
      </c>
      <c r="C37" s="26">
        <f ca="1">IFERROR(__xludf.DUMMYFUNCTION("""COMPUTED_VALUE"""),13)</f>
        <v>13</v>
      </c>
    </row>
    <row r="38" spans="1:3" ht="15.75" customHeight="1" x14ac:dyDescent="0.25">
      <c r="A38" s="27" t="s">
        <v>63</v>
      </c>
      <c r="B38" s="26" t="str">
        <f ca="1">IFERROR(__xludf.DUMMYFUNCTION("split(A38,"":"")"),"ttcLidar[sec]")</f>
        <v>ttcLidar[sec]</v>
      </c>
      <c r="C38" s="26">
        <f ca="1">IFERROR(__xludf.DUMMYFUNCTION("""COMPUTED_VALUE"""),6.37853)</f>
        <v>6.3785299999999996</v>
      </c>
    </row>
    <row r="39" spans="1:3" ht="15.75" customHeight="1" x14ac:dyDescent="0.25">
      <c r="A39" s="27" t="s">
        <v>167</v>
      </c>
      <c r="B39" s="26" t="str">
        <f ca="1">IFERROR(__xludf.DUMMYFUNCTION("split(A39,"":"")"),"ttcCamera[sec]")</f>
        <v>ttcCamera[sec]</v>
      </c>
      <c r="C39" s="26">
        <f ca="1">IFERROR(__xludf.DUMMYFUNCTION("""COMPUTED_VALUE"""),12.8562)</f>
        <v>12.856199999999999</v>
      </c>
    </row>
    <row r="40" spans="1:3" ht="12.5" x14ac:dyDescent="0.25">
      <c r="A40" s="27" t="s">
        <v>65</v>
      </c>
      <c r="B40" s="26" t="str">
        <f ca="1">IFERROR(__xludf.DUMMYFUNCTION("split(A40,"":"")"),"iamageID")</f>
        <v>iamageID</v>
      </c>
      <c r="C40" s="26">
        <f ca="1">IFERROR(__xludf.DUMMYFUNCTION("""COMPUTED_VALUE"""),14)</f>
        <v>14</v>
      </c>
    </row>
    <row r="41" spans="1:3" ht="12.5" x14ac:dyDescent="0.25">
      <c r="A41" s="27" t="s">
        <v>66</v>
      </c>
      <c r="B41" s="26" t="str">
        <f ca="1">IFERROR(__xludf.DUMMYFUNCTION("split(A41,"":"")"),"ttcLidar[sec]")</f>
        <v>ttcLidar[sec]</v>
      </c>
      <c r="C41" s="26">
        <f ca="1">IFERROR(__xludf.DUMMYFUNCTION("""COMPUTED_VALUE"""),17.9264)</f>
        <v>17.926400000000001</v>
      </c>
    </row>
    <row r="42" spans="1:3" ht="12.5" x14ac:dyDescent="0.25">
      <c r="A42" s="27" t="s">
        <v>168</v>
      </c>
      <c r="B42" s="26" t="str">
        <f ca="1">IFERROR(__xludf.DUMMYFUNCTION("split(A42,"":"")"),"ttcCamera[sec]")</f>
        <v>ttcCamera[sec]</v>
      </c>
      <c r="C42" s="26">
        <f ca="1">IFERROR(__xludf.DUMMYFUNCTION("""COMPUTED_VALUE"""),8.82683)</f>
        <v>8.8268299999999993</v>
      </c>
    </row>
    <row r="43" spans="1:3" ht="12.5" x14ac:dyDescent="0.25">
      <c r="A43" s="27" t="s">
        <v>68</v>
      </c>
      <c r="B43" s="26" t="str">
        <f ca="1">IFERROR(__xludf.DUMMYFUNCTION("split(A43,"":"")"),"iamageID")</f>
        <v>iamageID</v>
      </c>
      <c r="C43" s="26">
        <f ca="1">IFERROR(__xludf.DUMMYFUNCTION("""COMPUTED_VALUE"""),15)</f>
        <v>15</v>
      </c>
    </row>
    <row r="44" spans="1:3" ht="12.5" x14ac:dyDescent="0.25">
      <c r="A44" s="27" t="s">
        <v>69</v>
      </c>
      <c r="B44" s="26" t="str">
        <f ca="1">IFERROR(__xludf.DUMMYFUNCTION("split(A44,"":"")"),"ttcLidar[sec]")</f>
        <v>ttcLidar[sec]</v>
      </c>
      <c r="C44" s="26">
        <f ca="1">IFERROR(__xludf.DUMMYFUNCTION("""COMPUTED_VALUE"""),13.714)</f>
        <v>13.714</v>
      </c>
    </row>
    <row r="45" spans="1:3" ht="12.5" x14ac:dyDescent="0.25">
      <c r="A45" s="27" t="s">
        <v>169</v>
      </c>
      <c r="B45" s="26" t="str">
        <f ca="1">IFERROR(__xludf.DUMMYFUNCTION("split(A45,"":"")"),"ttcCamera[sec]")</f>
        <v>ttcCamera[sec]</v>
      </c>
      <c r="C45" s="26">
        <f ca="1">IFERROR(__xludf.DUMMYFUNCTION("""COMPUTED_VALUE"""),6.80537)</f>
        <v>6.8053699999999999</v>
      </c>
    </row>
    <row r="46" spans="1:3" ht="12.5" x14ac:dyDescent="0.25">
      <c r="A46" s="27" t="s">
        <v>71</v>
      </c>
      <c r="B46" s="26" t="str">
        <f ca="1">IFERROR(__xludf.DUMMYFUNCTION("split(A46,"":"")"),"iamageID")</f>
        <v>iamageID</v>
      </c>
      <c r="C46" s="26">
        <f ca="1">IFERROR(__xludf.DUMMYFUNCTION("""COMPUTED_VALUE"""),16)</f>
        <v>16</v>
      </c>
    </row>
    <row r="47" spans="1:3" ht="12.5" x14ac:dyDescent="0.25">
      <c r="A47" s="27" t="s">
        <v>72</v>
      </c>
      <c r="B47" s="26" t="str">
        <f ca="1">IFERROR(__xludf.DUMMYFUNCTION("split(A47,"":"")"),"ttcLidar[sec]")</f>
        <v>ttcLidar[sec]</v>
      </c>
      <c r="C47" s="26">
        <f ca="1">IFERROR(__xludf.DUMMYFUNCTION("""COMPUTED_VALUE"""),6.1514)</f>
        <v>6.1513999999999998</v>
      </c>
    </row>
    <row r="48" spans="1:3" ht="12.5" x14ac:dyDescent="0.25">
      <c r="A48" s="27" t="s">
        <v>170</v>
      </c>
      <c r="B48" s="26" t="str">
        <f ca="1">IFERROR(__xludf.DUMMYFUNCTION("split(A48,"":"")"),"ttcCamera[sec]")</f>
        <v>ttcCamera[sec]</v>
      </c>
      <c r="C48" s="26">
        <f ca="1">IFERROR(__xludf.DUMMYFUNCTION("""COMPUTED_VALUE"""),10.9804)</f>
        <v>10.980399999999999</v>
      </c>
    </row>
    <row r="49" spans="1:3" ht="12.5" x14ac:dyDescent="0.25">
      <c r="A49" s="27" t="s">
        <v>74</v>
      </c>
      <c r="B49" s="26" t="str">
        <f ca="1">IFERROR(__xludf.DUMMYFUNCTION("split(A49,"":"")"),"iamageID")</f>
        <v>iamageID</v>
      </c>
      <c r="C49" s="26">
        <f ca="1">IFERROR(__xludf.DUMMYFUNCTION("""COMPUTED_VALUE"""),17)</f>
        <v>17</v>
      </c>
    </row>
    <row r="50" spans="1:3" ht="12.5" x14ac:dyDescent="0.25">
      <c r="A50" s="27" t="s">
        <v>75</v>
      </c>
      <c r="B50" s="26" t="str">
        <f ca="1">IFERROR(__xludf.DUMMYFUNCTION("split(A50,"":"")"),"ttcLidar[sec]")</f>
        <v>ttcLidar[sec]</v>
      </c>
      <c r="C50" s="26">
        <f ca="1">IFERROR(__xludf.DUMMYFUNCTION("""COMPUTED_VALUE"""),5.30408)</f>
        <v>5.3040799999999999</v>
      </c>
    </row>
    <row r="51" spans="1:3" ht="12.5" x14ac:dyDescent="0.25">
      <c r="A51" s="27" t="s">
        <v>171</v>
      </c>
      <c r="B51" s="26" t="str">
        <f ca="1">IFERROR(__xludf.DUMMYFUNCTION("split(A51,"":"")"),"ttcCamera[sec]")</f>
        <v>ttcCamera[sec]</v>
      </c>
      <c r="C51" s="26">
        <f ca="1">IFERROR(__xludf.DUMMYFUNCTION("""COMPUTED_VALUE"""),15.0819)</f>
        <v>15.081899999999999</v>
      </c>
    </row>
    <row r="52" spans="1:3" ht="12.5" x14ac:dyDescent="0.25">
      <c r="A52" s="27" t="s">
        <v>79</v>
      </c>
      <c r="B52" s="26" t="str">
        <f ca="1">IFERROR(__xludf.DUMMYFUNCTION("split(A52,"":"")"),"iamageID")</f>
        <v>iamageID</v>
      </c>
      <c r="C52" s="26">
        <f ca="1">IFERROR(__xludf.DUMMYFUNCTION("""COMPUTED_VALUE"""),18)</f>
        <v>18</v>
      </c>
    </row>
    <row r="53" spans="1:3" ht="12.5" x14ac:dyDescent="0.25">
      <c r="A53" s="27" t="s">
        <v>80</v>
      </c>
      <c r="B53" s="26" t="str">
        <f ca="1">IFERROR(__xludf.DUMMYFUNCTION("split(A53,"":"")"),"ttcLidar[sec]")</f>
        <v>ttcLidar[sec]</v>
      </c>
      <c r="C53" s="26">
        <f ca="1">IFERROR(__xludf.DUMMYFUNCTION("""COMPUTED_VALUE"""),50)</f>
        <v>50</v>
      </c>
    </row>
    <row r="54" spans="1:3" ht="12.5" x14ac:dyDescent="0.25">
      <c r="A54" s="27" t="s">
        <v>172</v>
      </c>
      <c r="B54" s="26" t="str">
        <f ca="1">IFERROR(__xludf.DUMMYFUNCTION("split(A54,"":"")"),"ttcCamera[sec]")</f>
        <v>ttcCamera[sec]</v>
      </c>
      <c r="C54" s="26">
        <f ca="1">IFERROR(__xludf.DUMMYFUNCTION("""COMPUTED_VALUE"""),21.8102)</f>
        <v>21.810199999999998</v>
      </c>
    </row>
  </sheetData>
  <phoneticPr fontId="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Result</vt:lpstr>
      <vt:lpstr>FAST_ORB</vt:lpstr>
      <vt:lpstr>FAST_FREAK</vt:lpstr>
      <vt:lpstr>FAST_BRIEF</vt:lpstr>
      <vt:lpstr>ORB_ORB</vt:lpstr>
      <vt:lpstr>ORB_FREAK</vt:lpstr>
      <vt:lpstr>ORB_BRIEF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Kenta Kumazaki (Woven Planet)/熊崎　健太</cp:lastModifiedBy>
  <dcterms:modified xsi:type="dcterms:W3CDTF">2021-10-19T15:06:39Z</dcterms:modified>
</cp:coreProperties>
</file>