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ndayuthapani\Documents\TUM Classes\Thesis\"/>
    </mc:Choice>
  </mc:AlternateContent>
  <xr:revisionPtr revIDLastSave="0" documentId="13_ncr:1_{57AC62D4-7A17-40EC-B7BF-0B901672833C}" xr6:coauthVersionLast="47" xr6:coauthVersionMax="47" xr10:uidLastSave="{00000000-0000-0000-0000-000000000000}"/>
  <bookViews>
    <workbookView xWindow="-108" yWindow="-108" windowWidth="23256" windowHeight="12456" activeTab="9" xr2:uid="{63AAFCB5-0EA8-4666-8C63-13FD625588A5}"/>
  </bookViews>
  <sheets>
    <sheet name="Latency" sheetId="1" r:id="rId1"/>
    <sheet name="Processor" sheetId="2" r:id="rId2"/>
    <sheet name="CNN_serving" sheetId="3" r:id="rId3"/>
    <sheet name="Float" sheetId="5" r:id="rId4"/>
    <sheet name="LR_Serving" sheetId="6" r:id="rId5"/>
    <sheet name="Linkpack" sheetId="7" r:id="rId6"/>
    <sheet name="matmul" sheetId="9" r:id="rId7"/>
    <sheet name="pyaes" sheetId="10" r:id="rId8"/>
    <sheet name="RNN" sheetId="11" r:id="rId9"/>
    <sheet name="chameleon" sheetId="1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2" l="1"/>
  <c r="H25" i="12"/>
  <c r="H26" i="12"/>
  <c r="H23" i="12"/>
  <c r="D26" i="12"/>
  <c r="D25" i="12"/>
  <c r="D24" i="12"/>
  <c r="D23" i="12"/>
  <c r="D28" i="12" s="1"/>
  <c r="D29" i="12" s="1"/>
  <c r="H23" i="11"/>
  <c r="H24" i="11"/>
  <c r="H25" i="11"/>
  <c r="H22" i="11"/>
  <c r="D25" i="11"/>
  <c r="D24" i="11"/>
  <c r="D23" i="11"/>
  <c r="D22" i="11"/>
  <c r="D27" i="11" s="1"/>
  <c r="D28" i="11" s="1"/>
  <c r="H23" i="10"/>
  <c r="H24" i="10"/>
  <c r="H25" i="10"/>
  <c r="H22" i="10"/>
  <c r="H27" i="10" s="1"/>
  <c r="H28" i="10" s="1"/>
  <c r="D25" i="10"/>
  <c r="D24" i="10"/>
  <c r="D23" i="10"/>
  <c r="D22" i="10"/>
  <c r="D27" i="10" s="1"/>
  <c r="D28" i="10" s="1"/>
  <c r="H22" i="9"/>
  <c r="H26" i="9" s="1"/>
  <c r="H27" i="9" s="1"/>
  <c r="H23" i="9"/>
  <c r="H24" i="9"/>
  <c r="H21" i="9"/>
  <c r="D24" i="9"/>
  <c r="D26" i="9" s="1"/>
  <c r="D27" i="9" s="1"/>
  <c r="D23" i="9"/>
  <c r="D22" i="9"/>
  <c r="D21" i="9"/>
  <c r="H26" i="7"/>
  <c r="H23" i="7"/>
  <c r="H22" i="7"/>
  <c r="H21" i="7"/>
  <c r="H20" i="7"/>
  <c r="H25" i="7" s="1"/>
  <c r="D26" i="7"/>
  <c r="D20" i="7"/>
  <c r="D23" i="7"/>
  <c r="D22" i="7"/>
  <c r="D21" i="7"/>
  <c r="D25" i="7"/>
  <c r="H26" i="6"/>
  <c r="H25" i="6"/>
  <c r="H27" i="6"/>
  <c r="H24" i="6"/>
  <c r="D30" i="6"/>
  <c r="D27" i="6"/>
  <c r="D24" i="6"/>
  <c r="D25" i="6"/>
  <c r="D26" i="6"/>
  <c r="I26" i="5"/>
  <c r="I23" i="5"/>
  <c r="I22" i="5"/>
  <c r="I21" i="5"/>
  <c r="I20" i="5"/>
  <c r="E26" i="5"/>
  <c r="E23" i="5"/>
  <c r="E22" i="5"/>
  <c r="E21" i="5"/>
  <c r="E20" i="5"/>
  <c r="E25" i="5" s="1"/>
  <c r="L27" i="3"/>
  <c r="F27" i="3"/>
  <c r="E21" i="3"/>
  <c r="E22" i="3"/>
  <c r="E23" i="3"/>
  <c r="E24" i="3"/>
  <c r="E26" i="3"/>
  <c r="L24" i="3"/>
  <c r="L23" i="3"/>
  <c r="L22" i="3"/>
  <c r="L21" i="3"/>
  <c r="X17" i="1"/>
  <c r="K41" i="12"/>
  <c r="G41" i="12"/>
  <c r="C41" i="12"/>
  <c r="C39" i="12"/>
  <c r="K41" i="11"/>
  <c r="G41" i="11"/>
  <c r="C41" i="11"/>
  <c r="C39" i="11"/>
  <c r="K41" i="10"/>
  <c r="G41" i="10"/>
  <c r="C41" i="10"/>
  <c r="C39" i="10"/>
  <c r="K39" i="9"/>
  <c r="G39" i="9"/>
  <c r="C39" i="9"/>
  <c r="C37" i="9"/>
  <c r="K38" i="7"/>
  <c r="G38" i="7"/>
  <c r="C38" i="7"/>
  <c r="C36" i="7"/>
  <c r="C36" i="5"/>
  <c r="C38" i="5"/>
  <c r="C39" i="6"/>
  <c r="K41" i="6" s="1"/>
  <c r="G41" i="6"/>
  <c r="C40" i="3"/>
  <c r="J40" i="3"/>
  <c r="O40" i="3"/>
  <c r="C38" i="3"/>
  <c r="AO17" i="1"/>
  <c r="AO16" i="1"/>
  <c r="AO15" i="1"/>
  <c r="AO14" i="1"/>
  <c r="AO13" i="1"/>
  <c r="AO8" i="1"/>
  <c r="AO7" i="1"/>
  <c r="AO6" i="1"/>
  <c r="K33" i="6"/>
  <c r="G33" i="6"/>
  <c r="C33" i="6"/>
  <c r="K32" i="10"/>
  <c r="G32" i="10"/>
  <c r="C32" i="10"/>
  <c r="J32" i="12"/>
  <c r="F32" i="12"/>
  <c r="B32" i="12"/>
  <c r="K28" i="12"/>
  <c r="K32" i="12" s="1"/>
  <c r="J28" i="12"/>
  <c r="G28" i="12"/>
  <c r="G32" i="12" s="1"/>
  <c r="F28" i="12"/>
  <c r="C28" i="12"/>
  <c r="C32" i="12" s="1"/>
  <c r="B28" i="12"/>
  <c r="K24" i="12"/>
  <c r="K25" i="12"/>
  <c r="K26" i="12"/>
  <c r="G24" i="12"/>
  <c r="G25" i="12"/>
  <c r="G26" i="12"/>
  <c r="C24" i="12"/>
  <c r="C25" i="12"/>
  <c r="C26" i="12"/>
  <c r="K23" i="12"/>
  <c r="G23" i="12"/>
  <c r="C23" i="12"/>
  <c r="J31" i="11"/>
  <c r="F31" i="11"/>
  <c r="K27" i="11"/>
  <c r="K31" i="11" s="1"/>
  <c r="J27" i="11"/>
  <c r="G32" i="11"/>
  <c r="G33" i="11" s="1"/>
  <c r="G35" i="11" s="1"/>
  <c r="G27" i="11"/>
  <c r="G31" i="11" s="1"/>
  <c r="F27" i="11"/>
  <c r="B31" i="11"/>
  <c r="C27" i="11"/>
  <c r="C31" i="11" s="1"/>
  <c r="C32" i="11" s="1"/>
  <c r="C33" i="11" s="1"/>
  <c r="C35" i="11" s="1"/>
  <c r="B27" i="11"/>
  <c r="K23" i="11"/>
  <c r="K24" i="11"/>
  <c r="K25" i="11"/>
  <c r="G23" i="11"/>
  <c r="G24" i="11"/>
  <c r="G25" i="11"/>
  <c r="C23" i="11"/>
  <c r="C24" i="11"/>
  <c r="C25" i="11"/>
  <c r="K22" i="11"/>
  <c r="G22" i="11"/>
  <c r="C22" i="11"/>
  <c r="J31" i="10"/>
  <c r="F31" i="10"/>
  <c r="K31" i="10"/>
  <c r="K33" i="10" s="1"/>
  <c r="K35" i="10" s="1"/>
  <c r="K27" i="10"/>
  <c r="J27" i="10"/>
  <c r="G27" i="10"/>
  <c r="G31" i="10" s="1"/>
  <c r="F27" i="10"/>
  <c r="B31" i="10"/>
  <c r="C27" i="10"/>
  <c r="C31" i="10" s="1"/>
  <c r="B27" i="10"/>
  <c r="K23" i="10"/>
  <c r="K24" i="10"/>
  <c r="K25" i="10"/>
  <c r="G23" i="10"/>
  <c r="G24" i="10"/>
  <c r="G25" i="10"/>
  <c r="C23" i="10"/>
  <c r="C24" i="10"/>
  <c r="C25" i="10"/>
  <c r="K22" i="10"/>
  <c r="G22" i="10"/>
  <c r="C22" i="10"/>
  <c r="J30" i="9"/>
  <c r="F30" i="9"/>
  <c r="K30" i="9"/>
  <c r="K31" i="9"/>
  <c r="K32" i="9" s="1"/>
  <c r="K34" i="9" s="1"/>
  <c r="G30" i="9"/>
  <c r="G31" i="9"/>
  <c r="G32" i="9" s="1"/>
  <c r="G34" i="9" s="1"/>
  <c r="B30" i="9"/>
  <c r="C30" i="9"/>
  <c r="C31" i="9"/>
  <c r="C32" i="9" s="1"/>
  <c r="C34" i="9" s="1"/>
  <c r="K26" i="9"/>
  <c r="J26" i="9"/>
  <c r="G26" i="9"/>
  <c r="F26" i="9"/>
  <c r="C26" i="9"/>
  <c r="B26" i="9"/>
  <c r="K22" i="9"/>
  <c r="K23" i="9"/>
  <c r="K24" i="9"/>
  <c r="G22" i="9"/>
  <c r="G23" i="9"/>
  <c r="G24" i="9"/>
  <c r="K21" i="9"/>
  <c r="G21" i="9"/>
  <c r="C22" i="9"/>
  <c r="C23" i="9"/>
  <c r="C24" i="9"/>
  <c r="C21" i="9"/>
  <c r="J29" i="7"/>
  <c r="F29" i="7"/>
  <c r="K29" i="7"/>
  <c r="K30" i="7"/>
  <c r="K31" i="7" s="1"/>
  <c r="K33" i="7" s="1"/>
  <c r="G30" i="7"/>
  <c r="G31" i="7" s="1"/>
  <c r="G33" i="7" s="1"/>
  <c r="G29" i="7"/>
  <c r="B29" i="7"/>
  <c r="C29" i="7"/>
  <c r="C30" i="7"/>
  <c r="C31" i="7" s="1"/>
  <c r="C33" i="7" s="1"/>
  <c r="K25" i="7"/>
  <c r="J25" i="7"/>
  <c r="G25" i="7"/>
  <c r="F25" i="7"/>
  <c r="K21" i="7"/>
  <c r="K22" i="7"/>
  <c r="K23" i="7"/>
  <c r="K20" i="7"/>
  <c r="G21" i="7"/>
  <c r="G22" i="7"/>
  <c r="G23" i="7"/>
  <c r="G20" i="7"/>
  <c r="C25" i="7"/>
  <c r="B25" i="7"/>
  <c r="C21" i="7"/>
  <c r="C22" i="7"/>
  <c r="C23" i="7"/>
  <c r="C20" i="7"/>
  <c r="J32" i="6"/>
  <c r="K34" i="6" s="1"/>
  <c r="K36" i="6" s="1"/>
  <c r="K32" i="6"/>
  <c r="F32" i="6"/>
  <c r="G34" i="6" s="1"/>
  <c r="G36" i="6" s="1"/>
  <c r="G32" i="6"/>
  <c r="C34" i="6"/>
  <c r="B32" i="6"/>
  <c r="K28" i="6"/>
  <c r="J28" i="6"/>
  <c r="G28" i="6"/>
  <c r="F28" i="6"/>
  <c r="C28" i="6"/>
  <c r="B28" i="6"/>
  <c r="C32" i="6"/>
  <c r="K25" i="6"/>
  <c r="K26" i="6"/>
  <c r="K27" i="6"/>
  <c r="K24" i="6"/>
  <c r="G25" i="6"/>
  <c r="G26" i="6"/>
  <c r="G27" i="6"/>
  <c r="G24" i="6"/>
  <c r="C25" i="6"/>
  <c r="C26" i="6"/>
  <c r="C27" i="6"/>
  <c r="C24" i="6"/>
  <c r="K29" i="5"/>
  <c r="G29" i="5"/>
  <c r="C33" i="5"/>
  <c r="C29" i="5"/>
  <c r="C30" i="5"/>
  <c r="C31" i="5" s="1"/>
  <c r="B29" i="5"/>
  <c r="K25" i="5"/>
  <c r="L21" i="5"/>
  <c r="L22" i="5"/>
  <c r="L23" i="5"/>
  <c r="L20" i="5"/>
  <c r="L25" i="5" s="1"/>
  <c r="L29" i="5" s="1"/>
  <c r="L30" i="5" s="1"/>
  <c r="L31" i="5" s="1"/>
  <c r="L33" i="5" s="1"/>
  <c r="H25" i="5"/>
  <c r="H29" i="5" s="1"/>
  <c r="H30" i="5" s="1"/>
  <c r="H31" i="5" s="1"/>
  <c r="H33" i="5" s="1"/>
  <c r="H21" i="5"/>
  <c r="H22" i="5"/>
  <c r="H23" i="5"/>
  <c r="H20" i="5"/>
  <c r="G25" i="5"/>
  <c r="D25" i="5"/>
  <c r="B25" i="5"/>
  <c r="D21" i="5"/>
  <c r="D22" i="5"/>
  <c r="D23" i="5"/>
  <c r="D20" i="5"/>
  <c r="F22" i="2"/>
  <c r="F23" i="2"/>
  <c r="F24" i="2"/>
  <c r="F21" i="2"/>
  <c r="H16" i="2"/>
  <c r="M17" i="2"/>
  <c r="N29" i="3"/>
  <c r="O30" i="3" s="1"/>
  <c r="O31" i="3" s="1"/>
  <c r="O33" i="3" s="1"/>
  <c r="O29" i="3"/>
  <c r="P26" i="3"/>
  <c r="N26" i="3"/>
  <c r="P22" i="3"/>
  <c r="P23" i="3"/>
  <c r="P24" i="3"/>
  <c r="P21" i="3"/>
  <c r="I29" i="3"/>
  <c r="J30" i="3" s="1"/>
  <c r="J31" i="3" s="1"/>
  <c r="J33" i="3" s="1"/>
  <c r="J29" i="3"/>
  <c r="K26" i="3"/>
  <c r="I26" i="3"/>
  <c r="K22" i="3"/>
  <c r="K23" i="3"/>
  <c r="K24" i="3"/>
  <c r="K21" i="3"/>
  <c r="B29" i="3"/>
  <c r="B26" i="3"/>
  <c r="D22" i="3"/>
  <c r="D23" i="3"/>
  <c r="D24" i="3"/>
  <c r="D21" i="3"/>
  <c r="M14" i="2"/>
  <c r="M13" i="2"/>
  <c r="M12" i="2"/>
  <c r="P118" i="1"/>
  <c r="P126" i="1"/>
  <c r="P114" i="1"/>
  <c r="P59" i="1"/>
  <c r="P72" i="1"/>
  <c r="P73" i="1"/>
  <c r="P78" i="1"/>
  <c r="P36" i="1"/>
  <c r="P37" i="1"/>
  <c r="P42" i="1"/>
  <c r="P46" i="1"/>
  <c r="P49" i="1"/>
  <c r="P55" i="1"/>
  <c r="O9" i="1"/>
  <c r="O10" i="1"/>
  <c r="O17" i="1"/>
  <c r="O18" i="1"/>
  <c r="O25" i="1"/>
  <c r="O26" i="1"/>
  <c r="O33" i="1"/>
  <c r="O34" i="1"/>
  <c r="O41" i="1"/>
  <c r="O42" i="1"/>
  <c r="O46" i="1"/>
  <c r="O49" i="1"/>
  <c r="O50" i="1"/>
  <c r="O54" i="1"/>
  <c r="O57" i="1"/>
  <c r="O58" i="1"/>
  <c r="O62" i="1"/>
  <c r="O65" i="1"/>
  <c r="O66" i="1"/>
  <c r="O70" i="1"/>
  <c r="O73" i="1"/>
  <c r="O74" i="1"/>
  <c r="O78" i="1"/>
  <c r="O81" i="1"/>
  <c r="O82" i="1"/>
  <c r="O86" i="1"/>
  <c r="O89" i="1"/>
  <c r="O90" i="1"/>
  <c r="O94" i="1"/>
  <c r="O97" i="1"/>
  <c r="O98" i="1"/>
  <c r="O102" i="1"/>
  <c r="O104" i="1"/>
  <c r="O105" i="1"/>
  <c r="O106" i="1"/>
  <c r="O110" i="1"/>
  <c r="O112" i="1"/>
  <c r="O113" i="1"/>
  <c r="O114" i="1"/>
  <c r="O118" i="1"/>
  <c r="O120" i="1"/>
  <c r="O121" i="1"/>
  <c r="O122" i="1"/>
  <c r="O126" i="1"/>
  <c r="O128" i="1"/>
  <c r="O129" i="1"/>
  <c r="O130" i="1"/>
  <c r="O134" i="1"/>
  <c r="O136" i="1"/>
  <c r="O137" i="1"/>
  <c r="M40" i="1"/>
  <c r="P40" i="1" s="1"/>
  <c r="M41" i="1"/>
  <c r="P41" i="1" s="1"/>
  <c r="M42" i="1"/>
  <c r="M43" i="1"/>
  <c r="P43" i="1" s="1"/>
  <c r="M44" i="1"/>
  <c r="P44" i="1" s="1"/>
  <c r="M45" i="1"/>
  <c r="P45" i="1" s="1"/>
  <c r="M46" i="1"/>
  <c r="M47" i="1"/>
  <c r="P47" i="1" s="1"/>
  <c r="M48" i="1"/>
  <c r="P48" i="1" s="1"/>
  <c r="M49" i="1"/>
  <c r="M50" i="1"/>
  <c r="P50" i="1" s="1"/>
  <c r="M51" i="1"/>
  <c r="P51" i="1" s="1"/>
  <c r="M52" i="1"/>
  <c r="P52" i="1" s="1"/>
  <c r="M53" i="1"/>
  <c r="P53" i="1" s="1"/>
  <c r="M54" i="1"/>
  <c r="P54" i="1" s="1"/>
  <c r="M55" i="1"/>
  <c r="M56" i="1"/>
  <c r="P56" i="1" s="1"/>
  <c r="M57" i="1"/>
  <c r="P57" i="1" s="1"/>
  <c r="M58" i="1"/>
  <c r="P58" i="1" s="1"/>
  <c r="M59" i="1"/>
  <c r="M60" i="1"/>
  <c r="P60" i="1" s="1"/>
  <c r="M61" i="1"/>
  <c r="P61" i="1" s="1"/>
  <c r="M62" i="1"/>
  <c r="P62" i="1" s="1"/>
  <c r="M63" i="1"/>
  <c r="P63" i="1" s="1"/>
  <c r="M64" i="1"/>
  <c r="P64" i="1" s="1"/>
  <c r="M65" i="1"/>
  <c r="P65" i="1" s="1"/>
  <c r="M66" i="1"/>
  <c r="P66" i="1" s="1"/>
  <c r="M67" i="1"/>
  <c r="P67" i="1" s="1"/>
  <c r="M68" i="1"/>
  <c r="P68" i="1" s="1"/>
  <c r="M69" i="1"/>
  <c r="P69" i="1" s="1"/>
  <c r="M70" i="1"/>
  <c r="P70" i="1" s="1"/>
  <c r="M71" i="1"/>
  <c r="P71" i="1" s="1"/>
  <c r="M72" i="1"/>
  <c r="M73" i="1"/>
  <c r="M74" i="1"/>
  <c r="P74" i="1" s="1"/>
  <c r="M75" i="1"/>
  <c r="P75" i="1" s="1"/>
  <c r="M76" i="1"/>
  <c r="P76" i="1" s="1"/>
  <c r="M77" i="1"/>
  <c r="P77" i="1" s="1"/>
  <c r="M78" i="1"/>
  <c r="M79" i="1"/>
  <c r="P79" i="1" s="1"/>
  <c r="M80" i="1"/>
  <c r="P80" i="1" s="1"/>
  <c r="M81" i="1"/>
  <c r="P81" i="1" s="1"/>
  <c r="M82" i="1"/>
  <c r="P82" i="1" s="1"/>
  <c r="M83" i="1"/>
  <c r="P83" i="1" s="1"/>
  <c r="M84" i="1"/>
  <c r="P84" i="1" s="1"/>
  <c r="M85" i="1"/>
  <c r="P85" i="1" s="1"/>
  <c r="M86" i="1"/>
  <c r="P86" i="1" s="1"/>
  <c r="M87" i="1"/>
  <c r="P87" i="1" s="1"/>
  <c r="M88" i="1"/>
  <c r="P88" i="1" s="1"/>
  <c r="M89" i="1"/>
  <c r="P89" i="1" s="1"/>
  <c r="M90" i="1"/>
  <c r="P90" i="1" s="1"/>
  <c r="M91" i="1"/>
  <c r="P91" i="1" s="1"/>
  <c r="M92" i="1"/>
  <c r="P92" i="1" s="1"/>
  <c r="M93" i="1"/>
  <c r="P93" i="1" s="1"/>
  <c r="M94" i="1"/>
  <c r="P94" i="1" s="1"/>
  <c r="M95" i="1"/>
  <c r="P95" i="1" s="1"/>
  <c r="M96" i="1"/>
  <c r="P96" i="1" s="1"/>
  <c r="M97" i="1"/>
  <c r="P97" i="1" s="1"/>
  <c r="M98" i="1"/>
  <c r="P98" i="1" s="1"/>
  <c r="M99" i="1"/>
  <c r="P99" i="1" s="1"/>
  <c r="M100" i="1"/>
  <c r="P100" i="1" s="1"/>
  <c r="M101" i="1"/>
  <c r="P101" i="1" s="1"/>
  <c r="M102" i="1"/>
  <c r="P102" i="1" s="1"/>
  <c r="M103" i="1"/>
  <c r="P103" i="1" s="1"/>
  <c r="M104" i="1"/>
  <c r="P104" i="1" s="1"/>
  <c r="M105" i="1"/>
  <c r="P105" i="1" s="1"/>
  <c r="M106" i="1"/>
  <c r="P106" i="1" s="1"/>
  <c r="M107" i="1"/>
  <c r="P107" i="1" s="1"/>
  <c r="M108" i="1"/>
  <c r="P108" i="1" s="1"/>
  <c r="M109" i="1"/>
  <c r="P109" i="1" s="1"/>
  <c r="M110" i="1"/>
  <c r="P110" i="1" s="1"/>
  <c r="M111" i="1"/>
  <c r="P111" i="1" s="1"/>
  <c r="M112" i="1"/>
  <c r="P112" i="1" s="1"/>
  <c r="M113" i="1"/>
  <c r="P113" i="1" s="1"/>
  <c r="M114" i="1"/>
  <c r="M115" i="1"/>
  <c r="P115" i="1" s="1"/>
  <c r="M116" i="1"/>
  <c r="P116" i="1" s="1"/>
  <c r="M117" i="1"/>
  <c r="P117" i="1" s="1"/>
  <c r="M118" i="1"/>
  <c r="M119" i="1"/>
  <c r="P119" i="1" s="1"/>
  <c r="M120" i="1"/>
  <c r="P120" i="1" s="1"/>
  <c r="M121" i="1"/>
  <c r="P121" i="1" s="1"/>
  <c r="M122" i="1"/>
  <c r="P122" i="1" s="1"/>
  <c r="M123" i="1"/>
  <c r="P123" i="1" s="1"/>
  <c r="M124" i="1"/>
  <c r="P124" i="1" s="1"/>
  <c r="M125" i="1"/>
  <c r="P125" i="1" s="1"/>
  <c r="M126" i="1"/>
  <c r="M127" i="1"/>
  <c r="P127" i="1" s="1"/>
  <c r="M128" i="1"/>
  <c r="P128" i="1" s="1"/>
  <c r="M129" i="1"/>
  <c r="P129" i="1" s="1"/>
  <c r="M130" i="1"/>
  <c r="P130" i="1" s="1"/>
  <c r="M131" i="1"/>
  <c r="P131" i="1" s="1"/>
  <c r="M132" i="1"/>
  <c r="P132" i="1" s="1"/>
  <c r="M133" i="1"/>
  <c r="P133" i="1" s="1"/>
  <c r="M134" i="1"/>
  <c r="P134" i="1" s="1"/>
  <c r="M135" i="1"/>
  <c r="P135" i="1" s="1"/>
  <c r="M136" i="1"/>
  <c r="P136" i="1" s="1"/>
  <c r="M137" i="1"/>
  <c r="P137" i="1" s="1"/>
  <c r="L40" i="1"/>
  <c r="O40" i="1" s="1"/>
  <c r="L41" i="1"/>
  <c r="L42" i="1"/>
  <c r="L43" i="1"/>
  <c r="O43" i="1" s="1"/>
  <c r="L44" i="1"/>
  <c r="O44" i="1" s="1"/>
  <c r="L45" i="1"/>
  <c r="O45" i="1" s="1"/>
  <c r="L46" i="1"/>
  <c r="L47" i="1"/>
  <c r="O47" i="1" s="1"/>
  <c r="L48" i="1"/>
  <c r="O48" i="1" s="1"/>
  <c r="L49" i="1"/>
  <c r="L50" i="1"/>
  <c r="L51" i="1"/>
  <c r="O51" i="1" s="1"/>
  <c r="L52" i="1"/>
  <c r="O52" i="1" s="1"/>
  <c r="L53" i="1"/>
  <c r="O53" i="1" s="1"/>
  <c r="L54" i="1"/>
  <c r="L55" i="1"/>
  <c r="O55" i="1" s="1"/>
  <c r="L56" i="1"/>
  <c r="O56" i="1" s="1"/>
  <c r="L57" i="1"/>
  <c r="L58" i="1"/>
  <c r="L59" i="1"/>
  <c r="O59" i="1" s="1"/>
  <c r="L60" i="1"/>
  <c r="O60" i="1" s="1"/>
  <c r="L61" i="1"/>
  <c r="O61" i="1" s="1"/>
  <c r="L62" i="1"/>
  <c r="L63" i="1"/>
  <c r="O63" i="1" s="1"/>
  <c r="L64" i="1"/>
  <c r="O64" i="1" s="1"/>
  <c r="L65" i="1"/>
  <c r="L66" i="1"/>
  <c r="L67" i="1"/>
  <c r="O67" i="1" s="1"/>
  <c r="L68" i="1"/>
  <c r="O68" i="1" s="1"/>
  <c r="L69" i="1"/>
  <c r="O69" i="1" s="1"/>
  <c r="L70" i="1"/>
  <c r="L71" i="1"/>
  <c r="O71" i="1" s="1"/>
  <c r="L72" i="1"/>
  <c r="O72" i="1" s="1"/>
  <c r="L73" i="1"/>
  <c r="L74" i="1"/>
  <c r="L75" i="1"/>
  <c r="O75" i="1" s="1"/>
  <c r="L76" i="1"/>
  <c r="O76" i="1" s="1"/>
  <c r="L77" i="1"/>
  <c r="O77" i="1" s="1"/>
  <c r="L78" i="1"/>
  <c r="L79" i="1"/>
  <c r="O79" i="1" s="1"/>
  <c r="L80" i="1"/>
  <c r="O80" i="1" s="1"/>
  <c r="L81" i="1"/>
  <c r="L82" i="1"/>
  <c r="L83" i="1"/>
  <c r="O83" i="1" s="1"/>
  <c r="L84" i="1"/>
  <c r="O84" i="1" s="1"/>
  <c r="L85" i="1"/>
  <c r="O85" i="1" s="1"/>
  <c r="L86" i="1"/>
  <c r="L87" i="1"/>
  <c r="O87" i="1" s="1"/>
  <c r="L88" i="1"/>
  <c r="O88" i="1" s="1"/>
  <c r="L89" i="1"/>
  <c r="L90" i="1"/>
  <c r="L91" i="1"/>
  <c r="O91" i="1" s="1"/>
  <c r="L92" i="1"/>
  <c r="O92" i="1" s="1"/>
  <c r="L93" i="1"/>
  <c r="O93" i="1" s="1"/>
  <c r="L94" i="1"/>
  <c r="L95" i="1"/>
  <c r="O95" i="1" s="1"/>
  <c r="L96" i="1"/>
  <c r="O96" i="1" s="1"/>
  <c r="L97" i="1"/>
  <c r="L98" i="1"/>
  <c r="L99" i="1"/>
  <c r="O99" i="1" s="1"/>
  <c r="L100" i="1"/>
  <c r="O100" i="1" s="1"/>
  <c r="L101" i="1"/>
  <c r="O101" i="1" s="1"/>
  <c r="L102" i="1"/>
  <c r="L103" i="1"/>
  <c r="O103" i="1" s="1"/>
  <c r="L104" i="1"/>
  <c r="L105" i="1"/>
  <c r="L106" i="1"/>
  <c r="L107" i="1"/>
  <c r="O107" i="1" s="1"/>
  <c r="L108" i="1"/>
  <c r="O108" i="1" s="1"/>
  <c r="L109" i="1"/>
  <c r="O109" i="1" s="1"/>
  <c r="L110" i="1"/>
  <c r="L111" i="1"/>
  <c r="O111" i="1" s="1"/>
  <c r="L112" i="1"/>
  <c r="L113" i="1"/>
  <c r="L114" i="1"/>
  <c r="L115" i="1"/>
  <c r="O115" i="1" s="1"/>
  <c r="L116" i="1"/>
  <c r="O116" i="1" s="1"/>
  <c r="L117" i="1"/>
  <c r="O117" i="1" s="1"/>
  <c r="L118" i="1"/>
  <c r="L119" i="1"/>
  <c r="O119" i="1" s="1"/>
  <c r="L120" i="1"/>
  <c r="L121" i="1"/>
  <c r="L122" i="1"/>
  <c r="L123" i="1"/>
  <c r="O123" i="1" s="1"/>
  <c r="L124" i="1"/>
  <c r="O124" i="1" s="1"/>
  <c r="L125" i="1"/>
  <c r="O125" i="1" s="1"/>
  <c r="L126" i="1"/>
  <c r="L127" i="1"/>
  <c r="O127" i="1" s="1"/>
  <c r="L128" i="1"/>
  <c r="L129" i="1"/>
  <c r="L130" i="1"/>
  <c r="L131" i="1"/>
  <c r="O131" i="1" s="1"/>
  <c r="L132" i="1"/>
  <c r="O132" i="1" s="1"/>
  <c r="L133" i="1"/>
  <c r="O133" i="1" s="1"/>
  <c r="L134" i="1"/>
  <c r="L135" i="1"/>
  <c r="O135" i="1" s="1"/>
  <c r="L136" i="1"/>
  <c r="L137" i="1"/>
  <c r="M26" i="1"/>
  <c r="P26" i="1" s="1"/>
  <c r="M27" i="1"/>
  <c r="P27" i="1" s="1"/>
  <c r="M28" i="1"/>
  <c r="P28" i="1" s="1"/>
  <c r="M29" i="1"/>
  <c r="P29" i="1" s="1"/>
  <c r="M30" i="1"/>
  <c r="P30" i="1" s="1"/>
  <c r="M31" i="1"/>
  <c r="P31" i="1" s="1"/>
  <c r="M32" i="1"/>
  <c r="P32" i="1" s="1"/>
  <c r="M33" i="1"/>
  <c r="P33" i="1" s="1"/>
  <c r="M34" i="1"/>
  <c r="P34" i="1" s="1"/>
  <c r="M35" i="1"/>
  <c r="P35" i="1" s="1"/>
  <c r="M36" i="1"/>
  <c r="M37" i="1"/>
  <c r="M38" i="1"/>
  <c r="P38" i="1" s="1"/>
  <c r="M39" i="1"/>
  <c r="P39" i="1" s="1"/>
  <c r="L28" i="1"/>
  <c r="O28" i="1" s="1"/>
  <c r="L29" i="1"/>
  <c r="O29" i="1" s="1"/>
  <c r="L30" i="1"/>
  <c r="O30" i="1" s="1"/>
  <c r="L31" i="1"/>
  <c r="O31" i="1" s="1"/>
  <c r="L32" i="1"/>
  <c r="O32" i="1" s="1"/>
  <c r="L33" i="1"/>
  <c r="L34" i="1"/>
  <c r="L35" i="1"/>
  <c r="O35" i="1" s="1"/>
  <c r="L36" i="1"/>
  <c r="O36" i="1" s="1"/>
  <c r="L37" i="1"/>
  <c r="O37" i="1" s="1"/>
  <c r="L38" i="1"/>
  <c r="O38" i="1" s="1"/>
  <c r="L39" i="1"/>
  <c r="O39" i="1" s="1"/>
  <c r="L14" i="1"/>
  <c r="O14" i="1" s="1"/>
  <c r="L15" i="1"/>
  <c r="O15" i="1" s="1"/>
  <c r="L16" i="1"/>
  <c r="O16" i="1" s="1"/>
  <c r="L17" i="1"/>
  <c r="L18" i="1"/>
  <c r="L19" i="1"/>
  <c r="O19" i="1" s="1"/>
  <c r="L20" i="1"/>
  <c r="O20" i="1" s="1"/>
  <c r="L21" i="1"/>
  <c r="O21" i="1" s="1"/>
  <c r="L22" i="1"/>
  <c r="O22" i="1" s="1"/>
  <c r="L23" i="1"/>
  <c r="O23" i="1" s="1"/>
  <c r="L24" i="1"/>
  <c r="O24" i="1" s="1"/>
  <c r="L25" i="1"/>
  <c r="L26" i="1"/>
  <c r="L27" i="1"/>
  <c r="O27" i="1" s="1"/>
  <c r="M14" i="1"/>
  <c r="P14" i="1" s="1"/>
  <c r="M15" i="1"/>
  <c r="P15" i="1" s="1"/>
  <c r="M16" i="1"/>
  <c r="P16" i="1" s="1"/>
  <c r="M17" i="1"/>
  <c r="P17" i="1" s="1"/>
  <c r="M18" i="1"/>
  <c r="P18" i="1" s="1"/>
  <c r="M19" i="1"/>
  <c r="P19" i="1" s="1"/>
  <c r="M20" i="1"/>
  <c r="P20" i="1" s="1"/>
  <c r="M21" i="1"/>
  <c r="P21" i="1" s="1"/>
  <c r="M22" i="1"/>
  <c r="P22" i="1" s="1"/>
  <c r="M23" i="1"/>
  <c r="P23" i="1" s="1"/>
  <c r="M24" i="1"/>
  <c r="P24" i="1" s="1"/>
  <c r="M25" i="1"/>
  <c r="P25" i="1" s="1"/>
  <c r="L8" i="1"/>
  <c r="O8" i="1" s="1"/>
  <c r="M3" i="1"/>
  <c r="P3" i="1" s="1"/>
  <c r="M4" i="1"/>
  <c r="P4" i="1" s="1"/>
  <c r="M5" i="1"/>
  <c r="P5" i="1" s="1"/>
  <c r="M6" i="1"/>
  <c r="P6" i="1" s="1"/>
  <c r="M7" i="1"/>
  <c r="P7" i="1" s="1"/>
  <c r="M8" i="1"/>
  <c r="P8" i="1" s="1"/>
  <c r="M9" i="1"/>
  <c r="P9" i="1" s="1"/>
  <c r="M10" i="1"/>
  <c r="P10" i="1" s="1"/>
  <c r="M11" i="1"/>
  <c r="P11" i="1" s="1"/>
  <c r="M12" i="1"/>
  <c r="P12" i="1" s="1"/>
  <c r="M13" i="1"/>
  <c r="P13" i="1" s="1"/>
  <c r="L3" i="1"/>
  <c r="O3" i="1" s="1"/>
  <c r="L4" i="1"/>
  <c r="O4" i="1" s="1"/>
  <c r="L5" i="1"/>
  <c r="O5" i="1" s="1"/>
  <c r="L6" i="1"/>
  <c r="O6" i="1" s="1"/>
  <c r="L7" i="1"/>
  <c r="O7" i="1" s="1"/>
  <c r="L9" i="1"/>
  <c r="L10" i="1"/>
  <c r="L11" i="1"/>
  <c r="O11" i="1" s="1"/>
  <c r="L12" i="1"/>
  <c r="O12" i="1" s="1"/>
  <c r="L13" i="1"/>
  <c r="O13" i="1" s="1"/>
  <c r="M2" i="1"/>
  <c r="P2" i="1" s="1"/>
  <c r="E3" i="1"/>
  <c r="E2" i="1"/>
  <c r="L2" i="1"/>
  <c r="O2" i="1" s="1"/>
  <c r="D3" i="1"/>
  <c r="D2" i="1"/>
  <c r="H28" i="12" l="1"/>
  <c r="H29" i="12" s="1"/>
  <c r="H27" i="11"/>
  <c r="H28" i="11" s="1"/>
  <c r="H29" i="6"/>
  <c r="H30" i="6" s="1"/>
  <c r="D29" i="6"/>
  <c r="I25" i="5"/>
  <c r="L26" i="3"/>
  <c r="C41" i="6"/>
  <c r="L38" i="5"/>
  <c r="H38" i="5"/>
  <c r="V6" i="1"/>
  <c r="V5" i="1"/>
  <c r="V4" i="1"/>
  <c r="K33" i="12"/>
  <c r="K34" i="12" s="1"/>
  <c r="K36" i="12" s="1"/>
  <c r="G33" i="12"/>
  <c r="G34" i="12" s="1"/>
  <c r="G36" i="12" s="1"/>
  <c r="C33" i="12"/>
  <c r="C34" i="12" s="1"/>
  <c r="C36" i="12" s="1"/>
  <c r="K32" i="11"/>
  <c r="K33" i="11" s="1"/>
  <c r="K35" i="11" s="1"/>
  <c r="G33" i="10"/>
  <c r="G35" i="10" s="1"/>
  <c r="C33" i="10"/>
  <c r="C35" i="10" s="1"/>
  <c r="C36" i="6"/>
  <c r="D26" i="3"/>
  <c r="C29" i="3" s="1"/>
  <c r="C30" i="3" s="1"/>
  <c r="C31" i="3" s="1"/>
  <c r="C33" i="3" s="1"/>
  <c r="V19" i="1"/>
  <c r="V18" i="1"/>
  <c r="V15" i="1"/>
  <c r="V16" i="1"/>
  <c r="V17" i="1"/>
</calcChain>
</file>

<file path=xl/sharedStrings.xml><?xml version="1.0" encoding="utf-8"?>
<sst xmlns="http://schemas.openxmlformats.org/spreadsheetml/2006/main" count="707" uniqueCount="262">
  <si>
    <t>Pod Creation</t>
  </si>
  <si>
    <t>Pod Binding</t>
  </si>
  <si>
    <t>Pod Running</t>
  </si>
  <si>
    <t>Liqo Latency</t>
  </si>
  <si>
    <t>Scheduler Latency</t>
  </si>
  <si>
    <t>Name</t>
  </si>
  <si>
    <t>Ref</t>
  </si>
  <si>
    <t>https://en.wikipedia.org/wiki/Skylake_(microarchitecture)#cite_note-87</t>
  </si>
  <si>
    <t>Intel Skylake</t>
  </si>
  <si>
    <t>AMD EPYC Rome</t>
  </si>
  <si>
    <t>https://en.wikipedia.org/wiki/Epyc</t>
  </si>
  <si>
    <t>AMD EPYC Milan</t>
  </si>
  <si>
    <t>Intel Broadwell</t>
  </si>
  <si>
    <t>https://cloud.google.com/compute/docs/machine-resource</t>
  </si>
  <si>
    <t>Intel Haswell</t>
  </si>
  <si>
    <t>https://en.wikipedia.org/wiki/Haswell_(microarchitecture)</t>
  </si>
  <si>
    <t>Average</t>
  </si>
  <si>
    <t>TDP in Watt</t>
  </si>
  <si>
    <t>RAM Energy consumption</t>
  </si>
  <si>
    <t>https://www.crucial.com/support/articles-faq-memory/how-much-power-does-memory-use</t>
  </si>
  <si>
    <t>Pod Name</t>
  </si>
  <si>
    <t>funcbench-cnnserving-runc-00001-deployment-8676965549-mnjvk</t>
  </si>
  <si>
    <t>funcbench-cnnserving-runc-00001-deployment-8676965549-t6pvr</t>
  </si>
  <si>
    <t>funcbench-cnnserving-runc-00001-deployment-8676965549-fn9sf</t>
  </si>
  <si>
    <t>funcbench-cnnserving-runc-00001-deployment-8676965549-68p7n</t>
  </si>
  <si>
    <t>funcbench-cnnserving-runc-00001-deployment-8676965549-m4hqk</t>
  </si>
  <si>
    <t>funcbench-cnnserving-runc-00001-deployment-8676965549-4k66x</t>
  </si>
  <si>
    <t>funcbench-cnnserving-runc-00001-deployment-8676965549-r85qg</t>
  </si>
  <si>
    <t>funcbench-cnnserving-runc-00001-deployment-8676965549-zc7pk</t>
  </si>
  <si>
    <t>Cluster</t>
  </si>
  <si>
    <t>map[BE:1010 DE:1677 ES:803 FI:1726 FR:808 IT:850 NL:1140 PL:1806 UK:1067]</t>
  </si>
  <si>
    <t>Cluster 3</t>
  </si>
  <si>
    <t>Cluster 2</t>
  </si>
  <si>
    <t>funcbench-cnnserving-runc-00001-deployment-8676965549-26p8w</t>
  </si>
  <si>
    <t>funcbench-cnnserving-runc-00001-deployment-8676965549-wj9r5</t>
  </si>
  <si>
    <t>{"BE":79,"DE":13,"ES":100,"FI":8,"FR":100,"IT":95,"NL":66,"PL":0,"UK":74}/</t>
  </si>
  <si>
    <t>funcbench-cnnserving-runc-00001-deployment-8676965549-x4zzr</t>
  </si>
  <si>
    <t>funcbench-cnnserving-runc-00001-deployment-8676965549-h2svf</t>
  </si>
  <si>
    <t>funcbench-cnnserving-runc-00001-deployment-8676965549-c62s2</t>
  </si>
  <si>
    <t>funcbench-cnnserving-runc-00001-deployment-8676965549-mklqg</t>
  </si>
  <si>
    <t>funcbench-cnnserving-runc-00001-deployment-8676965549-xjll8</t>
  </si>
  <si>
    <t>funcbench-cnnserving-runc-00001-deployment-8676965549-fnxtq</t>
  </si>
  <si>
    <t>funcbench-cnnserving-runc-00001-deployment-8676965549-plc8w</t>
  </si>
  <si>
    <t>funcbench-cnnserving-runc-00001-deployment-8676965549-b2hdq</t>
  </si>
  <si>
    <t>funcbench-cnnserving-runc-00001-deployment-8676965549-f5ml8</t>
  </si>
  <si>
    <t>funcbench-cnnserving-runc-00001-deployment-8676965549-hm6s2</t>
  </si>
  <si>
    <t>funcbench-cnnserving-runc-00001-deployment-8676965549-854zw</t>
  </si>
  <si>
    <t>funcbench-cnnserving-runc-00001-deployment-8676965549-zmc9w</t>
  </si>
  <si>
    <t>funcbench-cnnserving-runc-00001-deployment-8676965549-dprv2</t>
  </si>
  <si>
    <t>funcbench-cnnserving-runc-00001-deployment-8676965549-gswn2</t>
  </si>
  <si>
    <t>funcbench-cnnserving-runc-00001-deployment-8676965549-dpdk9</t>
  </si>
  <si>
    <t>funcbench-cnnserving-runc-00001-deployment-8676965549-wxpmf</t>
  </si>
  <si>
    <t>funcbench-cnnserving-runc-00001-deployment-8676965549-wl9fg</t>
  </si>
  <si>
    <t>funcbench-cnnserving-runc-00001-deployment-8676965549-sbws4</t>
  </si>
  <si>
    <t>funcbench-cnnserving-runc-00001-deployment-8676965549-9nmtd</t>
  </si>
  <si>
    <t>funcbench-cnnserving-runc-00001-deployment-8676965549-v9pjt</t>
  </si>
  <si>
    <t>funcbench-cnnserving-runc-00001-deployment-8676965549-z28wd</t>
  </si>
  <si>
    <t>funcbench-cnnserving-runc-00001-deployment-8676965549-92crs</t>
  </si>
  <si>
    <t>funcbench-cnnserving-runc-00001-deployment-8676965549-wfcsz</t>
  </si>
  <si>
    <t>funcbench-cnnserving-runc-00001-deployment-8676965549-wzzgl</t>
  </si>
  <si>
    <t>funcbench-cnnserving-runc-00001-deployment-8676965549-rqr5q</t>
  </si>
  <si>
    <t>funcbench-cnnserving-runc-00001-deployment-8676965549-jkfkf</t>
  </si>
  <si>
    <t>funcbench-cnnserving-runc-00001-deployment-8676965549-9hwdm</t>
  </si>
  <si>
    <t>funcbench-cnnserving-runc-00001-deployment-8676965549-99pmn</t>
  </si>
  <si>
    <t>funcbench-cnnserving-runc-00001-deployment-8676965549-66svt</t>
  </si>
  <si>
    <t>funcbench-cnnserving-runc-00001-deployment-8676965549-d8vqq</t>
  </si>
  <si>
    <t>funcbench-cnnserving-runc-00001-deployment-8676965549-plq5d</t>
  </si>
  <si>
    <t>funcbench-cnnserving-runc-00001-deployment-8676965549-9xw5t</t>
  </si>
  <si>
    <t>funcbench-cnnserving-runc-00001-deployment-8676965549-5jp28</t>
  </si>
  <si>
    <t>funcbench-cnnserving-runc-00001-deployment-8676965549-s2m86</t>
  </si>
  <si>
    <t>funcbench-cnnserving-runc-00001-deployment-8676965549-v2m26</t>
  </si>
  <si>
    <t>funcbench-cnnserving-runc-00001-deployment-8676965549-8ccgj</t>
  </si>
  <si>
    <t>funcbench-cnnserving-runc-00001-deployment-8676965549-qlkgs</t>
  </si>
  <si>
    <t>funcbench-cnnserving-runc-00001-deployment-8676965549-pncbg</t>
  </si>
  <si>
    <t>funcbench-cnnserving-runc-00001-deployment-8676965549-q6p4r</t>
  </si>
  <si>
    <t>funcbench-cnnserving-runc-00001-deployment-8676965549-7rmqm</t>
  </si>
  <si>
    <t>funcbench-cnnserving-runc-00001-deployment-8676965549-s8xwz</t>
  </si>
  <si>
    <t>funcbench-cnnserving-runc-00001-deployment-8676965549-5qwqn</t>
  </si>
  <si>
    <t>funcbench-cnnserving-runc-00001-deployment-8676965549-trpjv</t>
  </si>
  <si>
    <t>funcbench-cnnserving-runc-00001-deployment-8676965549-8568w</t>
  </si>
  <si>
    <t>funcbench-cnnserving-runc-00001-deployment-8676965549-r2n4b</t>
  </si>
  <si>
    <t>funcbench-cnnserving-runc-00001-deployment-8676965549-mlrt4</t>
  </si>
  <si>
    <t>funcbench-cnnserving-runc-00001-deployment-8676965549-f99xw</t>
  </si>
  <si>
    <t>funcbench-cnnserving-runc-00001-deployment-8676965549-pf5cx</t>
  </si>
  <si>
    <t>funcbench-cnnserving-runc-00001-deployment-8676965549-77psv</t>
  </si>
  <si>
    <t>funcbench-cnnserving-runc-00001-deployment-8676965549-ppshf</t>
  </si>
  <si>
    <t>funcbench-cnnserving-runc-00001-deployment-8676965549-nkdt8</t>
  </si>
  <si>
    <t>funcbench-cnnserving-runc-00001-deployment-8676965549-fdx42</t>
  </si>
  <si>
    <t>funcbench-cnnserving-runc-00001-deployment-8676965549-z4677</t>
  </si>
  <si>
    <t>funcbench-cnnserving-runc-00001-deployment-8676965549-26bbc</t>
  </si>
  <si>
    <t>funcbench-cnnserving-runc-00001-deployment-8676965549-f99nm</t>
  </si>
  <si>
    <t>funcbench-cnnserving-runc-00001-deployment-8676965549-kjrjj</t>
  </si>
  <si>
    <t>funcbench-cnnserving-runc-00001-deployment-8676965549-2crvw</t>
  </si>
  <si>
    <t>funcbench-cnnserving-runc-00001-deployment-8676965549-ncnz4</t>
  </si>
  <si>
    <t>funcbench-cnnserving-runc-00001-deployment-8676965549-vcbqf</t>
  </si>
  <si>
    <t>funcbench-cnnserving-runc-00001-deployment-8676965549-tlzs5</t>
  </si>
  <si>
    <t>funcbench-cnnserving-runc-00001-deployment-8676965549-jnwph</t>
  </si>
  <si>
    <t>funcbench-cnnserving-runc-00001-deployment-8676965549-rw6md</t>
  </si>
  <si>
    <t>funcbench-cnnserving-runc-00001-deployment-8676965549-6k64z</t>
  </si>
  <si>
    <t>funcbench-cnnserving-runc-00001-deployment-8676965549-zsm6z</t>
  </si>
  <si>
    <t>funcbench-cnnserving-runc-00001-deployment-8676965549-s5thl</t>
  </si>
  <si>
    <t>funcbench-cnnserving-runc-00001-deployment-8676965549-gtkr9</t>
  </si>
  <si>
    <t>funcbench-cnnserving-runc-00001-deployment-8676965549-6j7pq</t>
  </si>
  <si>
    <t>funcbench-cnnserving-runc-00001-deployment-8676965549-8nkb5</t>
  </si>
  <si>
    <t>funcbench-cnnserving-runc-00001-deployment-8676965549-ltjrj</t>
  </si>
  <si>
    <t>funcbench-cnnserving-runc-00001-deployment-8676965549-qvf2q</t>
  </si>
  <si>
    <t>funcbench-cnnserving-runc-00001-deployment-8676965549-w7jn6</t>
  </si>
  <si>
    <t>funcbench-cnnserving-runc-00001-deployment-8676965549-2p78l</t>
  </si>
  <si>
    <t>funcbench-cnnserving-runc-00001-deployment-8676965549-68sdb</t>
  </si>
  <si>
    <t>funcbench-cnnserving-runc-00001-deployment-8676965549-hqxkg</t>
  </si>
  <si>
    <t>funcbench-cnnserving-runc-00001-deployment-8676965549-6pwsg</t>
  </si>
  <si>
    <t>funcbench-cnnserving-runc-00001-deployment-8676965549-brlcp</t>
  </si>
  <si>
    <t>funcbench-cnnserving-runc-00001-deployment-8676965549-fg9bd</t>
  </si>
  <si>
    <t>funcbench-cnnserving-runc-00001-deployment-8676965549-kq4hg</t>
  </si>
  <si>
    <t>funcbench-cnnserving-runc-00001-deployment-8676965549-5dp2q</t>
  </si>
  <si>
    <t>funcbench-cnnserving-runc-00001-deployment-8676965549-9n6hh</t>
  </si>
  <si>
    <t>funcbench-cnnserving-runc-00001-deployment-8676965549-q8b7t</t>
  </si>
  <si>
    <t>funcbench-cnnserving-runc-00001-deployment-8676965549-z8cgz</t>
  </si>
  <si>
    <t>funcbench-cnnserving-runc-00001-deployment-8676965549-qf9z8</t>
  </si>
  <si>
    <t>funcbench-cnnserving-runc-00001-deployment-8676965549-vd4g4</t>
  </si>
  <si>
    <t>funcbench-cnnserving-runc-00001-deployment-8676965549-4w8zs</t>
  </si>
  <si>
    <t>funcbench-cnnserving-runc-00001-deployment-8676965549-zbhwb</t>
  </si>
  <si>
    <t>funcbench-cnnserving-runc-00001-deployment-8676965549-vzq9x</t>
  </si>
  <si>
    <t>funcbench-cnnserving-runc-00001-deployment-8676965549-9zx9t</t>
  </si>
  <si>
    <t>funcbench-cnnserving-runc-00001-deployment-8676965549-vwgkk</t>
  </si>
  <si>
    <t>funcbench-cnnserving-runc-00001-deployment-8676965549-6vn8q</t>
  </si>
  <si>
    <t>funcbench-cnnserving-runc-00001-deployment-8676965549-78ltt</t>
  </si>
  <si>
    <t>funcbench-cnnserving-runc-00001-deployment-8676965549-tqpwm</t>
  </si>
  <si>
    <t>funcbench-cnnserving-runc-00001-deployment-8676965549-dshtj</t>
  </si>
  <si>
    <t>funcbench-cnnserving-runc-00001-deployment-8676965549-bzkhs</t>
  </si>
  <si>
    <t>funcbench-cnnserving-runc-00001-deployment-8676965549-7jgdj</t>
  </si>
  <si>
    <t>funcbench-cnnserving-runc-00001-deployment-8676965549-2vt79</t>
  </si>
  <si>
    <t>funcbench-cnnserving-runc-00001-deployment-8676965549-stjxm</t>
  </si>
  <si>
    <t>funcbench-cnnserving-runc-00001-deployment-8676965549-p6rd2</t>
  </si>
  <si>
    <t>funcbench-cnnserving-runc-00001-deployment-8676965549-bzps5</t>
  </si>
  <si>
    <t>funcbench-cnnserving-runc-00001-deployment-8676965549-xz9h4</t>
  </si>
  <si>
    <t>funcbench-cnnserving-runc-00001-deployment-8676965549-dctv4</t>
  </si>
  <si>
    <t>funcbench-cnnserving-runc-00001-deployment-8676965549-n6v9r</t>
  </si>
  <si>
    <t>funcbench-cnnserving-runc-00001-deployment-8676965549-tg5r4</t>
  </si>
  <si>
    <t>funcbench-cnnserving-runc-00001-deployment-8676965549-drltm</t>
  </si>
  <si>
    <t>funcbench-cnnserving-runc-00001-deployment-8676965549-nfzlt</t>
  </si>
  <si>
    <t>funcbench-cnnserving-runc-00001-deployment-8676965549-w8pbf</t>
  </si>
  <si>
    <t>funcbench-cnnserving-runc-00001-deployment-8676965549-m4jpq</t>
  </si>
  <si>
    <t>funcbench-cnnserving-runc-00001-deployment-8676965549-mwfsq</t>
  </si>
  <si>
    <t>funcbench-cnnserving-runc-00001-deployment-8676965549-5gzlr</t>
  </si>
  <si>
    <t>funcbench-cnnserving-runc-00001-deployment-8676965549-9kz4w</t>
  </si>
  <si>
    <t>funcbench-cnnserving-runc-00001-deployment-8676965549-5hk5t</t>
  </si>
  <si>
    <t>funcbench-cnnserving-runc-00001-deployment-8676965549-nkz6d</t>
  </si>
  <si>
    <t>funcbench-cnnserving-runc-00001-deployment-8676965549-8ps2t</t>
  </si>
  <si>
    <t>funcbench-cnnserving-runc-00001-deployment-8676965549-tjwmm</t>
  </si>
  <si>
    <t>funcbench-cnnserving-runc-00001-deployment-8676965549-qgj8h</t>
  </si>
  <si>
    <t>funcbench-cnnserving-runc-00001-deployment-8676965549-vn6gc</t>
  </si>
  <si>
    <t>funcbench-cnnserving-runc-00001-deployment-8676965549-wppsr</t>
  </si>
  <si>
    <t>funcbench-cnnserving-runc-00001-deployment-8676965549-8srh9</t>
  </si>
  <si>
    <t>funcbench-cnnserving-runc-00001-deployment-8676965549-lzvks</t>
  </si>
  <si>
    <t>funcbench-cnnserving-runc-00001-deployment-8676965549-v694z</t>
  </si>
  <si>
    <t>funcbench-cnnserving-runc-00001-deployment-8676965549-sqkl6</t>
  </si>
  <si>
    <t>funcbench-cnnserving-runc-00001-deployment-8676965549-nfclg</t>
  </si>
  <si>
    <t>funcbench-cnnserving-runc-00001-deployment-8676965549-mfwbq</t>
  </si>
  <si>
    <t>funcbench-cnnserving-runc-00001-deployment-8676965549-k62qc</t>
  </si>
  <si>
    <t>funcbench-cnnserving-runc-00001-deployment-8676965549-lttd8</t>
  </si>
  <si>
    <t>funcbench-cnnserving-runc-00001-deployment-8676965549-9rkx2</t>
  </si>
  <si>
    <t>90th Percentile</t>
  </si>
  <si>
    <t>95th Percentile</t>
  </si>
  <si>
    <t>Scheduler Latency in ms</t>
  </si>
  <si>
    <t>Liqo Latency in s</t>
  </si>
  <si>
    <t>In ms</t>
  </si>
  <si>
    <t>Max</t>
  </si>
  <si>
    <t>Min</t>
  </si>
  <si>
    <t>In s</t>
  </si>
  <si>
    <t>4 Cluster</t>
  </si>
  <si>
    <t>Total VCPUs per cluster</t>
  </si>
  <si>
    <t>Total VCPUs 4 cluster</t>
  </si>
  <si>
    <t>Energy per Core per day</t>
  </si>
  <si>
    <t>Energy per cluster per day</t>
  </si>
  <si>
    <t>Total Energy per day</t>
  </si>
  <si>
    <t>157*24/2 = 1884</t>
  </si>
  <si>
    <t>1.884 * 6 = 11.304 kWh</t>
  </si>
  <si>
    <t>4*11.304 = 45.216 kWh</t>
  </si>
  <si>
    <t>Carbon 1</t>
  </si>
  <si>
    <t>Carbon 2</t>
  </si>
  <si>
    <t>Geo 1</t>
  </si>
  <si>
    <t>Geo 2</t>
  </si>
  <si>
    <t>Without Liqo</t>
  </si>
  <si>
    <t>funcbench-cnnserving-runc-00001-deployment-67fbbd8c48-8hx62</t>
  </si>
  <si>
    <t>funcbench-cnnserving-runc-00001-deployment-67fbbd8c48-dmx5g</t>
  </si>
  <si>
    <t>funcbench-cnnserving-runc-00001-deployment-67fbbd8c48-46q7q</t>
  </si>
  <si>
    <t>funcbench-cnnserving-runc-00001-deployment-67fbbd8c48-wfwxr</t>
  </si>
  <si>
    <t>funcbench-cnnserving-runc-00001-deployment-67fbbd8c48-lbz27</t>
  </si>
  <si>
    <t>funcbench-cnnserving-runc-00001-deployment-67fbbd8c48-flvbd</t>
  </si>
  <si>
    <t>funcbench-cnnserving-runc-00001-deployment-67fbbd8c48-lvjqg</t>
  </si>
  <si>
    <t>funcbench-cnnserving-runc-00001-deployment-67fbbd8c48-xzql8</t>
  </si>
  <si>
    <t>funcbench-cnnserving-runc-00001-deployment-67fbbd8c48-q9zdd</t>
  </si>
  <si>
    <t>funcbench-cnnserving-runc-00001-deployment-67fbbd8c48-7lcxr</t>
  </si>
  <si>
    <t>funcbench-cnnserving-runc-00001-deployment-67fbbd8c48-xp867</t>
  </si>
  <si>
    <t>funcbench-cnnserving-runc-00001-deployment-67fbbd8c48-tq6rn</t>
  </si>
  <si>
    <t>funcbench-cnnserving-runc-00001-deployment-67fbbd8c48-9jp4t</t>
  </si>
  <si>
    <t>funcbench-cnnserving-runc-00001-deployment-67fbbd8c48-z7vvm</t>
  </si>
  <si>
    <t>funcbench-cnnserving-runc-00001-deployment-67fbbd8c48-stsgk</t>
  </si>
  <si>
    <t>funcbench-cnnserving-runc-00001-deployment-67fbbd8c48-kdhrm</t>
  </si>
  <si>
    <t>funcbench-cnnserving-runc-00001-deployment-67fbbd8c48-6cndd</t>
  </si>
  <si>
    <t>funcbench-cnnserving-runc-00001-deployment-67fbbd8c48-gzz76</t>
  </si>
  <si>
    <t>funcbench-cnnserving-runc-00001-deployment-67fbbd8c48-bld9x</t>
  </si>
  <si>
    <t>funcbench-cnnserving-runc-00001-deployment-67fbbd8c48-2657s</t>
  </si>
  <si>
    <t>funcbench-cnnserving-runc-00001-deployment-67fbbd8c48-ghpxm</t>
  </si>
  <si>
    <t>funcbench-cnnserving-runc-00001-deployment-67fbbd8c48-5x6fg</t>
  </si>
  <si>
    <t>funcbench-cnnserving-runc-00001-deployment-67fbbd8c48-w8wxn</t>
  </si>
  <si>
    <t>funcbench-cnnserving-runc-00001-deployment-67fbbd8c48-8xkfr</t>
  </si>
  <si>
    <t>funcbench-cnnserving-runc-00001-deployment-67fbbd8c48-9qfrc</t>
  </si>
  <si>
    <t>funcbench-cnnserving-runc-00001-deployment-67fbbd8c48-cplzt</t>
  </si>
  <si>
    <t>funcbench-cnnserving-runc-00001-deployment-67fbbd8c48-5pdvw</t>
  </si>
  <si>
    <t>funcbench-cnnserving-runc-00001-deployment-67fbbd8c48-tx9gf</t>
  </si>
  <si>
    <t>funcbench-cnnserving-runc-00001-deployment-67fbbd8c48-w7z7w</t>
  </si>
  <si>
    <t>funcbench-cnnserving-runc-00001-deployment-67fbbd8c48-l85jj</t>
  </si>
  <si>
    <t>funcbench-cnnserving-runc-00001-deployment-67fbbd8c48-v49nr</t>
  </si>
  <si>
    <t>funcbench-cnnserving-runc-00001-deployment-67fbbd8c48-vzz6c</t>
  </si>
  <si>
    <t>funcbench-cnnserving-runc-00001-deployment-67fbbd8c48-tvnm7</t>
  </si>
  <si>
    <t>funcbench-cnnserving-runc-00001-deployment-67fbbd8c48-zwv9b</t>
  </si>
  <si>
    <t>funcbench-cnnserving-runc-00001-deployment-67fbbd8c48-thhwq</t>
  </si>
  <si>
    <t>funcbench-cnnserving-runc-00001-deployment-67fbbd8c48-7svcd</t>
  </si>
  <si>
    <t>funcbench-cnnserving-runc-00001-deployment-67fbbd8c48-sz29c</t>
  </si>
  <si>
    <t>funcbench-cnnserving-runc-00001-deployment-67fbbd8c48-8drtb</t>
  </si>
  <si>
    <t>funcbench-cnnserving-runc-00001-deployment-67fbbd8c48-bs6f8</t>
  </si>
  <si>
    <t>funcbench-cnnserving-runc-00001-deployment-67fbbd8c48-scn49</t>
  </si>
  <si>
    <t>funcbench-cnnserving-runc-00001-deployment-67fbbd8c48-jxthd</t>
  </si>
  <si>
    <t>funcbench-cnnserving-runc-00001-deployment-67fbbd8c48-f8kgb</t>
  </si>
  <si>
    <t>funcbench-cnnserving-runc-00001-deployment-67fbbd8c48-6pjf6</t>
  </si>
  <si>
    <t>funcbench-cnnserving-runc-00001-deployment-67fbbd8c48-v679k</t>
  </si>
  <si>
    <t>funcbench-cnnserving-runc-00001-deployment-67fbbd8c48-jq6tt</t>
  </si>
  <si>
    <t>funcbench-cnnserving-runc-00001-deployment-67fbbd8c48-nmzpv</t>
  </si>
  <si>
    <t>funcbench-cnnserving-runc-00001-deployment-67fbbd8c48-djbnh</t>
  </si>
  <si>
    <t>funcbench-cnnserving-runc-00001-deployment-67fbbd8c48-xc2bq</t>
  </si>
  <si>
    <t>funcbench-cnnserving-runc-00001-deployment-67fbbd8c48-xltmk</t>
  </si>
  <si>
    <t>funcbench-cnnserving-runc-00001-deployment-67fbbd8c48-26z9m</t>
  </si>
  <si>
    <t>Default</t>
  </si>
  <si>
    <t>geo</t>
  </si>
  <si>
    <t>default</t>
  </si>
  <si>
    <t>carbon</t>
  </si>
  <si>
    <t>Carbon</t>
  </si>
  <si>
    <t xml:space="preserve">geo </t>
  </si>
  <si>
    <t>8 cores</t>
  </si>
  <si>
    <t>32 cores</t>
  </si>
  <si>
    <t>64GB RAM</t>
  </si>
  <si>
    <t>50 percent load in WattHour</t>
  </si>
  <si>
    <t>Energy Consumption of 4 Cluster Kubernetes Node</t>
  </si>
  <si>
    <t>Cluster 1</t>
  </si>
  <si>
    <t>Cluster 4</t>
  </si>
  <si>
    <t>Carbon Emission in lbs/kWh</t>
  </si>
  <si>
    <t>lbs/kWh</t>
  </si>
  <si>
    <t>kWh</t>
  </si>
  <si>
    <t>KG</t>
  </si>
  <si>
    <t>lbs</t>
  </si>
  <si>
    <t>grams</t>
  </si>
  <si>
    <t>Per Unit Function</t>
  </si>
  <si>
    <t>Per Day</t>
  </si>
  <si>
    <t>W/Day</t>
  </si>
  <si>
    <t>Carbon Emission in g/kWh</t>
  </si>
  <si>
    <t>*0.2s</t>
  </si>
  <si>
    <t>24 hrs</t>
  </si>
  <si>
    <t>micrograms</t>
  </si>
  <si>
    <t>Percent of pods in efficient region</t>
  </si>
  <si>
    <t>Per Unit invocation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</si>
</sst>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.000"/>
  </numFmts>
  <fonts count="3" x14ac:knownFonts="1">
    <font>
      <sz val="11"/>
      <color theme="1"/>
      <name val="Calibri"/>
      <family val="2"/>
      <scheme val="minor"/>
    </font>
    <font>
      <sz val="11"/>
      <color rgb="FF20212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47" fontId="0" fillId="0" borderId="0" xfId="0" applyNumberFormat="1"/>
    <xf numFmtId="2" fontId="0" fillId="0" borderId="0" xfId="0" applyNumberFormat="1"/>
    <xf numFmtId="12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22</xdr:row>
      <xdr:rowOff>0</xdr:rowOff>
    </xdr:from>
    <xdr:to>
      <xdr:col>32</xdr:col>
      <xdr:colOff>374149</xdr:colOff>
      <xdr:row>33</xdr:row>
      <xdr:rowOff>137346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39358C-3A99-DA98-5139-AB0C57C52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80680" y="4023360"/>
          <a:ext cx="8878069" cy="214902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36</xdr:row>
      <xdr:rowOff>15240</xdr:rowOff>
    </xdr:from>
    <xdr:to>
      <xdr:col>32</xdr:col>
      <xdr:colOff>351287</xdr:colOff>
      <xdr:row>47</xdr:row>
      <xdr:rowOff>137345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33C517-03E3-1C55-460C-D9551E52F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80680" y="6598920"/>
          <a:ext cx="8855207" cy="213378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50</xdr:row>
      <xdr:rowOff>0</xdr:rowOff>
    </xdr:from>
    <xdr:to>
      <xdr:col>32</xdr:col>
      <xdr:colOff>153150</xdr:colOff>
      <xdr:row>61</xdr:row>
      <xdr:rowOff>61140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431EAC-4D49-D22A-827B-2D2838CDD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680680" y="9144000"/>
          <a:ext cx="8657070" cy="207282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64</xdr:row>
      <xdr:rowOff>0</xdr:rowOff>
    </xdr:from>
    <xdr:to>
      <xdr:col>32</xdr:col>
      <xdr:colOff>320805</xdr:colOff>
      <xdr:row>76</xdr:row>
      <xdr:rowOff>190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FAFFE2-1508-DB57-3FA2-2EE9F436D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680680" y="11704320"/>
          <a:ext cx="8824725" cy="219475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79</xdr:row>
      <xdr:rowOff>0</xdr:rowOff>
    </xdr:from>
    <xdr:to>
      <xdr:col>32</xdr:col>
      <xdr:colOff>579907</xdr:colOff>
      <xdr:row>90</xdr:row>
      <xdr:rowOff>129726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B22F1D-D4C5-6954-2FF1-B1357584D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680680" y="14447520"/>
          <a:ext cx="9083827" cy="2141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22860</xdr:colOff>
      <xdr:row>3</xdr:row>
      <xdr:rowOff>7620</xdr:rowOff>
    </xdr:from>
    <xdr:to>
      <xdr:col>30</xdr:col>
      <xdr:colOff>541805</xdr:colOff>
      <xdr:row>17</xdr:row>
      <xdr:rowOff>160255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473692-E753-8C6D-53F1-9CE6F946C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6460" y="556260"/>
          <a:ext cx="9053345" cy="27129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14</xdr:col>
      <xdr:colOff>549427</xdr:colOff>
      <xdr:row>17</xdr:row>
      <xdr:rowOff>84049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AC5A33-FF4E-1367-03FC-22F7FDB92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48640"/>
          <a:ext cx="9083827" cy="2644369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3</xdr:row>
      <xdr:rowOff>0</xdr:rowOff>
    </xdr:from>
    <xdr:to>
      <xdr:col>47</xdr:col>
      <xdr:colOff>419929</xdr:colOff>
      <xdr:row>16</xdr:row>
      <xdr:rowOff>152619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7F61D02-EB37-BCBE-26D1-D87047A23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07200" y="548640"/>
          <a:ext cx="9563929" cy="25300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14</xdr:col>
      <xdr:colOff>473221</xdr:colOff>
      <xdr:row>16</xdr:row>
      <xdr:rowOff>91686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D676E3-2D2A-16A9-804C-29D7FC909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9007621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31</xdr:col>
      <xdr:colOff>404687</xdr:colOff>
      <xdr:row>15</xdr:row>
      <xdr:rowOff>167876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6B953A-0C39-CA75-8B6D-EB8E0F690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53600" y="182880"/>
          <a:ext cx="9548687" cy="2728196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</xdr:row>
      <xdr:rowOff>0</xdr:rowOff>
    </xdr:from>
    <xdr:to>
      <xdr:col>47</xdr:col>
      <xdr:colOff>503703</xdr:colOff>
      <xdr:row>15</xdr:row>
      <xdr:rowOff>160256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82FC67-BE4D-DFA8-EEE3-954C707C6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116800" y="182880"/>
          <a:ext cx="9038103" cy="27205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7</xdr:row>
      <xdr:rowOff>7620</xdr:rowOff>
    </xdr:from>
    <xdr:to>
      <xdr:col>15</xdr:col>
      <xdr:colOff>99856</xdr:colOff>
      <xdr:row>21</xdr:row>
      <xdr:rowOff>84048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A8A9E4-3491-3554-9C79-3CC23BCD7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" y="1287780"/>
          <a:ext cx="9190516" cy="2636748"/>
        </a:xfrm>
        <a:prstGeom prst="rect">
          <a:avLst/>
        </a:prstGeom>
      </xdr:spPr>
    </xdr:pic>
    <xdr:clientData/>
  </xdr:twoCellAnchor>
  <xdr:twoCellAnchor editAs="oneCell">
    <xdr:from>
      <xdr:col>16</xdr:col>
      <xdr:colOff>30480</xdr:colOff>
      <xdr:row>7</xdr:row>
      <xdr:rowOff>30480</xdr:rowOff>
    </xdr:from>
    <xdr:to>
      <xdr:col>31</xdr:col>
      <xdr:colOff>115100</xdr:colOff>
      <xdr:row>21</xdr:row>
      <xdr:rowOff>160253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DE44B4-E363-5AA1-6C42-75CCFEFA1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84080" y="1310640"/>
          <a:ext cx="9228620" cy="2690093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</xdr:row>
      <xdr:rowOff>0</xdr:rowOff>
    </xdr:from>
    <xdr:to>
      <xdr:col>46</xdr:col>
      <xdr:colOff>168394</xdr:colOff>
      <xdr:row>20</xdr:row>
      <xdr:rowOff>122137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377F89-5E0D-1AEE-73AF-16CE60C62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07200" y="1280160"/>
          <a:ext cx="8702794" cy="24995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571500</xdr:colOff>
      <xdr:row>1</xdr:row>
      <xdr:rowOff>76200</xdr:rowOff>
    </xdr:from>
    <xdr:to>
      <xdr:col>30</xdr:col>
      <xdr:colOff>267466</xdr:colOff>
      <xdr:row>15</xdr:row>
      <xdr:rowOff>45939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B837AC-C5A2-857A-8EC1-7A7C53ED3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0" y="259080"/>
          <a:ext cx="8839966" cy="2530059"/>
        </a:xfrm>
        <a:prstGeom prst="rect">
          <a:avLst/>
        </a:prstGeom>
      </xdr:spPr>
    </xdr:pic>
    <xdr:clientData/>
  </xdr:twoCellAnchor>
  <xdr:twoCellAnchor editAs="oneCell">
    <xdr:from>
      <xdr:col>31</xdr:col>
      <xdr:colOff>548640</xdr:colOff>
      <xdr:row>1</xdr:row>
      <xdr:rowOff>83820</xdr:rowOff>
    </xdr:from>
    <xdr:to>
      <xdr:col>47</xdr:col>
      <xdr:colOff>450417</xdr:colOff>
      <xdr:row>16</xdr:row>
      <xdr:rowOff>91678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1865CF-FF19-5942-9894-8FF78ACFC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446240" y="266700"/>
          <a:ext cx="9655377" cy="27510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15</xdr:col>
      <xdr:colOff>38896</xdr:colOff>
      <xdr:row>17</xdr:row>
      <xdr:rowOff>7858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CA7E14-665F-0C04-575F-DB6732D54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65760"/>
          <a:ext cx="9182896" cy="275105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30480</xdr:colOff>
      <xdr:row>1</xdr:row>
      <xdr:rowOff>167640</xdr:rowOff>
    </xdr:from>
    <xdr:to>
      <xdr:col>45</xdr:col>
      <xdr:colOff>191253</xdr:colOff>
      <xdr:row>16</xdr:row>
      <xdr:rowOff>23085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E9369F-B01A-08A4-51F9-E5F49F850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28080" y="350520"/>
          <a:ext cx="8695173" cy="2598645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1</xdr:row>
      <xdr:rowOff>152400</xdr:rowOff>
    </xdr:from>
    <xdr:to>
      <xdr:col>14</xdr:col>
      <xdr:colOff>221737</xdr:colOff>
      <xdr:row>15</xdr:row>
      <xdr:rowOff>122139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CC8D50-3A4D-805B-8ED1-B322A986D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" y="335280"/>
          <a:ext cx="8733277" cy="2530059"/>
        </a:xfrm>
        <a:prstGeom prst="rect">
          <a:avLst/>
        </a:prstGeom>
      </xdr:spPr>
    </xdr:pic>
    <xdr:clientData/>
  </xdr:twoCellAnchor>
  <xdr:twoCellAnchor editAs="oneCell">
    <xdr:from>
      <xdr:col>14</xdr:col>
      <xdr:colOff>586740</xdr:colOff>
      <xdr:row>1</xdr:row>
      <xdr:rowOff>175260</xdr:rowOff>
    </xdr:from>
    <xdr:to>
      <xdr:col>29</xdr:col>
      <xdr:colOff>115052</xdr:colOff>
      <xdr:row>15</xdr:row>
      <xdr:rowOff>152620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F1C5F0-177E-F4A3-37EC-F91F9598E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21140" y="358140"/>
          <a:ext cx="8672312" cy="25376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45720</xdr:colOff>
      <xdr:row>2</xdr:row>
      <xdr:rowOff>30480</xdr:rowOff>
    </xdr:from>
    <xdr:to>
      <xdr:col>46</xdr:col>
      <xdr:colOff>160822</xdr:colOff>
      <xdr:row>16</xdr:row>
      <xdr:rowOff>38323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287DB1-B8BA-CAAF-55DF-8AB686635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43320" y="396240"/>
          <a:ext cx="9259102" cy="2568163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</xdr:colOff>
      <xdr:row>2</xdr:row>
      <xdr:rowOff>15240</xdr:rowOff>
    </xdr:from>
    <xdr:to>
      <xdr:col>29</xdr:col>
      <xdr:colOff>137910</xdr:colOff>
      <xdr:row>15</xdr:row>
      <xdr:rowOff>167859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55B92D-1667-318B-D644-CE8D47414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59240" y="381000"/>
          <a:ext cx="8657070" cy="25300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14</xdr:col>
      <xdr:colOff>99060</xdr:colOff>
      <xdr:row>16</xdr:row>
      <xdr:rowOff>45946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A12903E-D0BC-6B3A-D0DF-0271D3191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65760"/>
          <a:ext cx="8846820" cy="260626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22860</xdr:colOff>
      <xdr:row>2</xdr:row>
      <xdr:rowOff>0</xdr:rowOff>
    </xdr:from>
    <xdr:to>
      <xdr:col>45</xdr:col>
      <xdr:colOff>191254</xdr:colOff>
      <xdr:row>16</xdr:row>
      <xdr:rowOff>7843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F5CBB1-14F7-9632-19F1-CEE3C3F1D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20460" y="365760"/>
          <a:ext cx="8702794" cy="2568163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</xdr:colOff>
      <xdr:row>2</xdr:row>
      <xdr:rowOff>0</xdr:rowOff>
    </xdr:from>
    <xdr:to>
      <xdr:col>29</xdr:col>
      <xdr:colOff>160773</xdr:colOff>
      <xdr:row>16</xdr:row>
      <xdr:rowOff>45946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D1B5F3-FB30-66FA-603D-F12AA13D1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51620" y="365760"/>
          <a:ext cx="8687553" cy="26062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144780</xdr:rowOff>
    </xdr:from>
    <xdr:to>
      <xdr:col>14</xdr:col>
      <xdr:colOff>76946</xdr:colOff>
      <xdr:row>15</xdr:row>
      <xdr:rowOff>114519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B6DA52-5D76-4B9C-0A81-CF8FEC3E8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27660"/>
          <a:ext cx="8611346" cy="253005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14</xdr:col>
      <xdr:colOff>76946</xdr:colOff>
      <xdr:row>15</xdr:row>
      <xdr:rowOff>160240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FB323C-BCBB-7C32-A9B1-C7C22A501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5760"/>
          <a:ext cx="8611346" cy="253768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2</xdr:row>
      <xdr:rowOff>0</xdr:rowOff>
    </xdr:from>
    <xdr:to>
      <xdr:col>45</xdr:col>
      <xdr:colOff>38843</xdr:colOff>
      <xdr:row>16</xdr:row>
      <xdr:rowOff>38325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4D7F6F-655C-B55C-D069-C29B8B6FF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897600" y="365760"/>
          <a:ext cx="8573243" cy="259864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28</xdr:col>
      <xdr:colOff>595098</xdr:colOff>
      <xdr:row>15</xdr:row>
      <xdr:rowOff>152619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11D5E7-FEB7-4B91-B287-5EAAD6DA9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0" y="365760"/>
          <a:ext cx="8519898" cy="2530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46D7-A68A-42A8-87EC-579746C061D3}">
  <dimension ref="A1:AO200"/>
  <sheetViews>
    <sheetView topLeftCell="O13" workbookViewId="0">
      <selection activeCell="X18" sqref="X18"/>
    </sheetView>
  </sheetViews>
  <sheetFormatPr defaultRowHeight="14.4" x14ac:dyDescent="0.3"/>
  <cols>
    <col min="1" max="1" width="16.21875" customWidth="1"/>
    <col min="2" max="2" width="14.33203125" customWidth="1"/>
    <col min="3" max="3" width="11.77734375" customWidth="1"/>
    <col min="4" max="4" width="16.5546875" customWidth="1"/>
    <col min="5" max="5" width="17" customWidth="1"/>
    <col min="6" max="7" width="8.88671875" customWidth="1"/>
    <col min="8" max="8" width="50" customWidth="1"/>
    <col min="9" max="9" width="20.33203125" customWidth="1"/>
    <col min="10" max="10" width="16" customWidth="1"/>
    <col min="11" max="11" width="16.21875" customWidth="1"/>
    <col min="12" max="12" width="18.77734375" customWidth="1"/>
    <col min="13" max="13" width="15.6640625" customWidth="1"/>
    <col min="14" max="14" width="11.6640625" bestFit="1" customWidth="1"/>
    <col min="15" max="15" width="20.88671875" customWidth="1"/>
    <col min="16" max="16" width="11.6640625" bestFit="1" customWidth="1"/>
    <col min="21" max="21" width="17.33203125" customWidth="1"/>
    <col min="35" max="35" width="51.33203125" customWidth="1"/>
    <col min="36" max="36" width="18" customWidth="1"/>
    <col min="37" max="37" width="15.77734375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H1" t="s">
        <v>20</v>
      </c>
      <c r="I1" t="s">
        <v>0</v>
      </c>
      <c r="J1" t="s">
        <v>1</v>
      </c>
      <c r="K1" t="s">
        <v>2</v>
      </c>
      <c r="L1" t="s">
        <v>4</v>
      </c>
      <c r="M1" t="s">
        <v>3</v>
      </c>
      <c r="N1" t="s">
        <v>29</v>
      </c>
      <c r="O1" t="s">
        <v>164</v>
      </c>
      <c r="P1" t="s">
        <v>165</v>
      </c>
      <c r="AI1" t="s">
        <v>20</v>
      </c>
      <c r="AJ1" t="s">
        <v>4</v>
      </c>
      <c r="AK1" t="s">
        <v>3</v>
      </c>
    </row>
    <row r="2" spans="1:41" x14ac:dyDescent="0.3">
      <c r="A2" s="1">
        <v>0.74074074074074081</v>
      </c>
      <c r="B2" s="1">
        <v>0.74074995370370367</v>
      </c>
      <c r="C2" s="1">
        <v>0.74078703703703708</v>
      </c>
      <c r="D2" s="1">
        <f>B2-A2</f>
        <v>9.2129629628567855E-6</v>
      </c>
      <c r="E2" s="1">
        <f>C2-B2</f>
        <v>3.708333333340974E-5</v>
      </c>
      <c r="H2" t="s">
        <v>21</v>
      </c>
      <c r="I2" s="1">
        <v>0.72630787037037037</v>
      </c>
      <c r="J2" s="1">
        <v>0.72631487268518524</v>
      </c>
      <c r="K2" s="1">
        <v>0.72637731481481482</v>
      </c>
      <c r="L2" s="1">
        <f>J2-I2</f>
        <v>7.0023148148745662E-6</v>
      </c>
      <c r="M2" s="1">
        <f>K2-J2</f>
        <v>6.2442129629580734E-5</v>
      </c>
      <c r="N2" s="1" t="s">
        <v>31</v>
      </c>
      <c r="O2" s="5">
        <f>L2*86400000</f>
        <v>605.00000000516252</v>
      </c>
      <c r="P2" s="4">
        <f>M2*86400</f>
        <v>5.3949999999957754</v>
      </c>
      <c r="AI2" t="s">
        <v>184</v>
      </c>
      <c r="AJ2" s="5">
        <v>947</v>
      </c>
      <c r="AK2">
        <v>7.9059999999999997</v>
      </c>
    </row>
    <row r="3" spans="1:41" x14ac:dyDescent="0.3">
      <c r="A3" s="1">
        <v>0.75820601851851854</v>
      </c>
      <c r="B3" s="1">
        <v>0.75821746527777778</v>
      </c>
      <c r="C3" s="1">
        <v>0.75821759259259258</v>
      </c>
      <c r="D3" s="1">
        <f>B3-A3</f>
        <v>1.1446759259237105E-5</v>
      </c>
      <c r="E3" s="1">
        <f>C3-B3</f>
        <v>1.2731481480177109E-7</v>
      </c>
      <c r="H3" t="s">
        <v>22</v>
      </c>
      <c r="I3" s="1">
        <v>0.72721064814814806</v>
      </c>
      <c r="J3" s="1">
        <v>0.72721850694444445</v>
      </c>
      <c r="K3" s="1">
        <v>0.72733796296296294</v>
      </c>
      <c r="L3" s="1">
        <f t="shared" ref="L3:L66" si="0">J3-I3</f>
        <v>7.8587962963894142E-6</v>
      </c>
      <c r="M3" s="1">
        <f t="shared" ref="M3:M66" si="1">K3-J3</f>
        <v>1.1945601851848231E-4</v>
      </c>
      <c r="N3" s="1" t="s">
        <v>31</v>
      </c>
      <c r="O3" s="5">
        <f t="shared" ref="O3:O66" si="2">L3*86400000</f>
        <v>679.00000000804539</v>
      </c>
      <c r="P3" s="4">
        <f t="shared" ref="P3:P66" si="3">M3*86400</f>
        <v>10.320999999996872</v>
      </c>
      <c r="U3" t="s">
        <v>4</v>
      </c>
      <c r="V3" s="6" t="s">
        <v>166</v>
      </c>
      <c r="Z3" s="6"/>
      <c r="AI3" t="s">
        <v>185</v>
      </c>
      <c r="AJ3" s="5">
        <v>184</v>
      </c>
      <c r="AK3">
        <v>0.75700000000000001</v>
      </c>
    </row>
    <row r="4" spans="1:41" x14ac:dyDescent="0.3">
      <c r="A4" s="1"/>
      <c r="B4" s="1"/>
      <c r="C4" s="1"/>
      <c r="D4" s="1"/>
      <c r="E4" s="1"/>
      <c r="H4" t="s">
        <v>23</v>
      </c>
      <c r="I4" s="1">
        <v>0.72721064814814806</v>
      </c>
      <c r="J4" s="1">
        <v>0.72721949074074077</v>
      </c>
      <c r="K4" s="1">
        <v>0.72733796296296294</v>
      </c>
      <c r="L4" s="1">
        <f t="shared" si="0"/>
        <v>8.8425925927060334E-6</v>
      </c>
      <c r="M4" s="1">
        <f t="shared" si="1"/>
        <v>1.1847222222216569E-4</v>
      </c>
      <c r="N4" s="1" t="s">
        <v>31</v>
      </c>
      <c r="O4" s="5">
        <f t="shared" si="2"/>
        <v>764.00000000980128</v>
      </c>
      <c r="P4" s="4">
        <f t="shared" si="3"/>
        <v>10.235999999995116</v>
      </c>
      <c r="U4" s="6" t="s">
        <v>162</v>
      </c>
      <c r="V4">
        <f>_xlfn.PERCENTILE.EXC(O2:O137, 0.9)</f>
        <v>1007.300000009117</v>
      </c>
      <c r="Y4" s="6"/>
      <c r="AI4" t="s">
        <v>186</v>
      </c>
      <c r="AJ4" s="5">
        <v>153</v>
      </c>
      <c r="AK4">
        <v>1.4610000000000001</v>
      </c>
    </row>
    <row r="5" spans="1:41" x14ac:dyDescent="0.3">
      <c r="A5" s="1"/>
      <c r="B5" s="1"/>
      <c r="C5" s="1"/>
      <c r="D5" s="1"/>
      <c r="E5" s="1"/>
      <c r="H5" t="s">
        <v>24</v>
      </c>
      <c r="I5" s="1">
        <v>0.72721064814814806</v>
      </c>
      <c r="J5" s="1">
        <v>0.72721925925925923</v>
      </c>
      <c r="K5" s="1">
        <v>0.72734953703703698</v>
      </c>
      <c r="L5" s="1">
        <f t="shared" si="0"/>
        <v>8.6111111111675243E-6</v>
      </c>
      <c r="M5" s="1">
        <f t="shared" si="1"/>
        <v>1.3027777777774308E-4</v>
      </c>
      <c r="N5" s="1" t="s">
        <v>31</v>
      </c>
      <c r="O5" s="5">
        <f t="shared" si="2"/>
        <v>744.0000000048741</v>
      </c>
      <c r="P5" s="4">
        <f t="shared" si="3"/>
        <v>11.255999999997002</v>
      </c>
      <c r="U5" s="6" t="s">
        <v>163</v>
      </c>
      <c r="V5">
        <f>_xlfn.PERCENTILE.EXC(O2:O137, 0.95)</f>
        <v>1087.4999999954939</v>
      </c>
      <c r="Y5" s="6"/>
      <c r="AI5" t="s">
        <v>187</v>
      </c>
      <c r="AJ5" s="5">
        <v>417</v>
      </c>
      <c r="AK5">
        <v>3.38</v>
      </c>
      <c r="AN5" t="s">
        <v>4</v>
      </c>
      <c r="AO5" s="6" t="s">
        <v>166</v>
      </c>
    </row>
    <row r="6" spans="1:41" x14ac:dyDescent="0.3">
      <c r="A6" s="1"/>
      <c r="B6" s="1"/>
      <c r="C6" s="1"/>
      <c r="D6" s="1"/>
      <c r="E6" s="1"/>
      <c r="H6" t="s">
        <v>25</v>
      </c>
      <c r="I6" s="1">
        <v>0.72721064814814806</v>
      </c>
      <c r="J6" s="1">
        <v>0.72721983796296297</v>
      </c>
      <c r="K6" s="1">
        <v>0.72734953703703698</v>
      </c>
      <c r="L6" s="1">
        <f t="shared" si="0"/>
        <v>9.1898148149027747E-6</v>
      </c>
      <c r="M6" s="1">
        <f t="shared" si="1"/>
        <v>1.2969907407400783E-4</v>
      </c>
      <c r="N6" s="1" t="s">
        <v>32</v>
      </c>
      <c r="O6" s="5">
        <f t="shared" si="2"/>
        <v>794.00000000759974</v>
      </c>
      <c r="P6" s="4">
        <f t="shared" si="3"/>
        <v>11.205999999994276</v>
      </c>
      <c r="U6" s="6" t="s">
        <v>16</v>
      </c>
      <c r="V6" s="4">
        <f>AVERAGE(O2:O137)</f>
        <v>539.19852941472436</v>
      </c>
      <c r="Y6" s="6"/>
      <c r="Z6" s="4"/>
      <c r="AI6" t="s">
        <v>188</v>
      </c>
      <c r="AJ6" s="5">
        <v>566</v>
      </c>
      <c r="AK6">
        <v>2.0350000000000001</v>
      </c>
      <c r="AN6" s="6" t="s">
        <v>162</v>
      </c>
      <c r="AO6">
        <f>_xlfn.PERCENTILE.EXC(AJ2:AJ139, 0.9)</f>
        <v>983.3</v>
      </c>
    </row>
    <row r="7" spans="1:41" x14ac:dyDescent="0.3">
      <c r="A7" s="1"/>
      <c r="B7" s="1"/>
      <c r="C7" s="1"/>
      <c r="D7" s="1"/>
      <c r="E7" s="1"/>
      <c r="H7" t="s">
        <v>26</v>
      </c>
      <c r="I7" s="1">
        <v>0.72721064814814806</v>
      </c>
      <c r="J7" s="1">
        <v>0.72722025462962969</v>
      </c>
      <c r="K7" s="1">
        <v>0.72734953703703698</v>
      </c>
      <c r="L7" s="1">
        <f t="shared" si="0"/>
        <v>9.6064814816276822E-6</v>
      </c>
      <c r="M7" s="1">
        <f t="shared" si="1"/>
        <v>1.2928240740728292E-4</v>
      </c>
      <c r="N7" s="1" t="s">
        <v>32</v>
      </c>
      <c r="O7" s="5">
        <f t="shared" si="2"/>
        <v>830.00000001263174</v>
      </c>
      <c r="P7" s="4">
        <f t="shared" si="3"/>
        <v>11.169999999989244</v>
      </c>
      <c r="AI7" t="s">
        <v>189</v>
      </c>
      <c r="AJ7" s="5">
        <v>548</v>
      </c>
      <c r="AK7">
        <v>24.337</v>
      </c>
      <c r="AN7" s="6" t="s">
        <v>163</v>
      </c>
      <c r="AO7">
        <f>_xlfn.PERCENTILE.EXC(AJ2:AJ139, 0.95)</f>
        <v>1063.5</v>
      </c>
    </row>
    <row r="8" spans="1:41" x14ac:dyDescent="0.3">
      <c r="A8" s="1"/>
      <c r="B8" s="1"/>
      <c r="C8" s="1"/>
      <c r="D8" s="1"/>
      <c r="E8" s="1"/>
      <c r="H8" t="s">
        <v>27</v>
      </c>
      <c r="I8" s="1">
        <v>0.72721064814814806</v>
      </c>
      <c r="J8" s="1">
        <v>0.7272207638888889</v>
      </c>
      <c r="K8" s="1">
        <v>0.72733796296296294</v>
      </c>
      <c r="L8" s="1">
        <f t="shared" si="0"/>
        <v>1.0115740740834767E-5</v>
      </c>
      <c r="M8" s="1">
        <f t="shared" si="1"/>
        <v>1.1719907407403696E-4</v>
      </c>
      <c r="N8" s="1" t="s">
        <v>32</v>
      </c>
      <c r="O8" s="5">
        <f t="shared" si="2"/>
        <v>874.00000000812383</v>
      </c>
      <c r="P8" s="4">
        <f t="shared" si="3"/>
        <v>10.125999999996793</v>
      </c>
      <c r="AI8" t="s">
        <v>190</v>
      </c>
      <c r="AJ8" s="5">
        <v>980</v>
      </c>
      <c r="AK8">
        <v>3.6560000000000001</v>
      </c>
      <c r="AN8" s="6" t="s">
        <v>16</v>
      </c>
      <c r="AO8" s="4">
        <f>AVERAGE(AJ2:AJ139)</f>
        <v>515.19852941176475</v>
      </c>
    </row>
    <row r="9" spans="1:41" x14ac:dyDescent="0.3">
      <c r="A9" s="1"/>
      <c r="B9" s="1"/>
      <c r="C9" s="1"/>
      <c r="D9" s="1"/>
      <c r="E9" s="1"/>
      <c r="H9" t="s">
        <v>28</v>
      </c>
      <c r="I9" s="1">
        <v>0.72721064814814806</v>
      </c>
      <c r="J9" s="1">
        <v>0.72722105324074071</v>
      </c>
      <c r="K9" s="1">
        <v>0.72734953703703698</v>
      </c>
      <c r="L9" s="1">
        <f t="shared" si="0"/>
        <v>1.0405092592646881E-5</v>
      </c>
      <c r="M9" s="1">
        <f t="shared" si="1"/>
        <v>1.2848379629626372E-4</v>
      </c>
      <c r="N9" s="1" t="s">
        <v>32</v>
      </c>
      <c r="O9" s="5">
        <f t="shared" si="2"/>
        <v>899.00000000469049</v>
      </c>
      <c r="P9" s="4">
        <f t="shared" si="3"/>
        <v>11.100999999997185</v>
      </c>
      <c r="AI9" t="s">
        <v>191</v>
      </c>
      <c r="AJ9" s="5">
        <v>839</v>
      </c>
      <c r="AK9">
        <v>6.1459999999999999</v>
      </c>
    </row>
    <row r="10" spans="1:41" x14ac:dyDescent="0.3">
      <c r="A10" s="1"/>
      <c r="B10" s="1"/>
      <c r="C10" s="1"/>
      <c r="D10" s="1"/>
      <c r="E10" s="1"/>
      <c r="H10" t="s">
        <v>33</v>
      </c>
      <c r="I10" s="1">
        <v>0.72721064814814806</v>
      </c>
      <c r="J10" s="1">
        <v>0.72722226851851846</v>
      </c>
      <c r="K10" s="1">
        <v>0.72736111111111112</v>
      </c>
      <c r="L10" s="1">
        <f t="shared" si="0"/>
        <v>1.1620370370390987E-5</v>
      </c>
      <c r="M10" s="1">
        <f t="shared" si="1"/>
        <v>1.3884259259266951E-4</v>
      </c>
      <c r="N10" s="1" t="s">
        <v>31</v>
      </c>
      <c r="O10" s="5">
        <f t="shared" si="2"/>
        <v>1004.0000000017812</v>
      </c>
      <c r="P10" s="4">
        <f t="shared" si="3"/>
        <v>11.996000000006646</v>
      </c>
      <c r="T10" t="s">
        <v>30</v>
      </c>
      <c r="AI10" t="s">
        <v>192</v>
      </c>
      <c r="AJ10" s="5">
        <v>129</v>
      </c>
      <c r="AK10">
        <v>2.7639999999999998</v>
      </c>
    </row>
    <row r="11" spans="1:41" x14ac:dyDescent="0.3">
      <c r="A11" s="1"/>
      <c r="B11" s="1"/>
      <c r="C11" s="1"/>
      <c r="D11" s="1"/>
      <c r="E11" s="1"/>
      <c r="H11" t="s">
        <v>34</v>
      </c>
      <c r="I11" s="1">
        <v>0.72722222222222221</v>
      </c>
      <c r="J11" s="1">
        <v>0.72722263888888883</v>
      </c>
      <c r="K11" s="1">
        <v>0.72737268518518527</v>
      </c>
      <c r="L11" s="1">
        <f t="shared" si="0"/>
        <v>4.1666666661388518E-7</v>
      </c>
      <c r="M11" s="1">
        <f t="shared" si="1"/>
        <v>1.5004629629644661E-4</v>
      </c>
      <c r="N11" s="1" t="s">
        <v>32</v>
      </c>
      <c r="O11" s="5">
        <f t="shared" si="2"/>
        <v>35.99999999543968</v>
      </c>
      <c r="P11" s="4">
        <f t="shared" si="3"/>
        <v>12.964000000012987</v>
      </c>
      <c r="T11" t="s">
        <v>35</v>
      </c>
      <c r="AI11" t="s">
        <v>193</v>
      </c>
      <c r="AJ11" s="5">
        <v>967</v>
      </c>
      <c r="AK11">
        <v>2.6869999999999998</v>
      </c>
    </row>
    <row r="12" spans="1:41" x14ac:dyDescent="0.3">
      <c r="A12" s="1"/>
      <c r="B12" s="1"/>
      <c r="C12" s="1"/>
      <c r="D12" s="1"/>
      <c r="E12" s="1"/>
      <c r="H12" t="s">
        <v>36</v>
      </c>
      <c r="I12" s="1">
        <v>0.72722222222222221</v>
      </c>
      <c r="J12" s="1">
        <v>0.72722276620370374</v>
      </c>
      <c r="K12" s="1">
        <v>0.72734953703703698</v>
      </c>
      <c r="L12" s="1">
        <f t="shared" si="0"/>
        <v>5.4398148152667858E-7</v>
      </c>
      <c r="M12" s="1">
        <f t="shared" si="1"/>
        <v>1.2677083333323402E-4</v>
      </c>
      <c r="N12" s="1" t="s">
        <v>32</v>
      </c>
      <c r="O12" s="5">
        <f t="shared" si="2"/>
        <v>47.000000003905029</v>
      </c>
      <c r="P12" s="4">
        <f t="shared" si="3"/>
        <v>10.95299999999142</v>
      </c>
      <c r="AI12" t="s">
        <v>194</v>
      </c>
      <c r="AJ12" s="5">
        <v>1072</v>
      </c>
      <c r="AK12">
        <v>1.9219999999999899</v>
      </c>
      <c r="AN12" t="s">
        <v>3</v>
      </c>
      <c r="AO12" s="6" t="s">
        <v>169</v>
      </c>
    </row>
    <row r="13" spans="1:41" x14ac:dyDescent="0.3">
      <c r="A13" s="1"/>
      <c r="B13" s="1"/>
      <c r="C13" s="1"/>
      <c r="D13" s="1"/>
      <c r="E13" s="1"/>
      <c r="H13" t="s">
        <v>37</v>
      </c>
      <c r="I13" s="1">
        <v>0.72722222222222221</v>
      </c>
      <c r="J13" s="1">
        <v>0.72722277777777788</v>
      </c>
      <c r="K13" s="1">
        <v>0.7273263888888889</v>
      </c>
      <c r="L13" s="1">
        <f t="shared" si="0"/>
        <v>5.5555555567021742E-7</v>
      </c>
      <c r="M13" s="1">
        <f t="shared" si="1"/>
        <v>1.0361111111101273E-4</v>
      </c>
      <c r="N13" s="1" t="s">
        <v>32</v>
      </c>
      <c r="O13" s="5">
        <f t="shared" si="2"/>
        <v>48.000000009906785</v>
      </c>
      <c r="P13" s="4">
        <f t="shared" si="3"/>
        <v>8.9519999999915001</v>
      </c>
      <c r="AI13" t="s">
        <v>195</v>
      </c>
      <c r="AJ13" s="5">
        <v>364</v>
      </c>
      <c r="AK13">
        <v>1.46199999999999</v>
      </c>
      <c r="AN13" s="6" t="s">
        <v>162</v>
      </c>
      <c r="AO13">
        <f>_xlfn.PERCENTILE.EXC(AK2:AK137, 0.9)</f>
        <v>9.0474999999999994</v>
      </c>
    </row>
    <row r="14" spans="1:41" x14ac:dyDescent="0.3">
      <c r="A14" s="1"/>
      <c r="B14" s="1"/>
      <c r="C14" s="1"/>
      <c r="D14" s="1"/>
      <c r="E14" s="1"/>
      <c r="H14" t="s">
        <v>38</v>
      </c>
      <c r="I14" s="1">
        <v>0.72722222222222221</v>
      </c>
      <c r="J14" s="1">
        <v>0.72722391203703707</v>
      </c>
      <c r="K14" s="1">
        <v>0.72737268518518527</v>
      </c>
      <c r="L14" s="1">
        <f t="shared" si="0"/>
        <v>1.6898148148536407E-6</v>
      </c>
      <c r="M14" s="1">
        <f t="shared" si="1"/>
        <v>1.4877314814820686E-4</v>
      </c>
      <c r="N14" s="1" t="s">
        <v>31</v>
      </c>
      <c r="O14" s="5">
        <f t="shared" si="2"/>
        <v>146.00000000335456</v>
      </c>
      <c r="P14" s="4">
        <f t="shared" si="3"/>
        <v>12.854000000005072</v>
      </c>
      <c r="U14" t="s">
        <v>3</v>
      </c>
      <c r="V14" s="6" t="s">
        <v>169</v>
      </c>
      <c r="AI14" t="s">
        <v>196</v>
      </c>
      <c r="AJ14" s="5">
        <v>131</v>
      </c>
      <c r="AK14">
        <v>8.923</v>
      </c>
      <c r="AN14" s="6" t="s">
        <v>163</v>
      </c>
      <c r="AO14">
        <f>_xlfn.PERCENTILE.EXC(AK2:AK137, 0.95)</f>
        <v>10.610600000000002</v>
      </c>
    </row>
    <row r="15" spans="1:41" x14ac:dyDescent="0.3">
      <c r="A15" s="1"/>
      <c r="B15" s="1"/>
      <c r="C15" s="1"/>
      <c r="D15" s="1"/>
      <c r="E15" s="1"/>
      <c r="H15" t="s">
        <v>39</v>
      </c>
      <c r="I15" s="1">
        <v>0.72722222222222221</v>
      </c>
      <c r="J15" s="1">
        <v>0.7272242708333333</v>
      </c>
      <c r="K15" s="1">
        <v>0.72739583333333335</v>
      </c>
      <c r="L15" s="1">
        <f t="shared" si="0"/>
        <v>2.0486111110828986E-6</v>
      </c>
      <c r="M15" s="1">
        <f t="shared" si="1"/>
        <v>1.7156250000005535E-4</v>
      </c>
      <c r="N15" s="1" t="s">
        <v>31</v>
      </c>
      <c r="O15" s="5">
        <f t="shared" si="2"/>
        <v>176.99999999756244</v>
      </c>
      <c r="P15" s="4">
        <f t="shared" si="3"/>
        <v>14.823000000004782</v>
      </c>
      <c r="U15" s="6" t="s">
        <v>162</v>
      </c>
      <c r="V15">
        <f>_xlfn.PERCENTILE.EXC(P2:P137, 0.9)</f>
        <v>13.137499999996257</v>
      </c>
      <c r="AI15" t="s">
        <v>197</v>
      </c>
      <c r="AJ15" s="5">
        <v>985</v>
      </c>
      <c r="AK15">
        <v>0.76200000000000001</v>
      </c>
      <c r="AN15" s="6" t="s">
        <v>16</v>
      </c>
      <c r="AO15" s="4">
        <f>AVERAGE(AK2:AK137)</f>
        <v>4.5255073529411751</v>
      </c>
    </row>
    <row r="16" spans="1:41" x14ac:dyDescent="0.3">
      <c r="A16" s="1"/>
      <c r="B16" s="1"/>
      <c r="C16" s="1"/>
      <c r="D16" s="1"/>
      <c r="E16" s="1"/>
      <c r="H16" t="s">
        <v>40</v>
      </c>
      <c r="I16" s="1">
        <v>0.72722222222222221</v>
      </c>
      <c r="J16" s="1">
        <v>0.7272242708333333</v>
      </c>
      <c r="K16" s="1">
        <v>0.72737268518518527</v>
      </c>
      <c r="L16" s="1">
        <f t="shared" si="0"/>
        <v>2.0486111110828986E-6</v>
      </c>
      <c r="M16" s="1">
        <f t="shared" si="1"/>
        <v>1.484143518519776E-4</v>
      </c>
      <c r="N16" s="1" t="s">
        <v>32</v>
      </c>
      <c r="O16" s="5">
        <f t="shared" si="2"/>
        <v>176.99999999756244</v>
      </c>
      <c r="P16" s="4">
        <f t="shared" si="3"/>
        <v>12.823000000010865</v>
      </c>
      <c r="U16" s="6" t="s">
        <v>163</v>
      </c>
      <c r="V16">
        <f>_xlfn.PERCENTILE.EXC(P2:P137, 0.95)</f>
        <v>14.70060000000398</v>
      </c>
      <c r="AI16" t="s">
        <v>198</v>
      </c>
      <c r="AJ16" s="5">
        <v>186</v>
      </c>
      <c r="AK16">
        <v>4.7159999999999904</v>
      </c>
      <c r="AN16" s="6" t="s">
        <v>167</v>
      </c>
      <c r="AO16" s="4">
        <f>MAX(AK2:AK137)</f>
        <v>24.337</v>
      </c>
    </row>
    <row r="17" spans="1:41" x14ac:dyDescent="0.3">
      <c r="A17" s="1"/>
      <c r="B17" s="1"/>
      <c r="C17" s="1"/>
      <c r="D17" s="1"/>
      <c r="E17" s="1"/>
      <c r="H17" t="s">
        <v>41</v>
      </c>
      <c r="I17" s="1">
        <v>0.72722222222222221</v>
      </c>
      <c r="J17" s="1">
        <v>0.72722593749999997</v>
      </c>
      <c r="K17" s="1">
        <v>0.72739583333333335</v>
      </c>
      <c r="L17" s="1">
        <f t="shared" si="0"/>
        <v>3.715277777760484E-6</v>
      </c>
      <c r="M17" s="1">
        <f t="shared" si="1"/>
        <v>1.6989583333337777E-4</v>
      </c>
      <c r="N17" s="1" t="s">
        <v>32</v>
      </c>
      <c r="O17" s="5">
        <f t="shared" si="2"/>
        <v>320.99999999850581</v>
      </c>
      <c r="P17" s="4">
        <f t="shared" si="3"/>
        <v>14.679000000003839</v>
      </c>
      <c r="U17" s="6" t="s">
        <v>16</v>
      </c>
      <c r="V17" s="4">
        <f>AVERAGE(P2:P137)</f>
        <v>8.2769779411762556</v>
      </c>
      <c r="X17" s="4">
        <f>V17-AO15</f>
        <v>3.7514705882350805</v>
      </c>
      <c r="AI17" t="s">
        <v>199</v>
      </c>
      <c r="AJ17" s="5">
        <v>549</v>
      </c>
      <c r="AK17">
        <v>8.6920000000000002</v>
      </c>
      <c r="AN17" s="6" t="s">
        <v>168</v>
      </c>
      <c r="AO17" s="4">
        <f>MIN(AK2:AK137)</f>
        <v>0.54300000000000004</v>
      </c>
    </row>
    <row r="18" spans="1:41" x14ac:dyDescent="0.3">
      <c r="A18" s="1"/>
      <c r="B18" s="1"/>
      <c r="C18" s="1"/>
      <c r="D18" s="1"/>
      <c r="E18" s="1"/>
      <c r="H18" t="s">
        <v>42</v>
      </c>
      <c r="I18" s="1">
        <v>0.72722222222222221</v>
      </c>
      <c r="J18" s="1">
        <v>0.72722620370370372</v>
      </c>
      <c r="K18" s="1">
        <v>0.72736111111111112</v>
      </c>
      <c r="L18" s="1">
        <f t="shared" si="0"/>
        <v>3.981481481507565E-6</v>
      </c>
      <c r="M18" s="1">
        <f t="shared" si="1"/>
        <v>1.3490740740740303E-4</v>
      </c>
      <c r="N18" s="1" t="s">
        <v>32</v>
      </c>
      <c r="O18" s="5">
        <f t="shared" si="2"/>
        <v>344.00000000225361</v>
      </c>
      <c r="P18" s="4">
        <f t="shared" si="3"/>
        <v>11.655999999999622</v>
      </c>
      <c r="U18" s="6" t="s">
        <v>167</v>
      </c>
      <c r="V18" s="4">
        <f>MAX(P2:P137)</f>
        <v>28.426999999993185</v>
      </c>
      <c r="AI18" t="s">
        <v>200</v>
      </c>
      <c r="AJ18" s="5">
        <v>549</v>
      </c>
      <c r="AK18">
        <v>3.5659999999999998</v>
      </c>
    </row>
    <row r="19" spans="1:41" x14ac:dyDescent="0.3">
      <c r="A19" s="1"/>
      <c r="B19" s="1"/>
      <c r="C19" s="1"/>
      <c r="D19" s="1"/>
      <c r="E19" s="1"/>
      <c r="H19" t="s">
        <v>43</v>
      </c>
      <c r="I19" s="1">
        <v>0.72722222222222221</v>
      </c>
      <c r="J19" s="1">
        <v>0.72722641203703697</v>
      </c>
      <c r="K19" s="1">
        <v>0.72733796296296294</v>
      </c>
      <c r="L19" s="1">
        <f t="shared" si="0"/>
        <v>4.1898148147589964E-6</v>
      </c>
      <c r="M19" s="1">
        <f t="shared" si="1"/>
        <v>1.1155092592596283E-4</v>
      </c>
      <c r="N19" s="1" t="s">
        <v>32</v>
      </c>
      <c r="O19" s="5">
        <f t="shared" si="2"/>
        <v>361.99999999517729</v>
      </c>
      <c r="P19" s="4">
        <f t="shared" si="3"/>
        <v>9.6380000000031885</v>
      </c>
      <c r="U19" s="6" t="s">
        <v>168</v>
      </c>
      <c r="V19" s="4">
        <f>MIN(P2:P137)</f>
        <v>3.0450000000019628</v>
      </c>
      <c r="AI19" t="s">
        <v>201</v>
      </c>
      <c r="AJ19" s="5">
        <v>342</v>
      </c>
      <c r="AK19">
        <v>5.0279999999999996</v>
      </c>
    </row>
    <row r="20" spans="1:41" x14ac:dyDescent="0.3">
      <c r="A20" s="1"/>
      <c r="B20" s="1"/>
      <c r="C20" s="1"/>
      <c r="D20" s="1"/>
      <c r="E20" s="1"/>
      <c r="H20" t="s">
        <v>44</v>
      </c>
      <c r="I20" s="1">
        <v>0.72722222222222221</v>
      </c>
      <c r="J20" s="1">
        <v>0.72722620370370372</v>
      </c>
      <c r="K20" s="1">
        <v>0.72731481481481486</v>
      </c>
      <c r="L20" s="1">
        <f t="shared" si="0"/>
        <v>3.981481481507565E-6</v>
      </c>
      <c r="M20" s="1">
        <f t="shared" si="1"/>
        <v>8.8611111111136509E-5</v>
      </c>
      <c r="N20" s="1" t="s">
        <v>31</v>
      </c>
      <c r="O20" s="5">
        <f t="shared" si="2"/>
        <v>344.00000000225361</v>
      </c>
      <c r="P20" s="4">
        <f t="shared" si="3"/>
        <v>7.6560000000021944</v>
      </c>
      <c r="AI20" t="s">
        <v>202</v>
      </c>
      <c r="AJ20" s="5">
        <v>839</v>
      </c>
      <c r="AK20">
        <v>7.3609999999999998</v>
      </c>
    </row>
    <row r="21" spans="1:41" x14ac:dyDescent="0.3">
      <c r="A21" s="1"/>
      <c r="B21" s="1"/>
      <c r="C21" s="1"/>
      <c r="D21" s="1"/>
      <c r="E21" s="1"/>
      <c r="H21" t="s">
        <v>45</v>
      </c>
      <c r="I21" s="1">
        <v>0.72722222222222221</v>
      </c>
      <c r="J21" s="1">
        <v>0.72722621527777775</v>
      </c>
      <c r="K21" s="1">
        <v>0.7273842592592592</v>
      </c>
      <c r="L21" s="1">
        <f t="shared" si="0"/>
        <v>3.9930555555400815E-6</v>
      </c>
      <c r="M21" s="1">
        <f t="shared" si="1"/>
        <v>1.5804398148144827E-4</v>
      </c>
      <c r="N21" s="1" t="s">
        <v>31</v>
      </c>
      <c r="O21" s="5">
        <f t="shared" si="2"/>
        <v>344.99999999866304</v>
      </c>
      <c r="P21" s="4">
        <f t="shared" si="3"/>
        <v>13.654999999997131</v>
      </c>
      <c r="T21" t="s">
        <v>179</v>
      </c>
      <c r="AI21" t="s">
        <v>203</v>
      </c>
      <c r="AJ21" s="5">
        <v>543</v>
      </c>
      <c r="AK21">
        <v>5.399</v>
      </c>
    </row>
    <row r="22" spans="1:41" x14ac:dyDescent="0.3">
      <c r="A22" s="1"/>
      <c r="B22" s="1"/>
      <c r="C22" s="1"/>
      <c r="D22" s="1"/>
      <c r="E22" s="1"/>
      <c r="H22" t="s">
        <v>46</v>
      </c>
      <c r="I22" s="1">
        <v>0.72722222222222221</v>
      </c>
      <c r="J22" s="1">
        <v>0.72722636574074073</v>
      </c>
      <c r="K22" s="1">
        <v>0.72739583333333335</v>
      </c>
      <c r="L22" s="1">
        <f t="shared" si="0"/>
        <v>4.143518518517908E-6</v>
      </c>
      <c r="M22" s="1">
        <f t="shared" si="1"/>
        <v>1.6946759259262034E-4</v>
      </c>
      <c r="N22" s="1" t="s">
        <v>31</v>
      </c>
      <c r="O22" s="5">
        <f t="shared" si="2"/>
        <v>357.99999999994725</v>
      </c>
      <c r="P22" s="4">
        <f t="shared" si="3"/>
        <v>14.642000000002398</v>
      </c>
      <c r="AI22" t="s">
        <v>204</v>
      </c>
      <c r="AJ22" s="5">
        <v>943</v>
      </c>
      <c r="AK22">
        <v>8.7330000000000005</v>
      </c>
    </row>
    <row r="23" spans="1:41" x14ac:dyDescent="0.3">
      <c r="A23" s="1"/>
      <c r="B23" s="1"/>
      <c r="C23" s="1"/>
      <c r="D23" s="1"/>
      <c r="E23" s="1"/>
      <c r="H23" t="s">
        <v>47</v>
      </c>
      <c r="I23" s="1">
        <v>0.72722222222222221</v>
      </c>
      <c r="J23" s="1">
        <v>0.72722712962962965</v>
      </c>
      <c r="K23" s="1">
        <v>0.72734953703703698</v>
      </c>
      <c r="L23" s="1">
        <f t="shared" si="0"/>
        <v>4.9074074074395568E-6</v>
      </c>
      <c r="M23" s="1">
        <f t="shared" si="1"/>
        <v>1.2240740740732114E-4</v>
      </c>
      <c r="N23" s="1" t="s">
        <v>32</v>
      </c>
      <c r="O23" s="5">
        <f t="shared" si="2"/>
        <v>424.00000000277771</v>
      </c>
      <c r="P23" s="4">
        <f t="shared" si="3"/>
        <v>10.575999999992547</v>
      </c>
      <c r="AI23" t="s">
        <v>205</v>
      </c>
      <c r="AJ23" s="5">
        <v>124</v>
      </c>
      <c r="AK23">
        <v>4.8959999999999999</v>
      </c>
    </row>
    <row r="24" spans="1:41" x14ac:dyDescent="0.3">
      <c r="A24" s="1"/>
      <c r="B24" s="1"/>
      <c r="C24" s="1"/>
      <c r="D24" s="1"/>
      <c r="E24" s="1"/>
      <c r="H24" t="s">
        <v>48</v>
      </c>
      <c r="I24" s="1">
        <v>0.72722222222222221</v>
      </c>
      <c r="J24" s="1">
        <v>0.7272271412037038</v>
      </c>
      <c r="K24" s="1">
        <v>0.72737268518518527</v>
      </c>
      <c r="L24" s="1">
        <f t="shared" si="0"/>
        <v>4.9189814815830957E-6</v>
      </c>
      <c r="M24" s="1">
        <f t="shared" si="1"/>
        <v>1.455439814814774E-4</v>
      </c>
      <c r="N24" s="1" t="s">
        <v>32</v>
      </c>
      <c r="O24" s="5">
        <f t="shared" si="2"/>
        <v>425.00000000877947</v>
      </c>
      <c r="P24" s="4">
        <f t="shared" si="3"/>
        <v>12.574999999999648</v>
      </c>
      <c r="AI24" t="s">
        <v>206</v>
      </c>
      <c r="AJ24" s="5">
        <v>770</v>
      </c>
      <c r="AK24">
        <v>0.65500000000000003</v>
      </c>
    </row>
    <row r="25" spans="1:41" x14ac:dyDescent="0.3">
      <c r="A25" s="1"/>
      <c r="B25" s="1"/>
      <c r="C25" s="1"/>
      <c r="D25" s="1"/>
      <c r="E25" s="1"/>
      <c r="H25" t="s">
        <v>49</v>
      </c>
      <c r="I25" s="1">
        <v>0.72722222222222221</v>
      </c>
      <c r="J25" s="1">
        <v>0.72722857638888883</v>
      </c>
      <c r="K25" s="1">
        <v>0.72740740740740739</v>
      </c>
      <c r="L25" s="1">
        <f t="shared" si="0"/>
        <v>6.3541666666111496E-6</v>
      </c>
      <c r="M25" s="1">
        <f t="shared" si="1"/>
        <v>1.7883101851856598E-4</v>
      </c>
      <c r="N25" s="1" t="s">
        <v>32</v>
      </c>
      <c r="O25" s="5">
        <f t="shared" si="2"/>
        <v>548.99999999520332</v>
      </c>
      <c r="P25" s="4">
        <f t="shared" si="3"/>
        <v>15.4510000000041</v>
      </c>
      <c r="AI25" t="s">
        <v>207</v>
      </c>
      <c r="AJ25" s="5">
        <v>387</v>
      </c>
      <c r="AK25">
        <v>1.4690000000000001</v>
      </c>
    </row>
    <row r="26" spans="1:41" x14ac:dyDescent="0.3">
      <c r="A26" s="1"/>
      <c r="B26" s="1"/>
      <c r="C26" s="1"/>
      <c r="D26" s="1"/>
      <c r="E26" s="1"/>
      <c r="H26" t="s">
        <v>50</v>
      </c>
      <c r="I26" s="1">
        <v>0.72722222222222221</v>
      </c>
      <c r="J26" s="1">
        <v>0.72722857638888883</v>
      </c>
      <c r="K26" s="1">
        <v>0.72736111111111112</v>
      </c>
      <c r="L26" s="1">
        <f t="shared" si="0"/>
        <v>6.3541666666111496E-6</v>
      </c>
      <c r="M26" s="1">
        <f t="shared" si="1"/>
        <v>1.3253472222229945E-4</v>
      </c>
      <c r="N26" s="1" t="s">
        <v>31</v>
      </c>
      <c r="O26" s="5">
        <f t="shared" si="2"/>
        <v>548.99999999520332</v>
      </c>
      <c r="P26" s="4">
        <f t="shared" si="3"/>
        <v>11.451000000006673</v>
      </c>
      <c r="AI26" t="s">
        <v>208</v>
      </c>
      <c r="AJ26" s="5">
        <v>342</v>
      </c>
      <c r="AK26">
        <v>7.08</v>
      </c>
    </row>
    <row r="27" spans="1:41" x14ac:dyDescent="0.3">
      <c r="A27" s="1"/>
      <c r="B27" s="1"/>
      <c r="C27" s="1"/>
      <c r="D27" s="1"/>
      <c r="E27" s="1"/>
      <c r="H27" t="s">
        <v>51</v>
      </c>
      <c r="I27" s="1">
        <v>0.72722222222222221</v>
      </c>
      <c r="J27" s="1">
        <v>0.72722884259259268</v>
      </c>
      <c r="K27" s="1">
        <v>0.7273842592592592</v>
      </c>
      <c r="L27" s="1">
        <f t="shared" si="0"/>
        <v>6.6203703704692529E-6</v>
      </c>
      <c r="M27" s="1">
        <f t="shared" si="1"/>
        <v>1.554166666665191E-4</v>
      </c>
      <c r="N27" s="1" t="s">
        <v>32</v>
      </c>
      <c r="O27" s="5">
        <f t="shared" si="2"/>
        <v>572.00000000854345</v>
      </c>
      <c r="P27" s="4">
        <f t="shared" si="3"/>
        <v>13.42799999998725</v>
      </c>
      <c r="AI27" t="s">
        <v>209</v>
      </c>
      <c r="AJ27" s="5">
        <v>838</v>
      </c>
      <c r="AK27">
        <v>9.3379999999999992</v>
      </c>
    </row>
    <row r="28" spans="1:41" x14ac:dyDescent="0.3">
      <c r="A28" s="1"/>
      <c r="B28" s="1"/>
      <c r="C28" s="1"/>
      <c r="D28" s="1"/>
      <c r="E28" s="1"/>
      <c r="H28" t="s">
        <v>52</v>
      </c>
      <c r="I28" s="1">
        <v>0.72723379629629636</v>
      </c>
      <c r="J28" s="1">
        <v>0.72724356481481489</v>
      </c>
      <c r="K28" s="1">
        <v>0.72741898148148154</v>
      </c>
      <c r="L28" s="1">
        <f t="shared" si="0"/>
        <v>9.7685185185270029E-6</v>
      </c>
      <c r="M28" s="1">
        <f t="shared" si="1"/>
        <v>1.7541666666665012E-4</v>
      </c>
      <c r="N28" s="1" t="s">
        <v>31</v>
      </c>
      <c r="O28" s="5">
        <f t="shared" si="2"/>
        <v>844.00000000073305</v>
      </c>
      <c r="P28" s="4">
        <f t="shared" si="3"/>
        <v>15.155999999998571</v>
      </c>
      <c r="AI28" t="s">
        <v>210</v>
      </c>
      <c r="AJ28" s="5">
        <v>487</v>
      </c>
      <c r="AK28">
        <v>4.0569999999999897</v>
      </c>
    </row>
    <row r="29" spans="1:41" x14ac:dyDescent="0.3">
      <c r="A29" s="1"/>
      <c r="B29" s="1"/>
      <c r="C29" s="1"/>
      <c r="D29" s="1"/>
      <c r="E29" s="1"/>
      <c r="H29" t="s">
        <v>53</v>
      </c>
      <c r="I29" s="1">
        <v>0.72723379629629636</v>
      </c>
      <c r="J29" s="1">
        <v>0.72724521990740743</v>
      </c>
      <c r="K29" s="1">
        <v>0.72739583333333335</v>
      </c>
      <c r="L29" s="1">
        <f t="shared" si="0"/>
        <v>1.1423611111061049E-5</v>
      </c>
      <c r="M29" s="1">
        <f t="shared" si="1"/>
        <v>1.506134259259273E-4</v>
      </c>
      <c r="N29" s="1" t="s">
        <v>31</v>
      </c>
      <c r="O29" s="5">
        <f t="shared" si="2"/>
        <v>986.99999999567467</v>
      </c>
      <c r="P29" s="4">
        <f t="shared" si="3"/>
        <v>13.013000000000119</v>
      </c>
      <c r="AI29" t="s">
        <v>211</v>
      </c>
      <c r="AJ29" s="5">
        <v>562</v>
      </c>
      <c r="AK29">
        <v>2.9009999999999998</v>
      </c>
    </row>
    <row r="30" spans="1:41" x14ac:dyDescent="0.3">
      <c r="H30" t="s">
        <v>54</v>
      </c>
      <c r="I30" s="1">
        <v>0.72723379629629636</v>
      </c>
      <c r="J30" s="1">
        <v>0.72724526620370378</v>
      </c>
      <c r="K30" s="1">
        <v>0.72734953703703698</v>
      </c>
      <c r="L30" s="1">
        <f t="shared" si="0"/>
        <v>1.146990740741316E-5</v>
      </c>
      <c r="M30" s="1">
        <f t="shared" si="1"/>
        <v>1.0427083333319764E-4</v>
      </c>
      <c r="N30" s="1" t="s">
        <v>31</v>
      </c>
      <c r="O30" s="5">
        <f t="shared" si="2"/>
        <v>991.00000000049704</v>
      </c>
      <c r="P30" s="4">
        <f t="shared" si="3"/>
        <v>9.0089999999882764</v>
      </c>
      <c r="AI30" t="s">
        <v>212</v>
      </c>
      <c r="AJ30" s="5">
        <v>123</v>
      </c>
      <c r="AK30">
        <v>2.8239999999999998</v>
      </c>
    </row>
    <row r="31" spans="1:41" x14ac:dyDescent="0.3">
      <c r="H31" t="s">
        <v>55</v>
      </c>
      <c r="I31" s="1">
        <v>0.72723379629629636</v>
      </c>
      <c r="J31" s="1">
        <v>0.72724695601851852</v>
      </c>
      <c r="K31" s="1">
        <v>0.72740740740740739</v>
      </c>
      <c r="L31" s="1">
        <f t="shared" si="0"/>
        <v>1.3159722222155779E-5</v>
      </c>
      <c r="M31" s="1">
        <f t="shared" si="1"/>
        <v>1.6045138888887145E-4</v>
      </c>
      <c r="N31" s="1" t="s">
        <v>32</v>
      </c>
      <c r="O31" s="5">
        <f t="shared" si="2"/>
        <v>1136.9999999942593</v>
      </c>
      <c r="P31" s="4">
        <f t="shared" si="3"/>
        <v>13.862999999998493</v>
      </c>
      <c r="AI31" t="s">
        <v>213</v>
      </c>
      <c r="AJ31" s="5">
        <v>153</v>
      </c>
      <c r="AK31">
        <v>3.44599999999999</v>
      </c>
    </row>
    <row r="32" spans="1:41" x14ac:dyDescent="0.3">
      <c r="H32" t="s">
        <v>56</v>
      </c>
      <c r="I32" s="1">
        <v>0.72723379629629636</v>
      </c>
      <c r="J32" s="1">
        <v>0.72724699074074073</v>
      </c>
      <c r="K32" s="1">
        <v>0.72741898148148154</v>
      </c>
      <c r="L32" s="1">
        <f t="shared" si="0"/>
        <v>1.319444444436435E-5</v>
      </c>
      <c r="M32" s="1">
        <f t="shared" si="1"/>
        <v>1.7199074074081278E-4</v>
      </c>
      <c r="N32" s="1" t="s">
        <v>31</v>
      </c>
      <c r="O32" s="5">
        <f t="shared" si="2"/>
        <v>1139.9999999930799</v>
      </c>
      <c r="P32" s="4">
        <f t="shared" si="3"/>
        <v>14.860000000006224</v>
      </c>
      <c r="AI32" t="s">
        <v>214</v>
      </c>
      <c r="AJ32" s="5">
        <v>851</v>
      </c>
      <c r="AK32">
        <v>2.028</v>
      </c>
    </row>
    <row r="33" spans="8:37" x14ac:dyDescent="0.3">
      <c r="H33" t="s">
        <v>57</v>
      </c>
      <c r="I33" s="1">
        <v>0.72723379629629636</v>
      </c>
      <c r="J33" s="1">
        <v>0.72724716435185188</v>
      </c>
      <c r="K33" s="1">
        <v>0.72737268518518527</v>
      </c>
      <c r="L33" s="1">
        <f t="shared" si="0"/>
        <v>1.3368055555518232E-5</v>
      </c>
      <c r="M33" s="1">
        <f t="shared" si="1"/>
        <v>1.2552083333339237E-4</v>
      </c>
      <c r="N33" s="1" t="s">
        <v>31</v>
      </c>
      <c r="O33" s="5">
        <f t="shared" si="2"/>
        <v>1154.9999999967754</v>
      </c>
      <c r="P33" s="4">
        <f t="shared" si="3"/>
        <v>10.845000000005101</v>
      </c>
      <c r="AI33" t="s">
        <v>215</v>
      </c>
      <c r="AJ33" s="5">
        <v>820</v>
      </c>
      <c r="AK33">
        <v>10.77</v>
      </c>
    </row>
    <row r="34" spans="8:37" x14ac:dyDescent="0.3">
      <c r="H34" t="s">
        <v>58</v>
      </c>
      <c r="I34" s="1">
        <v>0.7272453703703704</v>
      </c>
      <c r="J34" s="1">
        <v>0.72724984953703709</v>
      </c>
      <c r="K34" s="1">
        <v>0.72737268518518527</v>
      </c>
      <c r="L34" s="1">
        <f t="shared" si="0"/>
        <v>4.4791666666821328E-6</v>
      </c>
      <c r="M34" s="1">
        <f t="shared" si="1"/>
        <v>1.2283564814818959E-4</v>
      </c>
      <c r="N34" s="1" t="s">
        <v>31</v>
      </c>
      <c r="O34" s="5">
        <f t="shared" si="2"/>
        <v>387.00000000133628</v>
      </c>
      <c r="P34" s="4">
        <f t="shared" si="3"/>
        <v>10.613000000003581</v>
      </c>
      <c r="AI34" t="s">
        <v>216</v>
      </c>
      <c r="AJ34" s="5">
        <v>342</v>
      </c>
      <c r="AK34">
        <v>4.9020000000000001</v>
      </c>
    </row>
    <row r="35" spans="8:37" x14ac:dyDescent="0.3">
      <c r="H35" t="s">
        <v>59</v>
      </c>
      <c r="I35" s="1">
        <v>0.7272453703703704</v>
      </c>
      <c r="J35" s="1">
        <v>0.72724986111111101</v>
      </c>
      <c r="K35" s="1">
        <v>0.7273842592592592</v>
      </c>
      <c r="L35" s="1">
        <f t="shared" si="0"/>
        <v>4.490740740603627E-6</v>
      </c>
      <c r="M35" s="1">
        <f t="shared" si="1"/>
        <v>1.3439814814819595E-4</v>
      </c>
      <c r="N35" s="1" t="s">
        <v>31</v>
      </c>
      <c r="O35" s="5">
        <f t="shared" si="2"/>
        <v>387.99999998815338</v>
      </c>
      <c r="P35" s="4">
        <f t="shared" si="3"/>
        <v>11.61200000000413</v>
      </c>
      <c r="T35" t="s">
        <v>180</v>
      </c>
      <c r="AI35" t="s">
        <v>217</v>
      </c>
      <c r="AJ35" s="5">
        <v>850</v>
      </c>
      <c r="AK35">
        <v>5.7569999999999997</v>
      </c>
    </row>
    <row r="36" spans="8:37" x14ac:dyDescent="0.3">
      <c r="H36" t="s">
        <v>60</v>
      </c>
      <c r="I36" s="1">
        <v>0.7272453703703704</v>
      </c>
      <c r="J36" s="1">
        <v>0.72725047453703706</v>
      </c>
      <c r="K36" s="1">
        <v>0.72733796296296294</v>
      </c>
      <c r="L36" s="1">
        <f t="shared" si="0"/>
        <v>5.1041666666584717E-6</v>
      </c>
      <c r="M36" s="1">
        <f t="shared" si="1"/>
        <v>8.748842592587458E-5</v>
      </c>
      <c r="N36" s="1" t="s">
        <v>32</v>
      </c>
      <c r="O36" s="5">
        <f t="shared" si="2"/>
        <v>440.99999999929196</v>
      </c>
      <c r="P36" s="4">
        <f t="shared" si="3"/>
        <v>7.5589999999955637</v>
      </c>
      <c r="AI36" t="s">
        <v>218</v>
      </c>
      <c r="AJ36" s="5">
        <v>129</v>
      </c>
      <c r="AK36">
        <v>5.5439999999999996</v>
      </c>
    </row>
    <row r="37" spans="8:37" x14ac:dyDescent="0.3">
      <c r="H37" t="s">
        <v>61</v>
      </c>
      <c r="I37" s="1">
        <v>0.7272453703703704</v>
      </c>
      <c r="J37" s="1">
        <v>0.72725047453703706</v>
      </c>
      <c r="K37" s="1">
        <v>0.72731481481481486</v>
      </c>
      <c r="L37" s="1">
        <f t="shared" si="0"/>
        <v>5.1041666666584717E-6</v>
      </c>
      <c r="M37" s="1">
        <f t="shared" si="1"/>
        <v>6.4340277777796828E-5</v>
      </c>
      <c r="N37" s="1" t="s">
        <v>31</v>
      </c>
      <c r="O37" s="5">
        <f t="shared" si="2"/>
        <v>440.99999999929196</v>
      </c>
      <c r="P37" s="4">
        <f t="shared" si="3"/>
        <v>5.559000000001646</v>
      </c>
      <c r="AI37" t="s">
        <v>219</v>
      </c>
      <c r="AJ37" s="5">
        <v>258</v>
      </c>
      <c r="AK37">
        <v>5.5439999999999996</v>
      </c>
    </row>
    <row r="38" spans="8:37" x14ac:dyDescent="0.3">
      <c r="H38" t="s">
        <v>62</v>
      </c>
      <c r="I38" s="1">
        <v>0.7272453703703704</v>
      </c>
      <c r="J38" s="1">
        <v>0.72725215277777788</v>
      </c>
      <c r="K38" s="1">
        <v>0.72730324074074071</v>
      </c>
      <c r="L38" s="1">
        <f t="shared" si="0"/>
        <v>6.7824074074795959E-6</v>
      </c>
      <c r="M38" s="1">
        <f t="shared" si="1"/>
        <v>5.1087962962825806E-5</v>
      </c>
      <c r="N38" s="1" t="s">
        <v>32</v>
      </c>
      <c r="O38" s="5">
        <f t="shared" si="2"/>
        <v>586.00000000623709</v>
      </c>
      <c r="P38" s="4">
        <f t="shared" si="3"/>
        <v>4.4139999999881496</v>
      </c>
      <c r="AI38" t="s">
        <v>220</v>
      </c>
      <c r="AJ38" s="5">
        <v>983</v>
      </c>
      <c r="AK38">
        <v>2.4470000000000001</v>
      </c>
    </row>
    <row r="39" spans="8:37" x14ac:dyDescent="0.3">
      <c r="H39" t="s">
        <v>63</v>
      </c>
      <c r="I39" s="1">
        <v>0.7272453703703704</v>
      </c>
      <c r="J39" s="1">
        <v>0.7272520023148149</v>
      </c>
      <c r="K39" s="1">
        <v>0.72730324074074071</v>
      </c>
      <c r="L39" s="1">
        <f t="shared" si="0"/>
        <v>6.6319444445017695E-6</v>
      </c>
      <c r="M39" s="1">
        <f t="shared" si="1"/>
        <v>5.1238425925803632E-5</v>
      </c>
      <c r="N39" s="1" t="s">
        <v>32</v>
      </c>
      <c r="O39" s="5">
        <f t="shared" si="2"/>
        <v>573.00000000495288</v>
      </c>
      <c r="P39" s="4">
        <f t="shared" si="3"/>
        <v>4.4269999999894338</v>
      </c>
      <c r="AI39" t="s">
        <v>221</v>
      </c>
      <c r="AJ39" s="5">
        <v>839</v>
      </c>
      <c r="AK39">
        <v>10.733000000000001</v>
      </c>
    </row>
    <row r="40" spans="8:37" x14ac:dyDescent="0.3">
      <c r="H40" t="s">
        <v>64</v>
      </c>
      <c r="I40" s="1">
        <v>0.7272453703703704</v>
      </c>
      <c r="J40" s="1">
        <v>0.72725660879629628</v>
      </c>
      <c r="K40" s="1">
        <v>0.72730324074074071</v>
      </c>
      <c r="L40" s="1">
        <f t="shared" si="0"/>
        <v>1.1238425925874651E-5</v>
      </c>
      <c r="M40" s="1">
        <f t="shared" si="1"/>
        <v>4.6631944444430751E-5</v>
      </c>
      <c r="N40" s="1" t="s">
        <v>32</v>
      </c>
      <c r="O40" s="5">
        <f t="shared" si="2"/>
        <v>970.99999999556985</v>
      </c>
      <c r="P40" s="4">
        <f t="shared" si="3"/>
        <v>4.0289999999988169</v>
      </c>
      <c r="AI40" t="s">
        <v>222</v>
      </c>
      <c r="AJ40" s="5">
        <v>170</v>
      </c>
      <c r="AK40">
        <v>6.2309999999999999</v>
      </c>
    </row>
    <row r="41" spans="8:37" x14ac:dyDescent="0.3">
      <c r="H41" t="s">
        <v>65</v>
      </c>
      <c r="I41" s="1">
        <v>0.7272453703703704</v>
      </c>
      <c r="J41" s="1">
        <v>0.72725680555555561</v>
      </c>
      <c r="K41" s="1">
        <v>0.7273263888888889</v>
      </c>
      <c r="L41" s="1">
        <f t="shared" si="0"/>
        <v>1.1435185185204588E-5</v>
      </c>
      <c r="M41" s="1">
        <f t="shared" si="1"/>
        <v>6.9583333333289588E-5</v>
      </c>
      <c r="N41" s="1" t="s">
        <v>32</v>
      </c>
      <c r="O41" s="5">
        <f t="shared" si="2"/>
        <v>988.00000000167643</v>
      </c>
      <c r="P41" s="4">
        <f t="shared" si="3"/>
        <v>6.0119999999962204</v>
      </c>
      <c r="AI41" t="s">
        <v>223</v>
      </c>
      <c r="AJ41" s="5">
        <v>231</v>
      </c>
      <c r="AK41">
        <v>3.0459999999999998</v>
      </c>
    </row>
    <row r="42" spans="8:37" x14ac:dyDescent="0.3">
      <c r="H42" t="s">
        <v>66</v>
      </c>
      <c r="I42" s="1">
        <v>0.7272453703703704</v>
      </c>
      <c r="J42" s="1">
        <v>0.72725490740740739</v>
      </c>
      <c r="K42" s="1">
        <v>0.72731481481481486</v>
      </c>
      <c r="L42" s="1">
        <f t="shared" si="0"/>
        <v>9.5370370369884938E-6</v>
      </c>
      <c r="M42" s="1">
        <f t="shared" si="1"/>
        <v>5.9907407407466806E-5</v>
      </c>
      <c r="N42" s="1" t="s">
        <v>31</v>
      </c>
      <c r="O42" s="5">
        <f t="shared" si="2"/>
        <v>823.99999999580587</v>
      </c>
      <c r="P42" s="4">
        <f t="shared" si="3"/>
        <v>5.1760000000051321</v>
      </c>
      <c r="AI42" t="s">
        <v>224</v>
      </c>
      <c r="AJ42" s="5">
        <v>195</v>
      </c>
      <c r="AK42">
        <v>3.4989999999999899</v>
      </c>
    </row>
    <row r="43" spans="8:37" x14ac:dyDescent="0.3">
      <c r="H43" t="s">
        <v>67</v>
      </c>
      <c r="I43" s="1">
        <v>0.7272453703703704</v>
      </c>
      <c r="J43" s="1">
        <v>0.7272520023148149</v>
      </c>
      <c r="K43" s="1">
        <v>0.72758101851851853</v>
      </c>
      <c r="L43" s="1">
        <f t="shared" si="0"/>
        <v>6.6319444445017695E-6</v>
      </c>
      <c r="M43" s="1">
        <f t="shared" si="1"/>
        <v>3.2901620370362483E-4</v>
      </c>
      <c r="N43" s="1" t="s">
        <v>31</v>
      </c>
      <c r="O43" s="5">
        <f t="shared" si="2"/>
        <v>573.00000000495288</v>
      </c>
      <c r="P43" s="4">
        <f t="shared" si="3"/>
        <v>28.426999999993185</v>
      </c>
      <c r="AI43" t="s">
        <v>225</v>
      </c>
      <c r="AJ43" s="5">
        <v>130</v>
      </c>
      <c r="AK43">
        <v>3.6699999999999902</v>
      </c>
    </row>
    <row r="44" spans="8:37" x14ac:dyDescent="0.3">
      <c r="H44" t="s">
        <v>68</v>
      </c>
      <c r="I44" s="1">
        <v>0.7272453703703704</v>
      </c>
      <c r="J44" s="1">
        <v>0.72725219907407412</v>
      </c>
      <c r="K44" s="1">
        <v>0.7273842592592592</v>
      </c>
      <c r="L44" s="1">
        <f t="shared" si="0"/>
        <v>6.8287037037206844E-6</v>
      </c>
      <c r="M44" s="1">
        <f t="shared" si="1"/>
        <v>1.3206018518507889E-4</v>
      </c>
      <c r="N44" s="1" t="s">
        <v>32</v>
      </c>
      <c r="O44" s="5">
        <f t="shared" si="2"/>
        <v>590.00000000146713</v>
      </c>
      <c r="P44" s="4">
        <f t="shared" si="3"/>
        <v>11.409999999990816</v>
      </c>
      <c r="AI44" t="s">
        <v>226</v>
      </c>
      <c r="AJ44" s="5">
        <v>385</v>
      </c>
      <c r="AK44">
        <v>11.066000000000001</v>
      </c>
    </row>
    <row r="45" spans="8:37" x14ac:dyDescent="0.3">
      <c r="H45" t="s">
        <v>69</v>
      </c>
      <c r="I45" s="1">
        <v>0.7272453703703704</v>
      </c>
      <c r="J45" s="1">
        <v>0.72725793981481479</v>
      </c>
      <c r="K45" s="1">
        <v>0.72733796296296294</v>
      </c>
      <c r="L45" s="1">
        <f t="shared" si="0"/>
        <v>1.2569444444388012E-5</v>
      </c>
      <c r="M45" s="1">
        <f t="shared" si="1"/>
        <v>8.002314814814504E-5</v>
      </c>
      <c r="N45" s="1" t="s">
        <v>32</v>
      </c>
      <c r="O45" s="5">
        <f t="shared" si="2"/>
        <v>1085.9999999951242</v>
      </c>
      <c r="P45" s="4">
        <f t="shared" si="3"/>
        <v>6.9139999999997315</v>
      </c>
      <c r="AI45" t="s">
        <v>227</v>
      </c>
      <c r="AJ45" s="5">
        <v>983</v>
      </c>
      <c r="AK45">
        <v>4.702</v>
      </c>
    </row>
    <row r="46" spans="8:37" x14ac:dyDescent="0.3">
      <c r="H46" t="s">
        <v>70</v>
      </c>
      <c r="I46" s="1">
        <v>0.7272453703703704</v>
      </c>
      <c r="J46" s="1">
        <v>0.72725805555555556</v>
      </c>
      <c r="K46" s="1">
        <v>0.72736111111111112</v>
      </c>
      <c r="L46" s="1">
        <f t="shared" si="0"/>
        <v>1.2685185185157266E-5</v>
      </c>
      <c r="M46" s="1">
        <f t="shared" si="1"/>
        <v>1.0305555555556456E-4</v>
      </c>
      <c r="N46" s="1" t="s">
        <v>32</v>
      </c>
      <c r="O46" s="5">
        <f t="shared" si="2"/>
        <v>1095.9999999975878</v>
      </c>
      <c r="P46" s="4">
        <f t="shared" si="3"/>
        <v>8.904000000000778</v>
      </c>
      <c r="AI46" t="s">
        <v>228</v>
      </c>
      <c r="AJ46" s="5">
        <v>12</v>
      </c>
      <c r="AK46">
        <v>4.8889999999999896</v>
      </c>
    </row>
    <row r="47" spans="8:37" x14ac:dyDescent="0.3">
      <c r="H47" t="s">
        <v>71</v>
      </c>
      <c r="I47" s="1">
        <v>0.7272453703703704</v>
      </c>
      <c r="J47" s="1">
        <v>0.7272580671296297</v>
      </c>
      <c r="K47" s="1">
        <v>0.72737268518518527</v>
      </c>
      <c r="L47" s="1">
        <f t="shared" si="0"/>
        <v>1.2696759259300805E-5</v>
      </c>
      <c r="M47" s="1">
        <f t="shared" si="1"/>
        <v>1.1461805555557092E-4</v>
      </c>
      <c r="N47" s="1" t="s">
        <v>31</v>
      </c>
      <c r="O47" s="5">
        <f t="shared" si="2"/>
        <v>1097.0000000035895</v>
      </c>
      <c r="P47" s="4">
        <f t="shared" si="3"/>
        <v>9.9030000000013274</v>
      </c>
      <c r="AI47" t="s">
        <v>229</v>
      </c>
      <c r="AJ47" s="5">
        <v>931</v>
      </c>
      <c r="AK47">
        <v>8.7639999999999993</v>
      </c>
    </row>
    <row r="48" spans="8:37" x14ac:dyDescent="0.3">
      <c r="H48" t="s">
        <v>72</v>
      </c>
      <c r="I48" s="1">
        <v>0.7272453703703704</v>
      </c>
      <c r="J48" s="1">
        <v>0.7272580671296297</v>
      </c>
      <c r="K48" s="1">
        <v>0.7273842592592592</v>
      </c>
      <c r="L48" s="1">
        <f t="shared" si="0"/>
        <v>1.2696759259300805E-5</v>
      </c>
      <c r="M48" s="1">
        <f t="shared" si="1"/>
        <v>1.2619212962949877E-4</v>
      </c>
      <c r="N48" s="1" t="s">
        <v>31</v>
      </c>
      <c r="O48" s="5">
        <f t="shared" si="2"/>
        <v>1097.0000000035895</v>
      </c>
      <c r="P48" s="4">
        <f t="shared" si="3"/>
        <v>10.902999999988694</v>
      </c>
      <c r="AI48" t="s">
        <v>230</v>
      </c>
      <c r="AJ48" s="5">
        <v>400</v>
      </c>
      <c r="AK48">
        <v>1.7549999999999999</v>
      </c>
    </row>
    <row r="49" spans="8:37" x14ac:dyDescent="0.3">
      <c r="H49" t="s">
        <v>73</v>
      </c>
      <c r="I49" s="1">
        <v>0.72725694444444444</v>
      </c>
      <c r="J49" s="1">
        <v>0.7272582291666666</v>
      </c>
      <c r="K49" s="1">
        <v>0.72736111111111112</v>
      </c>
      <c r="L49" s="1">
        <f t="shared" si="0"/>
        <v>1.2847222221612498E-6</v>
      </c>
      <c r="M49" s="1">
        <f t="shared" si="1"/>
        <v>1.028819444445217E-4</v>
      </c>
      <c r="N49" s="1" t="s">
        <v>32</v>
      </c>
      <c r="O49" s="5">
        <f t="shared" si="2"/>
        <v>110.99999999473198</v>
      </c>
      <c r="P49" s="4">
        <f t="shared" si="3"/>
        <v>8.8890000000066749</v>
      </c>
      <c r="AI49" t="s">
        <v>231</v>
      </c>
      <c r="AJ49" s="5">
        <v>984</v>
      </c>
      <c r="AK49">
        <v>6.5229999999999997</v>
      </c>
    </row>
    <row r="50" spans="8:37" x14ac:dyDescent="0.3">
      <c r="H50" t="s">
        <v>74</v>
      </c>
      <c r="I50" s="1">
        <v>0.72725694444444444</v>
      </c>
      <c r="J50" s="1">
        <v>0.72725827546296296</v>
      </c>
      <c r="K50" s="1">
        <v>0.72733796296296294</v>
      </c>
      <c r="L50" s="1">
        <f t="shared" si="0"/>
        <v>1.3310185185133605E-6</v>
      </c>
      <c r="M50" s="1">
        <f t="shared" si="1"/>
        <v>7.9687499999980815E-5</v>
      </c>
      <c r="N50" s="1" t="s">
        <v>32</v>
      </c>
      <c r="O50" s="5">
        <f t="shared" si="2"/>
        <v>114.99999999955435</v>
      </c>
      <c r="P50" s="4">
        <f t="shared" si="3"/>
        <v>6.8849999999983424</v>
      </c>
      <c r="T50" t="s">
        <v>181</v>
      </c>
      <c r="AI50" t="s">
        <v>232</v>
      </c>
      <c r="AJ50" s="5">
        <v>194</v>
      </c>
      <c r="AK50">
        <v>2.95399999999999</v>
      </c>
    </row>
    <row r="51" spans="8:37" x14ac:dyDescent="0.3">
      <c r="H51" t="s">
        <v>75</v>
      </c>
      <c r="I51" s="1">
        <v>0.72725694444444444</v>
      </c>
      <c r="J51" s="1">
        <v>0.72725827546296296</v>
      </c>
      <c r="K51" s="1">
        <v>0.72731481481481486</v>
      </c>
      <c r="L51" s="1">
        <f t="shared" si="0"/>
        <v>1.3310185185133605E-6</v>
      </c>
      <c r="M51" s="1">
        <f t="shared" si="1"/>
        <v>5.6539351851903064E-5</v>
      </c>
      <c r="N51" s="1" t="s">
        <v>32</v>
      </c>
      <c r="O51" s="5">
        <f t="shared" si="2"/>
        <v>114.99999999955435</v>
      </c>
      <c r="P51" s="4">
        <f t="shared" si="3"/>
        <v>4.8850000000044247</v>
      </c>
      <c r="AI51" t="s">
        <v>233</v>
      </c>
      <c r="AJ51" s="5">
        <v>431</v>
      </c>
      <c r="AK51">
        <v>0.54300000000000004</v>
      </c>
    </row>
    <row r="52" spans="8:37" x14ac:dyDescent="0.3">
      <c r="H52" t="s">
        <v>76</v>
      </c>
      <c r="I52" s="1">
        <v>0.72725694444444444</v>
      </c>
      <c r="J52" s="1">
        <v>0.72725918981481474</v>
      </c>
      <c r="K52" s="1">
        <v>0.72736111111111112</v>
      </c>
      <c r="L52" s="1">
        <f t="shared" si="0"/>
        <v>2.2453703703018135E-6</v>
      </c>
      <c r="M52" s="1">
        <f t="shared" si="1"/>
        <v>1.0192129629638114E-4</v>
      </c>
      <c r="N52" s="1" t="s">
        <v>31</v>
      </c>
      <c r="O52" s="5">
        <f t="shared" si="2"/>
        <v>193.99999999407669</v>
      </c>
      <c r="P52" s="4">
        <f t="shared" si="3"/>
        <v>8.8060000000073302</v>
      </c>
      <c r="AI52" t="s">
        <v>184</v>
      </c>
      <c r="AJ52" s="5">
        <v>806</v>
      </c>
      <c r="AK52">
        <v>1.298</v>
      </c>
    </row>
    <row r="53" spans="8:37" x14ac:dyDescent="0.3">
      <c r="H53" t="s">
        <v>77</v>
      </c>
      <c r="I53" s="1">
        <v>0.72725694444444444</v>
      </c>
      <c r="J53" s="1">
        <v>0.72726197916666668</v>
      </c>
      <c r="K53" s="1">
        <v>0.72736111111111112</v>
      </c>
      <c r="L53" s="1">
        <f t="shared" si="0"/>
        <v>5.0347222222413279E-6</v>
      </c>
      <c r="M53" s="1">
        <f t="shared" si="1"/>
        <v>9.9131944444441622E-5</v>
      </c>
      <c r="N53" s="1" t="s">
        <v>31</v>
      </c>
      <c r="O53" s="5">
        <f t="shared" si="2"/>
        <v>435.00000000165073</v>
      </c>
      <c r="P53" s="4">
        <f t="shared" si="3"/>
        <v>8.5649999999997561</v>
      </c>
      <c r="AI53" t="s">
        <v>185</v>
      </c>
      <c r="AJ53" s="5">
        <v>121</v>
      </c>
      <c r="AK53">
        <v>7.5220000000000002</v>
      </c>
    </row>
    <row r="54" spans="8:37" x14ac:dyDescent="0.3">
      <c r="H54" t="s">
        <v>78</v>
      </c>
      <c r="I54" s="1">
        <v>0.72725694444444444</v>
      </c>
      <c r="J54" s="1">
        <v>0.72725935185185187</v>
      </c>
      <c r="K54" s="1">
        <v>0.72736111111111112</v>
      </c>
      <c r="L54" s="1">
        <f t="shared" si="0"/>
        <v>2.4074074074231788E-6</v>
      </c>
      <c r="M54" s="1">
        <f t="shared" si="1"/>
        <v>1.0175925925925977E-4</v>
      </c>
      <c r="N54" s="1" t="s">
        <v>31</v>
      </c>
      <c r="O54" s="5">
        <f t="shared" si="2"/>
        <v>208.00000000136265</v>
      </c>
      <c r="P54" s="4">
        <f t="shared" si="3"/>
        <v>8.7920000000000442</v>
      </c>
      <c r="AI54" t="s">
        <v>186</v>
      </c>
      <c r="AJ54" s="5">
        <v>87</v>
      </c>
      <c r="AK54">
        <v>9.5449999999999999</v>
      </c>
    </row>
    <row r="55" spans="8:37" x14ac:dyDescent="0.3">
      <c r="H55" t="s">
        <v>79</v>
      </c>
      <c r="I55" s="1">
        <v>0.72725694444444444</v>
      </c>
      <c r="J55" s="1">
        <v>0.72726105324074075</v>
      </c>
      <c r="K55" s="1">
        <v>0.72733796296296294</v>
      </c>
      <c r="L55" s="1">
        <f t="shared" si="0"/>
        <v>4.1087962963093361E-6</v>
      </c>
      <c r="M55" s="1">
        <f t="shared" si="1"/>
        <v>7.690972222218484E-5</v>
      </c>
      <c r="N55" t="s">
        <v>32</v>
      </c>
      <c r="O55" s="5">
        <f t="shared" si="2"/>
        <v>355.00000000112664</v>
      </c>
      <c r="P55" s="4">
        <f t="shared" si="3"/>
        <v>6.6449999999967702</v>
      </c>
      <c r="AI55" t="s">
        <v>187</v>
      </c>
      <c r="AJ55" s="5">
        <v>990</v>
      </c>
      <c r="AK55">
        <v>10.552</v>
      </c>
    </row>
    <row r="56" spans="8:37" x14ac:dyDescent="0.3">
      <c r="H56" t="s">
        <v>80</v>
      </c>
      <c r="I56" s="1">
        <v>0.72725694444444444</v>
      </c>
      <c r="J56" s="1">
        <v>0.7272594907407407</v>
      </c>
      <c r="K56" s="1">
        <v>0.72730324074074071</v>
      </c>
      <c r="L56" s="1">
        <f t="shared" si="0"/>
        <v>2.5462962962574665E-6</v>
      </c>
      <c r="M56" s="1">
        <f t="shared" si="1"/>
        <v>4.3750000000009059E-5</v>
      </c>
      <c r="N56" t="s">
        <v>32</v>
      </c>
      <c r="O56" s="5">
        <f t="shared" si="2"/>
        <v>219.9999999966451</v>
      </c>
      <c r="P56" s="4">
        <f t="shared" si="3"/>
        <v>3.7800000000007827</v>
      </c>
      <c r="AI56" t="s">
        <v>188</v>
      </c>
      <c r="AJ56" s="5">
        <v>122</v>
      </c>
      <c r="AK56">
        <v>2.6549999999999998</v>
      </c>
    </row>
    <row r="57" spans="8:37" x14ac:dyDescent="0.3">
      <c r="H57" t="s">
        <v>81</v>
      </c>
      <c r="I57" s="1">
        <v>0.72725694444444444</v>
      </c>
      <c r="J57" s="1">
        <v>0.72726221064814822</v>
      </c>
      <c r="K57" s="1">
        <v>0.72736111111111112</v>
      </c>
      <c r="L57" s="1">
        <f t="shared" si="0"/>
        <v>5.266203703779837E-6</v>
      </c>
      <c r="M57" s="1">
        <f t="shared" si="1"/>
        <v>9.8900462962903113E-5</v>
      </c>
      <c r="N57" t="s">
        <v>32</v>
      </c>
      <c r="O57" s="5">
        <f t="shared" si="2"/>
        <v>455.00000000657792</v>
      </c>
      <c r="P57" s="4">
        <f t="shared" si="3"/>
        <v>8.544999999994829</v>
      </c>
      <c r="AI57" t="s">
        <v>189</v>
      </c>
      <c r="AJ57" s="5">
        <v>932</v>
      </c>
      <c r="AK57">
        <v>6.7549999999999999</v>
      </c>
    </row>
    <row r="58" spans="8:37" x14ac:dyDescent="0.3">
      <c r="H58" t="s">
        <v>82</v>
      </c>
      <c r="I58" s="1">
        <v>0.72725694444444444</v>
      </c>
      <c r="J58" s="1">
        <v>0.72726285879629626</v>
      </c>
      <c r="K58" s="1">
        <v>0.72737268518518527</v>
      </c>
      <c r="L58" s="1">
        <f t="shared" si="0"/>
        <v>5.914351851821209E-6</v>
      </c>
      <c r="M58" s="1">
        <f t="shared" si="1"/>
        <v>1.0982638888901164E-4</v>
      </c>
      <c r="N58" t="s">
        <v>31</v>
      </c>
      <c r="O58" s="5">
        <f t="shared" si="2"/>
        <v>510.99999999735246</v>
      </c>
      <c r="P58" s="4">
        <f t="shared" si="3"/>
        <v>9.4890000000106056</v>
      </c>
      <c r="AI58" t="s">
        <v>190</v>
      </c>
      <c r="AJ58" s="5">
        <v>963</v>
      </c>
      <c r="AK58">
        <v>3.0449999999999999</v>
      </c>
    </row>
    <row r="59" spans="8:37" x14ac:dyDescent="0.3">
      <c r="H59" t="s">
        <v>83</v>
      </c>
      <c r="I59" s="1">
        <v>0.72725694444444444</v>
      </c>
      <c r="J59" s="1">
        <v>0.72726377314814805</v>
      </c>
      <c r="K59" s="1">
        <v>0.72737268518518527</v>
      </c>
      <c r="L59" s="1">
        <f t="shared" si="0"/>
        <v>6.8287037036096621E-6</v>
      </c>
      <c r="M59" s="1">
        <f t="shared" si="1"/>
        <v>1.0891203703722319E-4</v>
      </c>
      <c r="N59" t="s">
        <v>31</v>
      </c>
      <c r="O59" s="5">
        <f t="shared" si="2"/>
        <v>589.9999999918748</v>
      </c>
      <c r="P59" s="4">
        <f t="shared" si="3"/>
        <v>9.4100000000160833</v>
      </c>
      <c r="AI59" t="s">
        <v>191</v>
      </c>
      <c r="AJ59" s="5">
        <v>346</v>
      </c>
      <c r="AK59">
        <v>1.3049999999999899</v>
      </c>
    </row>
    <row r="60" spans="8:37" x14ac:dyDescent="0.3">
      <c r="H60" t="s">
        <v>84</v>
      </c>
      <c r="I60" s="1">
        <v>0.72725694444444444</v>
      </c>
      <c r="J60" s="1">
        <v>0.72726402777777777</v>
      </c>
      <c r="K60" s="1">
        <v>0.7273263888888889</v>
      </c>
      <c r="L60" s="1">
        <f t="shared" si="0"/>
        <v>7.0833333333242265E-6</v>
      </c>
      <c r="M60" s="1">
        <f t="shared" si="1"/>
        <v>6.2361111111131073E-5</v>
      </c>
      <c r="N60" t="s">
        <v>32</v>
      </c>
      <c r="O60" s="5">
        <f t="shared" si="2"/>
        <v>611.99999999921317</v>
      </c>
      <c r="P60" s="4">
        <f t="shared" si="3"/>
        <v>5.3880000000017247</v>
      </c>
      <c r="AI60" t="s">
        <v>192</v>
      </c>
      <c r="AJ60" s="5">
        <v>194</v>
      </c>
      <c r="AK60">
        <v>11.361000000000001</v>
      </c>
    </row>
    <row r="61" spans="8:37" x14ac:dyDescent="0.3">
      <c r="H61" t="s">
        <v>85</v>
      </c>
      <c r="I61" s="1">
        <v>0.72725694444444444</v>
      </c>
      <c r="J61" s="1">
        <v>0.72726170138888879</v>
      </c>
      <c r="K61" s="1">
        <v>0.7273263888888889</v>
      </c>
      <c r="L61" s="1">
        <f t="shared" si="0"/>
        <v>4.7569444443507081E-6</v>
      </c>
      <c r="M61" s="1">
        <f t="shared" si="1"/>
        <v>6.4687500000104592E-5</v>
      </c>
      <c r="N61" t="s">
        <v>32</v>
      </c>
      <c r="O61" s="5">
        <f t="shared" si="2"/>
        <v>410.99999999190118</v>
      </c>
      <c r="P61" s="4">
        <f t="shared" si="3"/>
        <v>5.5890000000090367</v>
      </c>
      <c r="AI61" t="s">
        <v>193</v>
      </c>
      <c r="AJ61" s="5">
        <v>231</v>
      </c>
      <c r="AK61">
        <v>10.762</v>
      </c>
    </row>
    <row r="62" spans="8:37" x14ac:dyDescent="0.3">
      <c r="H62" t="s">
        <v>86</v>
      </c>
      <c r="I62" s="1">
        <v>0.72725694444444444</v>
      </c>
      <c r="J62" s="1">
        <v>0.72726350694444442</v>
      </c>
      <c r="K62" s="1">
        <v>0.72737268518518527</v>
      </c>
      <c r="L62" s="1">
        <f t="shared" si="0"/>
        <v>6.5624999999736033E-6</v>
      </c>
      <c r="M62" s="1">
        <f t="shared" si="1"/>
        <v>1.0917824074085924E-4</v>
      </c>
      <c r="N62" t="s">
        <v>31</v>
      </c>
      <c r="O62" s="5">
        <f t="shared" si="2"/>
        <v>566.99999999771933</v>
      </c>
      <c r="P62" s="4">
        <f t="shared" si="3"/>
        <v>9.4330000000102388</v>
      </c>
      <c r="AI62" t="s">
        <v>194</v>
      </c>
      <c r="AJ62" s="5">
        <v>320</v>
      </c>
      <c r="AK62">
        <v>6.4859999999999998</v>
      </c>
    </row>
    <row r="63" spans="8:37" x14ac:dyDescent="0.3">
      <c r="H63" t="s">
        <v>87</v>
      </c>
      <c r="I63" s="1">
        <v>0.72725694444444444</v>
      </c>
      <c r="J63" s="1">
        <v>0.72726307870370377</v>
      </c>
      <c r="K63" s="1">
        <v>0.72736111111111112</v>
      </c>
      <c r="L63" s="1">
        <f t="shared" si="0"/>
        <v>6.1342592593272016E-6</v>
      </c>
      <c r="M63" s="1">
        <f t="shared" si="1"/>
        <v>9.8032407407355748E-5</v>
      </c>
      <c r="N63" t="s">
        <v>31</v>
      </c>
      <c r="O63" s="5">
        <f t="shared" si="2"/>
        <v>530.00000000587022</v>
      </c>
      <c r="P63" s="4">
        <f t="shared" si="3"/>
        <v>8.4699999999955367</v>
      </c>
      <c r="AI63" t="s">
        <v>195</v>
      </c>
      <c r="AJ63" s="5">
        <v>581</v>
      </c>
      <c r="AK63">
        <v>4.8140000000000001</v>
      </c>
    </row>
    <row r="64" spans="8:37" x14ac:dyDescent="0.3">
      <c r="H64" t="s">
        <v>88</v>
      </c>
      <c r="I64" s="1">
        <v>0.72725694444444444</v>
      </c>
      <c r="J64" s="1">
        <v>0.72726307870370377</v>
      </c>
      <c r="K64" s="1">
        <v>0.72734953703703698</v>
      </c>
      <c r="L64" s="1">
        <f t="shared" si="0"/>
        <v>6.1342592593272016E-6</v>
      </c>
      <c r="M64" s="1">
        <f t="shared" si="1"/>
        <v>8.645833333320585E-5</v>
      </c>
      <c r="N64" t="s">
        <v>31</v>
      </c>
      <c r="O64" s="5">
        <f t="shared" si="2"/>
        <v>530.00000000587022</v>
      </c>
      <c r="P64" s="4">
        <f t="shared" si="3"/>
        <v>7.4699999999889855</v>
      </c>
      <c r="T64" t="s">
        <v>182</v>
      </c>
      <c r="AI64" t="s">
        <v>196</v>
      </c>
      <c r="AJ64" s="5">
        <v>992</v>
      </c>
      <c r="AK64">
        <v>0.90300000000000002</v>
      </c>
    </row>
    <row r="65" spans="8:37" x14ac:dyDescent="0.3">
      <c r="H65" t="s">
        <v>89</v>
      </c>
      <c r="I65" s="1">
        <v>0.72729166666666656</v>
      </c>
      <c r="J65" s="1">
        <v>0.72730089120370367</v>
      </c>
      <c r="K65" s="1">
        <v>0.72739583333333335</v>
      </c>
      <c r="L65" s="1">
        <f t="shared" si="0"/>
        <v>9.2245370371113466E-6</v>
      </c>
      <c r="M65" s="1">
        <f t="shared" si="1"/>
        <v>9.4942129629682626E-5</v>
      </c>
      <c r="N65" t="s">
        <v>32</v>
      </c>
      <c r="O65" s="5">
        <f t="shared" si="2"/>
        <v>797.00000000642035</v>
      </c>
      <c r="P65" s="4">
        <f t="shared" si="3"/>
        <v>8.2030000000045789</v>
      </c>
      <c r="AI65" t="s">
        <v>197</v>
      </c>
      <c r="AJ65" s="5">
        <v>943</v>
      </c>
      <c r="AK65">
        <v>9.6869999999999994</v>
      </c>
    </row>
    <row r="66" spans="8:37" x14ac:dyDescent="0.3">
      <c r="H66" t="s">
        <v>90</v>
      </c>
      <c r="I66" s="1">
        <v>0.72729166666666656</v>
      </c>
      <c r="J66" s="1">
        <v>0.72730164351851856</v>
      </c>
      <c r="K66" s="1">
        <v>0.7273842592592592</v>
      </c>
      <c r="L66" s="1">
        <f t="shared" si="0"/>
        <v>9.976851852000479E-6</v>
      </c>
      <c r="M66" s="1">
        <f t="shared" si="1"/>
        <v>8.2615740740643595E-5</v>
      </c>
      <c r="N66" t="s">
        <v>32</v>
      </c>
      <c r="O66" s="5">
        <f t="shared" si="2"/>
        <v>862.00000001284138</v>
      </c>
      <c r="P66" s="4">
        <f t="shared" si="3"/>
        <v>7.1379999999916066</v>
      </c>
      <c r="AI66" t="s">
        <v>198</v>
      </c>
      <c r="AJ66" s="5">
        <v>120</v>
      </c>
      <c r="AK66">
        <v>3.7629999999999999</v>
      </c>
    </row>
    <row r="67" spans="8:37" x14ac:dyDescent="0.3">
      <c r="H67" t="s">
        <v>91</v>
      </c>
      <c r="I67" s="1">
        <v>0.72729166666666656</v>
      </c>
      <c r="J67" s="1">
        <v>0.7273018750000001</v>
      </c>
      <c r="K67" s="1">
        <v>0.72740740740740739</v>
      </c>
      <c r="L67" s="1">
        <f t="shared" ref="L67:M130" si="4">J67-I67</f>
        <v>1.0208333333538988E-5</v>
      </c>
      <c r="M67" s="1">
        <f t="shared" si="4"/>
        <v>1.0553240740729386E-4</v>
      </c>
      <c r="N67" t="s">
        <v>32</v>
      </c>
      <c r="O67" s="5">
        <f t="shared" ref="O67:O130" si="5">L67*86400000</f>
        <v>882.00000001776857</v>
      </c>
      <c r="P67" s="4">
        <f t="shared" ref="P67:P130" si="6">M67*86400</f>
        <v>9.1179999999901895</v>
      </c>
      <c r="AI67" t="s">
        <v>199</v>
      </c>
      <c r="AJ67" s="5">
        <v>838</v>
      </c>
      <c r="AK67">
        <v>0.69099999999999895</v>
      </c>
    </row>
    <row r="68" spans="8:37" x14ac:dyDescent="0.3">
      <c r="H68" t="s">
        <v>92</v>
      </c>
      <c r="I68" s="1">
        <v>0.72729166666666656</v>
      </c>
      <c r="J68" s="1">
        <v>0.72730332175925927</v>
      </c>
      <c r="K68" s="1">
        <v>0.72736111111111112</v>
      </c>
      <c r="L68" s="1">
        <f t="shared" si="4"/>
        <v>1.1655092592710581E-5</v>
      </c>
      <c r="M68" s="1">
        <f t="shared" si="4"/>
        <v>5.7789351851855741E-5</v>
      </c>
      <c r="N68" t="s">
        <v>32</v>
      </c>
      <c r="O68" s="5">
        <f t="shared" si="5"/>
        <v>1007.0000000101942</v>
      </c>
      <c r="P68" s="4">
        <f t="shared" si="6"/>
        <v>4.9930000000003361</v>
      </c>
      <c r="AI68" t="s">
        <v>200</v>
      </c>
      <c r="AJ68" s="5">
        <v>23</v>
      </c>
      <c r="AK68">
        <v>5.54</v>
      </c>
    </row>
    <row r="69" spans="8:37" x14ac:dyDescent="0.3">
      <c r="H69" t="s">
        <v>93</v>
      </c>
      <c r="I69" s="1">
        <v>0.72729166666666656</v>
      </c>
      <c r="J69" s="1">
        <v>0.7273033333333333</v>
      </c>
      <c r="K69" s="1">
        <v>0.72739583333333335</v>
      </c>
      <c r="L69" s="1">
        <f t="shared" si="4"/>
        <v>1.1666666666743097E-5</v>
      </c>
      <c r="M69" s="1">
        <f t="shared" si="4"/>
        <v>9.2500000000050875E-5</v>
      </c>
      <c r="N69" t="s">
        <v>31</v>
      </c>
      <c r="O69" s="5">
        <f t="shared" si="5"/>
        <v>1008.0000000066036</v>
      </c>
      <c r="P69" s="4">
        <f t="shared" si="6"/>
        <v>7.9920000000043956</v>
      </c>
      <c r="AI69" t="s">
        <v>201</v>
      </c>
      <c r="AJ69" s="5">
        <v>199</v>
      </c>
      <c r="AK69">
        <v>5.343</v>
      </c>
    </row>
    <row r="70" spans="8:37" x14ac:dyDescent="0.3">
      <c r="H70" s="3" t="s">
        <v>94</v>
      </c>
      <c r="I70" s="1">
        <v>0.72729166666666656</v>
      </c>
      <c r="J70" s="1">
        <v>0.7273028587962963</v>
      </c>
      <c r="K70" s="1">
        <v>0.72734953703703698</v>
      </c>
      <c r="L70" s="1">
        <f t="shared" si="4"/>
        <v>1.1192129629744585E-5</v>
      </c>
      <c r="M70" s="1">
        <f t="shared" si="4"/>
        <v>4.6678240740671839E-5</v>
      </c>
      <c r="N70" t="s">
        <v>31</v>
      </c>
      <c r="O70" s="5">
        <f t="shared" si="5"/>
        <v>967.00000000993214</v>
      </c>
      <c r="P70" s="4">
        <f t="shared" si="6"/>
        <v>4.0329999999940469</v>
      </c>
      <c r="AI70" t="s">
        <v>202</v>
      </c>
      <c r="AJ70" s="5">
        <v>297</v>
      </c>
      <c r="AK70">
        <v>5.0469999999999997</v>
      </c>
    </row>
    <row r="71" spans="8:37" x14ac:dyDescent="0.3">
      <c r="H71" t="s">
        <v>95</v>
      </c>
      <c r="I71" s="1">
        <v>0.72729166666666656</v>
      </c>
      <c r="J71" s="1">
        <v>0.72730332175925927</v>
      </c>
      <c r="K71" s="1">
        <v>0.7273842592592592</v>
      </c>
      <c r="L71" s="1">
        <f t="shared" si="4"/>
        <v>1.1655092592710581E-5</v>
      </c>
      <c r="M71" s="1">
        <f t="shared" si="4"/>
        <v>8.0937499999933493E-5</v>
      </c>
      <c r="N71" t="s">
        <v>32</v>
      </c>
      <c r="O71" s="5">
        <f t="shared" si="5"/>
        <v>1007.0000000101942</v>
      </c>
      <c r="P71" s="4">
        <f t="shared" si="6"/>
        <v>6.9929999999942538</v>
      </c>
      <c r="AI71" t="s">
        <v>203</v>
      </c>
      <c r="AJ71" s="5">
        <v>424</v>
      </c>
      <c r="AK71">
        <v>5.0449999999999902</v>
      </c>
    </row>
    <row r="72" spans="8:37" x14ac:dyDescent="0.3">
      <c r="H72" s="3" t="s">
        <v>96</v>
      </c>
      <c r="I72" s="1">
        <v>0.72729166666666656</v>
      </c>
      <c r="J72" s="1">
        <v>0.7273033333333333</v>
      </c>
      <c r="K72" s="1">
        <v>0.72740740740740739</v>
      </c>
      <c r="L72" s="1">
        <f t="shared" si="4"/>
        <v>1.1666666666743097E-5</v>
      </c>
      <c r="M72" s="1">
        <f t="shared" si="4"/>
        <v>1.0407407407408975E-4</v>
      </c>
      <c r="N72" t="s">
        <v>31</v>
      </c>
      <c r="O72" s="5">
        <f t="shared" si="5"/>
        <v>1008.0000000066036</v>
      </c>
      <c r="P72" s="4">
        <f t="shared" si="6"/>
        <v>8.9920000000013545</v>
      </c>
      <c r="AI72" t="s">
        <v>204</v>
      </c>
      <c r="AJ72" s="5">
        <v>931</v>
      </c>
      <c r="AK72">
        <v>1.0860000000000001</v>
      </c>
    </row>
    <row r="73" spans="8:37" x14ac:dyDescent="0.3">
      <c r="H73" t="s">
        <v>97</v>
      </c>
      <c r="I73" s="1">
        <v>0.72729166666666656</v>
      </c>
      <c r="J73" s="1">
        <v>0.72730164351851856</v>
      </c>
      <c r="K73" s="1">
        <v>0.72739583333333335</v>
      </c>
      <c r="L73" s="1">
        <f t="shared" si="4"/>
        <v>9.976851852000479E-6</v>
      </c>
      <c r="M73" s="1">
        <f t="shared" si="4"/>
        <v>9.4189814814793493E-5</v>
      </c>
      <c r="N73" t="s">
        <v>31</v>
      </c>
      <c r="O73" s="5">
        <f t="shared" si="5"/>
        <v>862.00000001284138</v>
      </c>
      <c r="P73" s="4">
        <f t="shared" si="6"/>
        <v>8.1379999999981578</v>
      </c>
      <c r="AI73" t="s">
        <v>205</v>
      </c>
      <c r="AJ73" s="5">
        <v>1073</v>
      </c>
      <c r="AK73">
        <v>3.4689999999999999</v>
      </c>
    </row>
    <row r="74" spans="8:37" x14ac:dyDescent="0.3">
      <c r="H74" t="s">
        <v>98</v>
      </c>
      <c r="I74" s="1">
        <v>0.72729166666666656</v>
      </c>
      <c r="J74" s="1">
        <v>0.7273016550925927</v>
      </c>
      <c r="K74" s="1">
        <v>0.72740740740740739</v>
      </c>
      <c r="L74" s="1">
        <f t="shared" si="4"/>
        <v>9.9884259261440178E-6</v>
      </c>
      <c r="M74" s="1">
        <f t="shared" si="4"/>
        <v>1.0575231481468883E-4</v>
      </c>
      <c r="N74" t="s">
        <v>31</v>
      </c>
      <c r="O74" s="5">
        <f t="shared" si="5"/>
        <v>863.00000001884314</v>
      </c>
      <c r="P74" s="4">
        <f t="shared" si="6"/>
        <v>9.1369999999891149</v>
      </c>
      <c r="AI74" t="s">
        <v>206</v>
      </c>
      <c r="AJ74" s="5">
        <v>839</v>
      </c>
      <c r="AK74">
        <v>5.0469999999999997</v>
      </c>
    </row>
    <row r="75" spans="8:37" x14ac:dyDescent="0.3">
      <c r="H75" t="s">
        <v>99</v>
      </c>
      <c r="I75" s="1">
        <v>0.72729166666666656</v>
      </c>
      <c r="J75" s="1">
        <v>0.7273016550925927</v>
      </c>
      <c r="K75" s="1">
        <v>0.7273842592592592</v>
      </c>
      <c r="L75" s="1">
        <f t="shared" si="4"/>
        <v>9.9884259261440178E-6</v>
      </c>
      <c r="M75" s="1">
        <f t="shared" si="4"/>
        <v>8.2604166666500056E-5</v>
      </c>
      <c r="N75" t="s">
        <v>32</v>
      </c>
      <c r="O75" s="5">
        <f t="shared" si="5"/>
        <v>863.00000001884314</v>
      </c>
      <c r="P75" s="4">
        <f t="shared" si="6"/>
        <v>7.1369999999856049</v>
      </c>
      <c r="AI75" t="s">
        <v>207</v>
      </c>
      <c r="AJ75" s="5">
        <v>132</v>
      </c>
      <c r="AK75">
        <v>4.1129999999999898</v>
      </c>
    </row>
    <row r="76" spans="8:37" x14ac:dyDescent="0.3">
      <c r="H76" t="s">
        <v>100</v>
      </c>
      <c r="I76" s="1">
        <v>0.72729166666666656</v>
      </c>
      <c r="J76" s="1">
        <v>0.7273016550925927</v>
      </c>
      <c r="K76" s="1">
        <v>0.72740740740740739</v>
      </c>
      <c r="L76" s="1">
        <f t="shared" si="4"/>
        <v>9.9884259261440178E-6</v>
      </c>
      <c r="M76" s="1">
        <f t="shared" si="4"/>
        <v>1.0575231481468883E-4</v>
      </c>
      <c r="N76" t="s">
        <v>32</v>
      </c>
      <c r="O76" s="5">
        <f t="shared" si="5"/>
        <v>863.00000001884314</v>
      </c>
      <c r="P76" s="4">
        <f t="shared" si="6"/>
        <v>9.1369999999891149</v>
      </c>
      <c r="AI76" t="s">
        <v>208</v>
      </c>
      <c r="AJ76" s="5">
        <v>343</v>
      </c>
      <c r="AK76">
        <v>0.79499999999999904</v>
      </c>
    </row>
    <row r="77" spans="8:37" x14ac:dyDescent="0.3">
      <c r="H77" t="s">
        <v>101</v>
      </c>
      <c r="I77" s="1">
        <v>0.72729166666666656</v>
      </c>
      <c r="J77" s="1">
        <v>0.7273016550925927</v>
      </c>
      <c r="K77" s="1">
        <v>0.72737268518518527</v>
      </c>
      <c r="L77" s="1">
        <f t="shared" si="4"/>
        <v>9.9884259261440178E-6</v>
      </c>
      <c r="M77" s="1">
        <f t="shared" si="4"/>
        <v>7.1030092592572203E-5</v>
      </c>
      <c r="N77" t="s">
        <v>32</v>
      </c>
      <c r="O77" s="5">
        <f t="shared" si="5"/>
        <v>863.00000001884314</v>
      </c>
      <c r="P77" s="4">
        <f t="shared" si="6"/>
        <v>6.1369999999982383</v>
      </c>
      <c r="AI77" t="s">
        <v>209</v>
      </c>
      <c r="AJ77" s="5">
        <v>195</v>
      </c>
      <c r="AK77">
        <v>2.0449999999999902</v>
      </c>
    </row>
    <row r="78" spans="8:37" x14ac:dyDescent="0.3">
      <c r="H78" t="s">
        <v>102</v>
      </c>
      <c r="I78" s="1">
        <v>0.72729166666666656</v>
      </c>
      <c r="J78" s="1">
        <v>0.72730334490740745</v>
      </c>
      <c r="K78" s="1">
        <v>0.7273842592592592</v>
      </c>
      <c r="L78" s="1">
        <f t="shared" si="4"/>
        <v>1.1678240740886636E-5</v>
      </c>
      <c r="M78" s="1">
        <f t="shared" si="4"/>
        <v>8.0914351851757438E-5</v>
      </c>
      <c r="N78" t="s">
        <v>31</v>
      </c>
      <c r="O78" s="5">
        <f t="shared" si="5"/>
        <v>1009.0000000126054</v>
      </c>
      <c r="P78" s="4">
        <f t="shared" si="6"/>
        <v>6.9909999999918426</v>
      </c>
      <c r="AI78" t="s">
        <v>210</v>
      </c>
      <c r="AJ78" s="5">
        <v>1009</v>
      </c>
      <c r="AK78">
        <v>1.3239999999999901</v>
      </c>
    </row>
    <row r="79" spans="8:37" x14ac:dyDescent="0.3">
      <c r="H79" t="s">
        <v>103</v>
      </c>
      <c r="I79" s="1">
        <v>0.72729166666666656</v>
      </c>
      <c r="J79" s="1">
        <v>0.7273027314814815</v>
      </c>
      <c r="K79" s="1">
        <v>0.72734953703703698</v>
      </c>
      <c r="L79" s="1">
        <f t="shared" si="4"/>
        <v>1.1064814814942814E-5</v>
      </c>
      <c r="M79" s="1">
        <f t="shared" si="4"/>
        <v>4.680555555547361E-5</v>
      </c>
      <c r="N79" t="s">
        <v>32</v>
      </c>
      <c r="O79" s="5">
        <f t="shared" si="5"/>
        <v>956.00000001105911</v>
      </c>
      <c r="P79" s="4">
        <f t="shared" si="6"/>
        <v>4.0439999999929199</v>
      </c>
      <c r="T79" t="s">
        <v>183</v>
      </c>
      <c r="AI79" t="s">
        <v>211</v>
      </c>
      <c r="AJ79" s="5">
        <v>230</v>
      </c>
      <c r="AK79">
        <v>8.4849999999999994</v>
      </c>
    </row>
    <row r="80" spans="8:37" x14ac:dyDescent="0.3">
      <c r="H80" t="s">
        <v>104</v>
      </c>
      <c r="I80" s="1">
        <v>0.72729166666666656</v>
      </c>
      <c r="J80" s="1">
        <v>0.72730342592592601</v>
      </c>
      <c r="K80" s="1">
        <v>0.72740740740740739</v>
      </c>
      <c r="L80" s="1">
        <f t="shared" si="4"/>
        <v>1.1759259259447319E-5</v>
      </c>
      <c r="M80" s="1">
        <f t="shared" si="4"/>
        <v>1.0398148148138553E-4</v>
      </c>
      <c r="N80" t="s">
        <v>31</v>
      </c>
      <c r="O80" s="5">
        <f t="shared" si="5"/>
        <v>1016.0000000162484</v>
      </c>
      <c r="P80" s="4">
        <f t="shared" si="6"/>
        <v>8.9839999999917097</v>
      </c>
      <c r="AI80" t="s">
        <v>212</v>
      </c>
      <c r="AJ80" s="5">
        <v>566</v>
      </c>
      <c r="AK80">
        <v>2.7650000000000001</v>
      </c>
    </row>
    <row r="81" spans="8:37" x14ac:dyDescent="0.3">
      <c r="H81" t="s">
        <v>105</v>
      </c>
      <c r="I81" s="1">
        <v>0.72730324074074071</v>
      </c>
      <c r="J81" s="1">
        <v>0.72730503472222219</v>
      </c>
      <c r="K81" s="1">
        <v>0.72736111111111112</v>
      </c>
      <c r="L81" s="1">
        <f t="shared" si="4"/>
        <v>1.7939814814793564E-6</v>
      </c>
      <c r="M81" s="1">
        <f t="shared" si="4"/>
        <v>5.6076388888937068E-5</v>
      </c>
      <c r="N81" t="s">
        <v>32</v>
      </c>
      <c r="O81" s="5">
        <f t="shared" si="5"/>
        <v>154.9999999998164</v>
      </c>
      <c r="P81" s="4">
        <f t="shared" si="6"/>
        <v>4.8450000000041626</v>
      </c>
      <c r="AI81" t="s">
        <v>213</v>
      </c>
      <c r="AJ81" s="5">
        <v>123</v>
      </c>
      <c r="AK81">
        <v>6.8629999999999898</v>
      </c>
    </row>
    <row r="82" spans="8:37" x14ac:dyDescent="0.3">
      <c r="H82" t="s">
        <v>106</v>
      </c>
      <c r="I82" s="1">
        <v>0.72730324074074071</v>
      </c>
      <c r="J82" s="1">
        <v>0.72730495370370374</v>
      </c>
      <c r="K82" s="1">
        <v>0.72736111111111112</v>
      </c>
      <c r="L82" s="1">
        <f t="shared" si="4"/>
        <v>1.7129629630296961E-6</v>
      </c>
      <c r="M82" s="1">
        <f t="shared" si="4"/>
        <v>5.6157407407386728E-5</v>
      </c>
      <c r="N82" t="s">
        <v>31</v>
      </c>
      <c r="O82" s="5">
        <f t="shared" si="5"/>
        <v>148.00000000576574</v>
      </c>
      <c r="P82" s="4">
        <f t="shared" si="6"/>
        <v>4.8519999999982133</v>
      </c>
      <c r="AI82" t="s">
        <v>214</v>
      </c>
      <c r="AJ82" s="5">
        <v>91</v>
      </c>
      <c r="AK82">
        <v>1.24399999999999</v>
      </c>
    </row>
    <row r="83" spans="8:37" x14ac:dyDescent="0.3">
      <c r="H83" t="s">
        <v>107</v>
      </c>
      <c r="I83" s="1">
        <v>0.72730324074074071</v>
      </c>
      <c r="J83" s="1">
        <v>0.7273057638888889</v>
      </c>
      <c r="K83" s="1">
        <v>0.72745370370370377</v>
      </c>
      <c r="L83" s="1">
        <f t="shared" si="4"/>
        <v>2.5231481481924334E-6</v>
      </c>
      <c r="M83" s="1">
        <f t="shared" si="4"/>
        <v>1.4793981481486806E-4</v>
      </c>
      <c r="N83" t="s">
        <v>31</v>
      </c>
      <c r="O83" s="5">
        <f t="shared" si="5"/>
        <v>218.00000000382624</v>
      </c>
      <c r="P83" s="4">
        <f t="shared" si="6"/>
        <v>12.782000000004601</v>
      </c>
      <c r="AI83" t="s">
        <v>215</v>
      </c>
      <c r="AJ83" s="5">
        <v>525</v>
      </c>
      <c r="AK83">
        <v>6.8129999999999997</v>
      </c>
    </row>
    <row r="84" spans="8:37" x14ac:dyDescent="0.3">
      <c r="H84" t="s">
        <v>108</v>
      </c>
      <c r="I84" s="1">
        <v>0.72729166666666656</v>
      </c>
      <c r="J84" s="1">
        <v>0.7273027314814815</v>
      </c>
      <c r="K84" s="1">
        <v>0.7273842592592592</v>
      </c>
      <c r="L84" s="1">
        <f t="shared" si="4"/>
        <v>1.1064814814942814E-5</v>
      </c>
      <c r="M84" s="1">
        <f t="shared" si="4"/>
        <v>8.152777777770126E-5</v>
      </c>
      <c r="N84" t="s">
        <v>31</v>
      </c>
      <c r="O84" s="5">
        <f t="shared" si="5"/>
        <v>956.00000001105911</v>
      </c>
      <c r="P84" s="4">
        <f t="shared" si="6"/>
        <v>7.0439999999933889</v>
      </c>
      <c r="AI84" t="s">
        <v>216</v>
      </c>
      <c r="AJ84" s="5">
        <v>525</v>
      </c>
      <c r="AK84">
        <v>2.7</v>
      </c>
    </row>
    <row r="85" spans="8:37" x14ac:dyDescent="0.3">
      <c r="H85" t="s">
        <v>109</v>
      </c>
      <c r="I85" s="1">
        <v>0.72730324074074071</v>
      </c>
      <c r="J85" s="1">
        <v>0.72730495370370374</v>
      </c>
      <c r="K85" s="1">
        <v>0.72747685185185185</v>
      </c>
      <c r="L85" s="1">
        <f t="shared" si="4"/>
        <v>1.7129629630296961E-6</v>
      </c>
      <c r="M85" s="1">
        <f t="shared" si="4"/>
        <v>1.7189814814810855E-4</v>
      </c>
      <c r="N85" t="s">
        <v>32</v>
      </c>
      <c r="O85" s="5">
        <f t="shared" si="5"/>
        <v>148.00000000576574</v>
      </c>
      <c r="P85" s="4">
        <f t="shared" si="6"/>
        <v>14.851999999996579</v>
      </c>
      <c r="AI85" t="s">
        <v>217</v>
      </c>
      <c r="AJ85" s="5">
        <v>417</v>
      </c>
      <c r="AK85">
        <v>1.33699999999999</v>
      </c>
    </row>
    <row r="86" spans="8:37" x14ac:dyDescent="0.3">
      <c r="H86" t="s">
        <v>110</v>
      </c>
      <c r="I86" s="1">
        <v>0.72729166666666656</v>
      </c>
      <c r="J86" s="1">
        <v>0.72730271990740736</v>
      </c>
      <c r="K86" s="1">
        <v>0.72734953703703698</v>
      </c>
      <c r="L86" s="1">
        <f t="shared" si="4"/>
        <v>1.1053240740799275E-5</v>
      </c>
      <c r="M86" s="1">
        <f t="shared" si="4"/>
        <v>4.6817129629617149E-5</v>
      </c>
      <c r="N86" t="s">
        <v>31</v>
      </c>
      <c r="O86" s="5">
        <f t="shared" si="5"/>
        <v>955.00000000505736</v>
      </c>
      <c r="P86" s="4">
        <f t="shared" si="6"/>
        <v>4.0449999999989217</v>
      </c>
      <c r="AI86" t="s">
        <v>218</v>
      </c>
      <c r="AJ86" s="5">
        <v>131</v>
      </c>
      <c r="AK86">
        <v>2.7949999999999999</v>
      </c>
    </row>
    <row r="87" spans="8:37" x14ac:dyDescent="0.3">
      <c r="H87" t="s">
        <v>111</v>
      </c>
      <c r="I87" s="1">
        <v>0.72730324074074071</v>
      </c>
      <c r="J87" s="1">
        <v>0.7273057638888889</v>
      </c>
      <c r="K87" s="1">
        <v>0.72739583333333335</v>
      </c>
      <c r="L87" s="1">
        <f t="shared" si="4"/>
        <v>2.5231481481924334E-6</v>
      </c>
      <c r="M87" s="1">
        <f t="shared" si="4"/>
        <v>9.0069444444451641E-5</v>
      </c>
      <c r="N87" t="s">
        <v>32</v>
      </c>
      <c r="O87" s="5">
        <f t="shared" si="5"/>
        <v>218.00000000382624</v>
      </c>
      <c r="P87" s="4">
        <f t="shared" si="6"/>
        <v>7.7820000000006218</v>
      </c>
      <c r="AI87" t="s">
        <v>219</v>
      </c>
      <c r="AJ87" s="5">
        <v>1116</v>
      </c>
      <c r="AK87">
        <v>2.7650000000000001</v>
      </c>
    </row>
    <row r="88" spans="8:37" x14ac:dyDescent="0.3">
      <c r="H88" s="3" t="s">
        <v>112</v>
      </c>
      <c r="I88" s="1">
        <v>0.72730324074074071</v>
      </c>
      <c r="J88" s="1">
        <v>0.72730577546296293</v>
      </c>
      <c r="K88" s="1">
        <v>0.72740740740740739</v>
      </c>
      <c r="L88" s="1">
        <f t="shared" si="4"/>
        <v>2.5347222222249499E-6</v>
      </c>
      <c r="M88" s="1">
        <f t="shared" si="4"/>
        <v>1.01631944444458E-4</v>
      </c>
      <c r="N88" t="s">
        <v>31</v>
      </c>
      <c r="O88" s="5">
        <f t="shared" si="5"/>
        <v>219.00000000023567</v>
      </c>
      <c r="P88" s="4">
        <f t="shared" si="6"/>
        <v>8.7810000000011712</v>
      </c>
      <c r="AI88" t="s">
        <v>220</v>
      </c>
      <c r="AJ88" s="5">
        <v>1073</v>
      </c>
      <c r="AK88">
        <v>7.1660000000000004</v>
      </c>
    </row>
    <row r="89" spans="8:37" x14ac:dyDescent="0.3">
      <c r="H89" s="3" t="s">
        <v>113</v>
      </c>
      <c r="I89" s="1">
        <v>0.72730324074074071</v>
      </c>
      <c r="J89" s="1">
        <v>0.72730582175925929</v>
      </c>
      <c r="K89" s="1">
        <v>0.72746527777777781</v>
      </c>
      <c r="L89" s="1">
        <f t="shared" si="4"/>
        <v>2.5810185185770607E-6</v>
      </c>
      <c r="M89" s="1">
        <f t="shared" si="4"/>
        <v>1.5945601851852231E-4</v>
      </c>
      <c r="N89" t="s">
        <v>31</v>
      </c>
      <c r="O89" s="5">
        <f t="shared" si="5"/>
        <v>223.00000000505804</v>
      </c>
      <c r="P89" s="4">
        <f t="shared" si="6"/>
        <v>13.777000000000328</v>
      </c>
      <c r="AI89" t="s">
        <v>221</v>
      </c>
      <c r="AJ89" s="5">
        <v>321</v>
      </c>
      <c r="AK89">
        <v>4.8620000000000001</v>
      </c>
    </row>
    <row r="90" spans="8:37" x14ac:dyDescent="0.3">
      <c r="H90" s="3" t="s">
        <v>114</v>
      </c>
      <c r="I90" s="1">
        <v>0.72730324074074071</v>
      </c>
      <c r="J90" s="1">
        <v>0.72730501157407401</v>
      </c>
      <c r="K90" s="1">
        <v>0.72736111111111112</v>
      </c>
      <c r="L90" s="1">
        <f t="shared" si="4"/>
        <v>1.7708333333033011E-6</v>
      </c>
      <c r="M90" s="1">
        <f t="shared" si="4"/>
        <v>5.6099537037113123E-5</v>
      </c>
      <c r="N90" t="s">
        <v>32</v>
      </c>
      <c r="O90" s="5">
        <f t="shared" si="5"/>
        <v>152.99999999740521</v>
      </c>
      <c r="P90" s="4">
        <f t="shared" si="6"/>
        <v>4.8470000000065738</v>
      </c>
      <c r="AI90" t="s">
        <v>222</v>
      </c>
      <c r="AJ90" s="5">
        <v>363</v>
      </c>
      <c r="AK90">
        <v>2.0469999999999899</v>
      </c>
    </row>
    <row r="91" spans="8:37" x14ac:dyDescent="0.3">
      <c r="H91" t="s">
        <v>115</v>
      </c>
      <c r="I91" s="1">
        <v>0.72730324074074071</v>
      </c>
      <c r="J91" s="1">
        <v>0.72730797453703699</v>
      </c>
      <c r="K91" s="1">
        <v>0.72734953703703698</v>
      </c>
      <c r="L91" s="1">
        <f t="shared" si="4"/>
        <v>4.733796296285675E-6</v>
      </c>
      <c r="M91" s="1">
        <f t="shared" si="4"/>
        <v>4.1562499999980851E-5</v>
      </c>
      <c r="N91" t="s">
        <v>32</v>
      </c>
      <c r="O91" s="5">
        <f t="shared" si="5"/>
        <v>408.99999999908232</v>
      </c>
      <c r="P91" s="4">
        <f t="shared" si="6"/>
        <v>3.5909999999983455</v>
      </c>
      <c r="AI91" t="s">
        <v>223</v>
      </c>
      <c r="AJ91" s="5">
        <v>1062</v>
      </c>
      <c r="AK91">
        <v>2.0609999999999902</v>
      </c>
    </row>
    <row r="92" spans="8:37" x14ac:dyDescent="0.3">
      <c r="H92" t="s">
        <v>116</v>
      </c>
      <c r="I92" s="1">
        <v>0.72730324074074071</v>
      </c>
      <c r="J92" s="1">
        <v>0.72730494212962959</v>
      </c>
      <c r="K92" s="1">
        <v>0.7273842592592592</v>
      </c>
      <c r="L92" s="1">
        <f t="shared" si="4"/>
        <v>1.7013888888861572E-6</v>
      </c>
      <c r="M92" s="1">
        <f t="shared" si="4"/>
        <v>7.9317129629608019E-5</v>
      </c>
      <c r="N92" t="s">
        <v>32</v>
      </c>
      <c r="O92" s="5">
        <f t="shared" si="5"/>
        <v>146.99999999976399</v>
      </c>
      <c r="P92" s="4">
        <f t="shared" si="6"/>
        <v>6.8529999999981328</v>
      </c>
      <c r="AI92" t="s">
        <v>224</v>
      </c>
      <c r="AJ92" s="5">
        <v>931</v>
      </c>
      <c r="AK92">
        <v>0.628</v>
      </c>
    </row>
    <row r="93" spans="8:37" x14ac:dyDescent="0.3">
      <c r="H93" t="s">
        <v>117</v>
      </c>
      <c r="I93" s="1">
        <v>0.72730324074074071</v>
      </c>
      <c r="J93" s="1">
        <v>0.72730859953703708</v>
      </c>
      <c r="K93" s="1">
        <v>0.72736111111111112</v>
      </c>
      <c r="L93" s="1">
        <f t="shared" si="4"/>
        <v>5.3587962963730362E-6</v>
      </c>
      <c r="M93" s="1">
        <f t="shared" si="4"/>
        <v>5.2511574074043388E-5</v>
      </c>
      <c r="N93" t="s">
        <v>32</v>
      </c>
      <c r="O93" s="5">
        <f t="shared" si="5"/>
        <v>463.00000000663033</v>
      </c>
      <c r="P93" s="4">
        <f t="shared" si="6"/>
        <v>4.5369999999973487</v>
      </c>
      <c r="AI93" t="s">
        <v>225</v>
      </c>
      <c r="AJ93" s="5">
        <v>196</v>
      </c>
      <c r="AK93">
        <v>7.0110000000000001</v>
      </c>
    </row>
    <row r="94" spans="8:37" x14ac:dyDescent="0.3">
      <c r="H94" t="s">
        <v>118</v>
      </c>
      <c r="I94" s="1">
        <v>0.72730324074074071</v>
      </c>
      <c r="J94" s="1">
        <v>0.72730499999999998</v>
      </c>
      <c r="K94" s="1">
        <v>0.72740740740740739</v>
      </c>
      <c r="L94" s="1">
        <f t="shared" si="4"/>
        <v>1.7592592592707845E-6</v>
      </c>
      <c r="M94" s="1">
        <f t="shared" si="4"/>
        <v>1.0240740740741217E-4</v>
      </c>
      <c r="N94" t="s">
        <v>32</v>
      </c>
      <c r="O94" s="5">
        <f t="shared" si="5"/>
        <v>152.00000000099578</v>
      </c>
      <c r="P94" s="4">
        <f t="shared" si="6"/>
        <v>8.8480000000004111</v>
      </c>
      <c r="AI94" t="s">
        <v>226</v>
      </c>
      <c r="AJ94" s="5">
        <v>858</v>
      </c>
      <c r="AK94">
        <v>4.758</v>
      </c>
    </row>
    <row r="95" spans="8:37" x14ac:dyDescent="0.3">
      <c r="H95" t="s">
        <v>119</v>
      </c>
      <c r="I95" s="1">
        <v>0.72729166666666656</v>
      </c>
      <c r="J95" s="1">
        <v>0.7273018750000001</v>
      </c>
      <c r="K95" s="1">
        <v>0.72734953703703698</v>
      </c>
      <c r="L95" s="1">
        <f t="shared" si="4"/>
        <v>1.0208333333538988E-5</v>
      </c>
      <c r="M95" s="1">
        <f t="shared" si="4"/>
        <v>4.7662037036877436E-5</v>
      </c>
      <c r="N95" t="s">
        <v>31</v>
      </c>
      <c r="O95" s="5">
        <f t="shared" si="5"/>
        <v>882.00000001776857</v>
      </c>
      <c r="P95" s="4">
        <f t="shared" si="6"/>
        <v>4.1179999999862105</v>
      </c>
      <c r="AI95" t="s">
        <v>227</v>
      </c>
      <c r="AJ95" s="5">
        <v>24</v>
      </c>
      <c r="AK95">
        <v>0.94299999999999995</v>
      </c>
    </row>
    <row r="96" spans="8:37" x14ac:dyDescent="0.3">
      <c r="H96" t="s">
        <v>120</v>
      </c>
      <c r="I96" s="1">
        <v>0.72730324074074071</v>
      </c>
      <c r="J96" s="1">
        <v>0.72730582175925929</v>
      </c>
      <c r="K96" s="1">
        <v>0.7273842592592592</v>
      </c>
      <c r="L96" s="1">
        <f t="shared" si="4"/>
        <v>2.5810185185770607E-6</v>
      </c>
      <c r="M96" s="1">
        <f t="shared" si="4"/>
        <v>7.8437499999917115E-5</v>
      </c>
      <c r="N96" t="s">
        <v>32</v>
      </c>
      <c r="O96" s="5">
        <f t="shared" si="5"/>
        <v>223.00000000505804</v>
      </c>
      <c r="P96" s="4">
        <f t="shared" si="6"/>
        <v>6.7769999999928388</v>
      </c>
      <c r="AI96" t="s">
        <v>228</v>
      </c>
      <c r="AJ96" s="5">
        <v>-3</v>
      </c>
      <c r="AK96">
        <v>9.5649999999999995</v>
      </c>
    </row>
    <row r="97" spans="8:37" x14ac:dyDescent="0.3">
      <c r="H97" t="s">
        <v>121</v>
      </c>
      <c r="I97" s="1">
        <v>0.72730324074074071</v>
      </c>
      <c r="J97" s="1">
        <v>0.72730502314814816</v>
      </c>
      <c r="K97" s="1">
        <v>0.72734953703703698</v>
      </c>
      <c r="L97" s="1">
        <f t="shared" si="4"/>
        <v>1.7824074074468399E-6</v>
      </c>
      <c r="M97" s="1">
        <f t="shared" si="4"/>
        <v>4.4513888888819686E-5</v>
      </c>
      <c r="N97" t="s">
        <v>32</v>
      </c>
      <c r="O97" s="5">
        <f t="shared" si="5"/>
        <v>154.00000000340697</v>
      </c>
      <c r="P97" s="4">
        <f t="shared" si="6"/>
        <v>3.8459999999940209</v>
      </c>
      <c r="AI97" t="s">
        <v>229</v>
      </c>
      <c r="AJ97" s="5">
        <v>800</v>
      </c>
      <c r="AK97">
        <v>5.32</v>
      </c>
    </row>
    <row r="98" spans="8:37" x14ac:dyDescent="0.3">
      <c r="H98" t="s">
        <v>122</v>
      </c>
      <c r="I98" s="1">
        <v>0.72729166666666656</v>
      </c>
      <c r="J98" s="1">
        <v>0.72730271990740736</v>
      </c>
      <c r="K98" s="1">
        <v>0.72733796296296294</v>
      </c>
      <c r="L98" s="1">
        <f t="shared" si="4"/>
        <v>1.1053240740799275E-5</v>
      </c>
      <c r="M98" s="1">
        <f t="shared" si="4"/>
        <v>3.5243055555578273E-5</v>
      </c>
      <c r="N98" t="s">
        <v>32</v>
      </c>
      <c r="O98" s="5">
        <f t="shared" si="5"/>
        <v>955.00000000505736</v>
      </c>
      <c r="P98" s="4">
        <f t="shared" si="6"/>
        <v>3.0450000000019628</v>
      </c>
      <c r="AI98" t="s">
        <v>230</v>
      </c>
      <c r="AJ98" s="5">
        <v>858</v>
      </c>
      <c r="AK98">
        <v>3.6920000000000002</v>
      </c>
    </row>
    <row r="99" spans="8:37" x14ac:dyDescent="0.3">
      <c r="H99" t="s">
        <v>123</v>
      </c>
      <c r="I99" s="1">
        <v>0.72729166666666656</v>
      </c>
      <c r="J99" s="1">
        <v>0.72730271990740736</v>
      </c>
      <c r="K99" s="1">
        <v>0.72734953703703698</v>
      </c>
      <c r="L99" s="1">
        <f t="shared" si="4"/>
        <v>1.1053240740799275E-5</v>
      </c>
      <c r="M99" s="1">
        <f t="shared" si="4"/>
        <v>4.6817129629617149E-5</v>
      </c>
      <c r="N99" t="s">
        <v>31</v>
      </c>
      <c r="O99" s="5">
        <f t="shared" si="5"/>
        <v>955.00000000505736</v>
      </c>
      <c r="P99" s="4">
        <f t="shared" si="6"/>
        <v>4.0449999999989217</v>
      </c>
      <c r="AI99" t="s">
        <v>231</v>
      </c>
      <c r="AJ99" s="5">
        <v>740</v>
      </c>
      <c r="AK99">
        <v>3.0469999999999899</v>
      </c>
    </row>
    <row r="100" spans="8:37" x14ac:dyDescent="0.3">
      <c r="H100" t="s">
        <v>124</v>
      </c>
      <c r="I100" s="1">
        <v>0.72730324074074071</v>
      </c>
      <c r="J100" s="1">
        <v>0.72730746527777779</v>
      </c>
      <c r="K100" s="1">
        <v>0.72746527777777781</v>
      </c>
      <c r="L100" s="1">
        <f t="shared" si="4"/>
        <v>4.2245370370785906E-6</v>
      </c>
      <c r="M100" s="1">
        <f t="shared" si="4"/>
        <v>1.5781250000002078E-4</v>
      </c>
      <c r="N100" t="s">
        <v>32</v>
      </c>
      <c r="O100" s="5">
        <f t="shared" si="5"/>
        <v>365.00000000359023</v>
      </c>
      <c r="P100" s="4">
        <f t="shared" si="6"/>
        <v>13.635000000001796</v>
      </c>
      <c r="AI100" t="s">
        <v>232</v>
      </c>
      <c r="AJ100" s="5">
        <v>931</v>
      </c>
      <c r="AK100">
        <v>1.6459999999999999</v>
      </c>
    </row>
    <row r="101" spans="8:37" x14ac:dyDescent="0.3">
      <c r="H101" t="s">
        <v>125</v>
      </c>
      <c r="I101" s="1">
        <v>0.72730324074074071</v>
      </c>
      <c r="J101" s="1">
        <v>0.72730747685185182</v>
      </c>
      <c r="K101" s="1">
        <v>0.72736111111111112</v>
      </c>
      <c r="L101" s="1">
        <f t="shared" si="4"/>
        <v>4.2361111111111072E-6</v>
      </c>
      <c r="M101" s="1">
        <f t="shared" si="4"/>
        <v>5.3634259259305317E-5</v>
      </c>
      <c r="N101" t="s">
        <v>32</v>
      </c>
      <c r="O101" s="5">
        <f t="shared" si="5"/>
        <v>365.99999999999966</v>
      </c>
      <c r="P101" s="4">
        <f t="shared" si="6"/>
        <v>4.6340000000039794</v>
      </c>
      <c r="AI101" t="s">
        <v>233</v>
      </c>
      <c r="AJ101" s="5">
        <v>440</v>
      </c>
      <c r="AK101">
        <v>9.7729999999999997</v>
      </c>
    </row>
    <row r="102" spans="8:37" x14ac:dyDescent="0.3">
      <c r="H102" t="s">
        <v>126</v>
      </c>
      <c r="I102" s="1">
        <v>0.72729166666666656</v>
      </c>
      <c r="J102" s="1">
        <v>0.72730271990740736</v>
      </c>
      <c r="K102" s="1">
        <v>0.72733796296296294</v>
      </c>
      <c r="L102" s="1">
        <f t="shared" si="4"/>
        <v>1.1053240740799275E-5</v>
      </c>
      <c r="M102" s="1">
        <f t="shared" si="4"/>
        <v>3.5243055555578273E-5</v>
      </c>
      <c r="N102" t="s">
        <v>32</v>
      </c>
      <c r="O102" s="5">
        <f t="shared" si="5"/>
        <v>955.00000000505736</v>
      </c>
      <c r="P102" s="4">
        <f t="shared" si="6"/>
        <v>3.0450000000019628</v>
      </c>
      <c r="AI102" t="s">
        <v>184</v>
      </c>
      <c r="AJ102" s="5">
        <v>122</v>
      </c>
      <c r="AK102">
        <v>1.0349999999999999</v>
      </c>
    </row>
    <row r="103" spans="8:37" x14ac:dyDescent="0.3">
      <c r="H103" t="s">
        <v>127</v>
      </c>
      <c r="I103" s="1">
        <v>0.72729166666666656</v>
      </c>
      <c r="J103" s="1">
        <v>0.7273028587962963</v>
      </c>
      <c r="K103" s="1">
        <v>0.72736111111111112</v>
      </c>
      <c r="L103" s="1">
        <f t="shared" si="4"/>
        <v>1.1192129629744585E-5</v>
      </c>
      <c r="M103" s="1">
        <f t="shared" si="4"/>
        <v>5.8252314814821737E-5</v>
      </c>
      <c r="N103" t="s">
        <v>32</v>
      </c>
      <c r="O103" s="5">
        <f t="shared" si="5"/>
        <v>967.00000000993214</v>
      </c>
      <c r="P103" s="4">
        <f t="shared" si="6"/>
        <v>5.0330000000005981</v>
      </c>
      <c r="AI103" t="s">
        <v>185</v>
      </c>
      <c r="AJ103" s="5">
        <v>425</v>
      </c>
      <c r="AK103">
        <v>2.5549999999999899</v>
      </c>
    </row>
    <row r="104" spans="8:37" x14ac:dyDescent="0.3">
      <c r="H104" t="s">
        <v>128</v>
      </c>
      <c r="I104" s="1">
        <v>0.72730324074074071</v>
      </c>
      <c r="J104" s="1">
        <v>0.72730618055555551</v>
      </c>
      <c r="K104" s="1">
        <v>0.72736111111111112</v>
      </c>
      <c r="L104" s="1">
        <f t="shared" si="4"/>
        <v>2.9398148148063186E-6</v>
      </c>
      <c r="M104" s="1">
        <f t="shared" si="4"/>
        <v>5.4930555555610106E-5</v>
      </c>
      <c r="N104" t="s">
        <v>32</v>
      </c>
      <c r="O104" s="5">
        <f t="shared" si="5"/>
        <v>253.99999999926592</v>
      </c>
      <c r="P104" s="4">
        <f t="shared" si="6"/>
        <v>4.7460000000047131</v>
      </c>
      <c r="AI104" t="s">
        <v>186</v>
      </c>
      <c r="AJ104" s="5">
        <v>655</v>
      </c>
      <c r="AK104">
        <v>3.1179999999999999</v>
      </c>
    </row>
    <row r="105" spans="8:37" x14ac:dyDescent="0.3">
      <c r="H105" t="s">
        <v>129</v>
      </c>
      <c r="I105" s="1">
        <v>0.72730324074074071</v>
      </c>
      <c r="J105" s="1">
        <v>0.72730601851851862</v>
      </c>
      <c r="K105" s="1">
        <v>0.72736111111111112</v>
      </c>
      <c r="L105" s="1">
        <f t="shared" si="4"/>
        <v>2.7777777779069979E-6</v>
      </c>
      <c r="M105" s="1">
        <f t="shared" si="4"/>
        <v>5.5092592592509426E-5</v>
      </c>
      <c r="N105" t="s">
        <v>31</v>
      </c>
      <c r="O105" s="5">
        <f t="shared" si="5"/>
        <v>240.00000001116462</v>
      </c>
      <c r="P105" s="4">
        <f t="shared" si="6"/>
        <v>4.7599999999928144</v>
      </c>
      <c r="AI105" t="s">
        <v>187</v>
      </c>
      <c r="AJ105" s="5">
        <v>401</v>
      </c>
      <c r="AK105">
        <v>7.1159999999999997</v>
      </c>
    </row>
    <row r="106" spans="8:37" x14ac:dyDescent="0.3">
      <c r="H106" t="s">
        <v>130</v>
      </c>
      <c r="I106" s="1">
        <v>0.72730324074074071</v>
      </c>
      <c r="J106" s="1">
        <v>0.72730491898148142</v>
      </c>
      <c r="K106" s="1">
        <v>0.7273842592592592</v>
      </c>
      <c r="L106" s="1">
        <f t="shared" si="4"/>
        <v>1.6782407407101019E-6</v>
      </c>
      <c r="M106" s="1">
        <f t="shared" si="4"/>
        <v>7.9340277777784074E-5</v>
      </c>
      <c r="N106" t="s">
        <v>31</v>
      </c>
      <c r="O106" s="5">
        <f t="shared" si="5"/>
        <v>144.9999999973528</v>
      </c>
      <c r="P106" s="4">
        <f t="shared" si="6"/>
        <v>6.855000000000544</v>
      </c>
      <c r="AI106" t="s">
        <v>188</v>
      </c>
      <c r="AJ106" s="5">
        <v>439</v>
      </c>
      <c r="AK106">
        <v>10.589</v>
      </c>
    </row>
    <row r="107" spans="8:37" x14ac:dyDescent="0.3">
      <c r="H107" t="s">
        <v>131</v>
      </c>
      <c r="I107" s="1">
        <v>0.72730324074074071</v>
      </c>
      <c r="J107" s="1">
        <v>0.72730348379629628</v>
      </c>
      <c r="K107" s="1">
        <v>0.72740740740740739</v>
      </c>
      <c r="L107" s="1">
        <f t="shared" si="4"/>
        <v>2.4305555557102565E-7</v>
      </c>
      <c r="M107" s="1">
        <f t="shared" si="4"/>
        <v>1.0392361111111192E-4</v>
      </c>
      <c r="N107" t="s">
        <v>32</v>
      </c>
      <c r="O107" s="5">
        <f t="shared" si="5"/>
        <v>21.000000001336616</v>
      </c>
      <c r="P107" s="4">
        <f t="shared" si="6"/>
        <v>8.9790000000000703</v>
      </c>
      <c r="AI107" t="s">
        <v>189</v>
      </c>
      <c r="AJ107" s="5">
        <v>334</v>
      </c>
      <c r="AK107">
        <v>4.4550000000000001</v>
      </c>
    </row>
    <row r="108" spans="8:37" x14ac:dyDescent="0.3">
      <c r="H108" t="s">
        <v>132</v>
      </c>
      <c r="I108" s="1">
        <v>0.72730324074074071</v>
      </c>
      <c r="J108" s="1">
        <v>0.72730494212962959</v>
      </c>
      <c r="K108" s="1">
        <v>0.72739583333333335</v>
      </c>
      <c r="L108" s="1">
        <f t="shared" si="4"/>
        <v>1.7013888888861572E-6</v>
      </c>
      <c r="M108" s="1">
        <f t="shared" si="4"/>
        <v>9.0891203703757917E-5</v>
      </c>
      <c r="N108" t="s">
        <v>32</v>
      </c>
      <c r="O108" s="5">
        <f t="shared" si="5"/>
        <v>146.99999999976399</v>
      </c>
      <c r="P108" s="4">
        <f t="shared" si="6"/>
        <v>7.853000000004684</v>
      </c>
      <c r="AI108" t="s">
        <v>190</v>
      </c>
      <c r="AJ108" s="5">
        <v>320</v>
      </c>
      <c r="AK108">
        <v>7.5659999999999998</v>
      </c>
    </row>
    <row r="109" spans="8:37" x14ac:dyDescent="0.3">
      <c r="H109" t="s">
        <v>133</v>
      </c>
      <c r="I109" s="1">
        <v>0.72730324074074071</v>
      </c>
      <c r="J109" s="1">
        <v>0.7273049074074075</v>
      </c>
      <c r="K109" s="1">
        <v>0.7273842592592592</v>
      </c>
      <c r="L109" s="1">
        <f t="shared" si="4"/>
        <v>1.6666666667886076E-6</v>
      </c>
      <c r="M109" s="1">
        <f t="shared" si="4"/>
        <v>7.9351851851705568E-5</v>
      </c>
      <c r="N109" t="s">
        <v>31</v>
      </c>
      <c r="O109" s="5">
        <f t="shared" si="5"/>
        <v>144.0000000105357</v>
      </c>
      <c r="P109" s="4">
        <f t="shared" si="6"/>
        <v>6.8559999999873611</v>
      </c>
      <c r="AI109" t="s">
        <v>191</v>
      </c>
      <c r="AJ109" s="5">
        <v>851</v>
      </c>
      <c r="AK109">
        <v>0.65600000000000003</v>
      </c>
    </row>
    <row r="110" spans="8:37" x14ac:dyDescent="0.3">
      <c r="H110" t="s">
        <v>134</v>
      </c>
      <c r="I110" s="1">
        <v>0.72730324074074071</v>
      </c>
      <c r="J110" s="1">
        <v>0.72730629629629628</v>
      </c>
      <c r="K110" s="1">
        <v>0.72737268518518527</v>
      </c>
      <c r="L110" s="1">
        <f t="shared" si="4"/>
        <v>3.0555555555755731E-6</v>
      </c>
      <c r="M110" s="1">
        <f t="shared" si="4"/>
        <v>6.6388888888990749E-5</v>
      </c>
      <c r="N110" t="s">
        <v>31</v>
      </c>
      <c r="O110" s="5">
        <f t="shared" si="5"/>
        <v>264.00000000172952</v>
      </c>
      <c r="P110" s="4">
        <f t="shared" si="6"/>
        <v>5.7360000000088007</v>
      </c>
      <c r="AI110" t="s">
        <v>192</v>
      </c>
      <c r="AJ110" s="5">
        <v>216</v>
      </c>
      <c r="AK110">
        <v>0.75499999999999901</v>
      </c>
    </row>
    <row r="111" spans="8:37" x14ac:dyDescent="0.3">
      <c r="H111" t="s">
        <v>135</v>
      </c>
      <c r="I111" s="1">
        <v>0.72730324074074071</v>
      </c>
      <c r="J111" s="1">
        <v>0.72730504629629633</v>
      </c>
      <c r="K111" s="1">
        <v>0.72736111111111112</v>
      </c>
      <c r="L111" s="1">
        <f t="shared" si="4"/>
        <v>1.8055555556228953E-6</v>
      </c>
      <c r="M111" s="1">
        <f t="shared" si="4"/>
        <v>5.6064814814793529E-5</v>
      </c>
      <c r="N111" t="s">
        <v>32</v>
      </c>
      <c r="O111" s="5">
        <f t="shared" si="5"/>
        <v>156.00000000581815</v>
      </c>
      <c r="P111" s="4">
        <f t="shared" si="6"/>
        <v>4.8439999999981609</v>
      </c>
      <c r="AI111" t="s">
        <v>193</v>
      </c>
      <c r="AJ111" s="5">
        <v>506</v>
      </c>
      <c r="AK111">
        <v>1.0449999999999999</v>
      </c>
    </row>
    <row r="112" spans="8:37" x14ac:dyDescent="0.3">
      <c r="H112" t="s">
        <v>136</v>
      </c>
      <c r="I112" s="1">
        <v>0.72730324074074071</v>
      </c>
      <c r="J112" s="1">
        <v>0.72730491898148142</v>
      </c>
      <c r="K112" s="1">
        <v>0.72736111111111112</v>
      </c>
      <c r="L112" s="1">
        <f t="shared" si="4"/>
        <v>1.6782407407101019E-6</v>
      </c>
      <c r="M112" s="1">
        <f t="shared" si="4"/>
        <v>5.6192129629706322E-5</v>
      </c>
      <c r="N112" t="s">
        <v>31</v>
      </c>
      <c r="O112" s="5">
        <f t="shared" si="5"/>
        <v>144.9999999973528</v>
      </c>
      <c r="P112" s="4">
        <f t="shared" si="6"/>
        <v>4.8550000000066262</v>
      </c>
      <c r="AI112" t="s">
        <v>194</v>
      </c>
      <c r="AJ112" s="5">
        <v>341</v>
      </c>
      <c r="AK112">
        <v>4.38</v>
      </c>
    </row>
    <row r="113" spans="8:37" x14ac:dyDescent="0.3">
      <c r="H113" t="s">
        <v>137</v>
      </c>
      <c r="I113" s="1">
        <v>0.72730324074074071</v>
      </c>
      <c r="J113" s="1">
        <v>0.72730747685185182</v>
      </c>
      <c r="K113" s="1">
        <v>0.72741898148148154</v>
      </c>
      <c r="L113" s="1">
        <f t="shared" si="4"/>
        <v>4.2361111111111072E-6</v>
      </c>
      <c r="M113" s="1">
        <f t="shared" si="4"/>
        <v>1.1150462962972174E-4</v>
      </c>
      <c r="N113" t="s">
        <v>31</v>
      </c>
      <c r="O113" s="5">
        <f t="shared" si="5"/>
        <v>365.99999999999966</v>
      </c>
      <c r="P113" s="4">
        <f t="shared" si="6"/>
        <v>9.6340000000079584</v>
      </c>
      <c r="AI113" t="s">
        <v>195</v>
      </c>
      <c r="AJ113" s="5">
        <v>338</v>
      </c>
      <c r="AK113">
        <v>2.903</v>
      </c>
    </row>
    <row r="114" spans="8:37" x14ac:dyDescent="0.3">
      <c r="H114" t="s">
        <v>138</v>
      </c>
      <c r="I114" s="1">
        <v>0.72730324074074071</v>
      </c>
      <c r="J114" s="1">
        <v>0.72730650462962965</v>
      </c>
      <c r="K114" s="1">
        <v>0.72736111111111112</v>
      </c>
      <c r="L114" s="1">
        <f t="shared" si="4"/>
        <v>3.2638888889380269E-6</v>
      </c>
      <c r="M114" s="1">
        <f t="shared" si="4"/>
        <v>5.4606481481478397E-5</v>
      </c>
      <c r="N114" t="s">
        <v>32</v>
      </c>
      <c r="O114" s="5">
        <f t="shared" si="5"/>
        <v>282.00000000424552</v>
      </c>
      <c r="P114" s="4">
        <f t="shared" si="6"/>
        <v>4.7179999999997335</v>
      </c>
      <c r="AI114" t="s">
        <v>196</v>
      </c>
      <c r="AJ114" s="5">
        <v>588</v>
      </c>
      <c r="AK114">
        <v>4.8940000000000001</v>
      </c>
    </row>
    <row r="115" spans="8:37" x14ac:dyDescent="0.3">
      <c r="H115" t="s">
        <v>139</v>
      </c>
      <c r="I115" s="1">
        <v>0.72730324074074071</v>
      </c>
      <c r="J115" s="1">
        <v>0.72730618055555551</v>
      </c>
      <c r="K115" s="1">
        <v>0.72739583333333335</v>
      </c>
      <c r="L115" s="1">
        <f t="shared" si="4"/>
        <v>2.9398148148063186E-6</v>
      </c>
      <c r="M115" s="1">
        <f t="shared" si="4"/>
        <v>8.9652777777837755E-5</v>
      </c>
      <c r="N115" t="s">
        <v>32</v>
      </c>
      <c r="O115" s="5">
        <f t="shared" si="5"/>
        <v>253.99999999926592</v>
      </c>
      <c r="P115" s="4">
        <f t="shared" si="6"/>
        <v>7.7460000000051821</v>
      </c>
      <c r="AI115" t="s">
        <v>197</v>
      </c>
      <c r="AJ115" s="5">
        <v>91</v>
      </c>
      <c r="AK115">
        <v>1.4990000000000001</v>
      </c>
    </row>
    <row r="116" spans="8:37" x14ac:dyDescent="0.3">
      <c r="H116" t="s">
        <v>140</v>
      </c>
      <c r="I116" s="1">
        <v>0.72730324074074071</v>
      </c>
      <c r="J116" s="1">
        <v>0.72730619212962966</v>
      </c>
      <c r="K116" s="1">
        <v>0.7273842592592592</v>
      </c>
      <c r="L116" s="1">
        <f t="shared" si="4"/>
        <v>2.9513888889498574E-6</v>
      </c>
      <c r="M116" s="1">
        <f t="shared" si="4"/>
        <v>7.8067129629544318E-5</v>
      </c>
      <c r="N116" t="s">
        <v>32</v>
      </c>
      <c r="O116" s="5">
        <f t="shared" si="5"/>
        <v>255.00000000526768</v>
      </c>
      <c r="P116" s="4">
        <f t="shared" si="6"/>
        <v>6.7449999999926291</v>
      </c>
      <c r="AI116" t="s">
        <v>198</v>
      </c>
      <c r="AJ116" s="5">
        <v>964</v>
      </c>
      <c r="AK116">
        <v>8.8740000000000006</v>
      </c>
    </row>
    <row r="117" spans="8:37" x14ac:dyDescent="0.3">
      <c r="H117" t="s">
        <v>141</v>
      </c>
      <c r="I117" s="1">
        <v>0.72730324074074071</v>
      </c>
      <c r="J117" s="1">
        <v>0.72730503472222219</v>
      </c>
      <c r="K117" s="1">
        <v>0.72737268518518527</v>
      </c>
      <c r="L117" s="1">
        <f t="shared" si="4"/>
        <v>1.7939814814793564E-6</v>
      </c>
      <c r="M117" s="1">
        <f t="shared" si="4"/>
        <v>6.7650462963086966E-5</v>
      </c>
      <c r="N117" t="s">
        <v>31</v>
      </c>
      <c r="O117" s="5">
        <f t="shared" si="5"/>
        <v>154.9999999998164</v>
      </c>
      <c r="P117" s="4">
        <f t="shared" si="6"/>
        <v>5.8450000000107138</v>
      </c>
      <c r="AI117" t="s">
        <v>199</v>
      </c>
      <c r="AJ117" s="5">
        <v>195</v>
      </c>
      <c r="AK117">
        <v>2.766</v>
      </c>
    </row>
    <row r="118" spans="8:37" x14ac:dyDescent="0.3">
      <c r="H118" t="s">
        <v>142</v>
      </c>
      <c r="I118" s="1">
        <v>0.72730324074074071</v>
      </c>
      <c r="J118" s="1">
        <v>0.72730748842592596</v>
      </c>
      <c r="K118" s="1">
        <v>0.72736111111111112</v>
      </c>
      <c r="L118" s="1">
        <f t="shared" si="4"/>
        <v>4.247685185254646E-6</v>
      </c>
      <c r="M118" s="1">
        <f t="shared" si="4"/>
        <v>5.3622685185161778E-5</v>
      </c>
      <c r="N118" t="s">
        <v>32</v>
      </c>
      <c r="O118" s="5">
        <f t="shared" si="5"/>
        <v>367.00000000600141</v>
      </c>
      <c r="P118" s="4">
        <f t="shared" si="6"/>
        <v>4.6329999999979776</v>
      </c>
      <c r="AI118" t="s">
        <v>200</v>
      </c>
      <c r="AJ118" s="5">
        <v>424</v>
      </c>
      <c r="AK118">
        <v>7.32</v>
      </c>
    </row>
    <row r="119" spans="8:37" x14ac:dyDescent="0.3">
      <c r="H119" t="s">
        <v>143</v>
      </c>
      <c r="I119" s="1">
        <v>0.72730324074074071</v>
      </c>
      <c r="J119" s="1">
        <v>0.72730619212962966</v>
      </c>
      <c r="K119" s="1">
        <v>0.72736111111111112</v>
      </c>
      <c r="L119" s="1">
        <f t="shared" si="4"/>
        <v>2.9513888889498574E-6</v>
      </c>
      <c r="M119" s="1">
        <f t="shared" si="4"/>
        <v>5.4918981481466567E-5</v>
      </c>
      <c r="N119" t="s">
        <v>32</v>
      </c>
      <c r="O119" s="5">
        <f t="shared" si="5"/>
        <v>255.00000000526768</v>
      </c>
      <c r="P119" s="4">
        <f t="shared" si="6"/>
        <v>4.7449999999987114</v>
      </c>
      <c r="AI119" t="s">
        <v>201</v>
      </c>
      <c r="AJ119" s="5">
        <v>199</v>
      </c>
      <c r="AK119">
        <v>5.8129999999999997</v>
      </c>
    </row>
    <row r="120" spans="8:37" x14ac:dyDescent="0.3">
      <c r="H120" t="s">
        <v>144</v>
      </c>
      <c r="I120" s="1">
        <v>0.72730324074074071</v>
      </c>
      <c r="J120" s="1">
        <v>0.72730752314814817</v>
      </c>
      <c r="K120" s="1">
        <v>0.72741898148148154</v>
      </c>
      <c r="L120" s="1">
        <f t="shared" si="4"/>
        <v>4.2824074074632179E-6</v>
      </c>
      <c r="M120" s="1">
        <f t="shared" si="4"/>
        <v>1.1145833333336963E-4</v>
      </c>
      <c r="N120" t="s">
        <v>31</v>
      </c>
      <c r="O120" s="5">
        <f t="shared" si="5"/>
        <v>370.00000000482203</v>
      </c>
      <c r="P120" s="4">
        <f t="shared" si="6"/>
        <v>9.6300000000031361</v>
      </c>
      <c r="AI120" t="s">
        <v>202</v>
      </c>
      <c r="AJ120" s="5">
        <v>1113</v>
      </c>
      <c r="AK120">
        <v>4.048</v>
      </c>
    </row>
    <row r="121" spans="8:37" x14ac:dyDescent="0.3">
      <c r="H121" t="s">
        <v>145</v>
      </c>
      <c r="I121" s="1">
        <v>0.72730324074074071</v>
      </c>
      <c r="J121" s="1">
        <v>0.72730841435185178</v>
      </c>
      <c r="K121" s="1">
        <v>0.72736111111111112</v>
      </c>
      <c r="L121" s="1">
        <f t="shared" si="4"/>
        <v>5.1736111110756156E-6</v>
      </c>
      <c r="M121" s="1">
        <f t="shared" si="4"/>
        <v>5.2696759259340809E-5</v>
      </c>
      <c r="N121" t="s">
        <v>32</v>
      </c>
      <c r="O121" s="5">
        <f t="shared" si="5"/>
        <v>446.99999999693318</v>
      </c>
      <c r="P121" s="4">
        <f t="shared" si="6"/>
        <v>4.5530000000070459</v>
      </c>
      <c r="AI121" t="s">
        <v>203</v>
      </c>
      <c r="AJ121" s="5">
        <v>411</v>
      </c>
      <c r="AK121">
        <v>6.0359999999999996</v>
      </c>
    </row>
    <row r="122" spans="8:37" x14ac:dyDescent="0.3">
      <c r="H122" t="s">
        <v>146</v>
      </c>
      <c r="I122" s="1">
        <v>0.72730324074074071</v>
      </c>
      <c r="J122" s="1">
        <v>0.727308611111111</v>
      </c>
      <c r="K122" s="1">
        <v>0.72739583333333335</v>
      </c>
      <c r="L122" s="1">
        <f t="shared" si="4"/>
        <v>5.3703703702945305E-6</v>
      </c>
      <c r="M122" s="1">
        <f t="shared" si="4"/>
        <v>8.7222222222349544E-5</v>
      </c>
      <c r="N122" t="s">
        <v>32</v>
      </c>
      <c r="O122" s="5">
        <f t="shared" si="5"/>
        <v>463.99999999344743</v>
      </c>
      <c r="P122" s="4">
        <f t="shared" si="6"/>
        <v>7.5360000000110006</v>
      </c>
      <c r="AI122" t="s">
        <v>204</v>
      </c>
      <c r="AJ122" s="5">
        <v>984</v>
      </c>
      <c r="AK122">
        <v>4.4749999999999996</v>
      </c>
    </row>
    <row r="123" spans="8:37" x14ac:dyDescent="0.3">
      <c r="H123" t="s">
        <v>147</v>
      </c>
      <c r="I123" s="1">
        <v>0.72730324074074071</v>
      </c>
      <c r="J123" s="1">
        <v>0.72730493055555556</v>
      </c>
      <c r="K123" s="1">
        <v>0.7273842592592592</v>
      </c>
      <c r="L123" s="1">
        <f t="shared" si="4"/>
        <v>1.6898148148536407E-6</v>
      </c>
      <c r="M123" s="1">
        <f t="shared" si="4"/>
        <v>7.9328703703640535E-5</v>
      </c>
      <c r="N123" t="s">
        <v>31</v>
      </c>
      <c r="O123" s="5">
        <f t="shared" si="5"/>
        <v>146.00000000335456</v>
      </c>
      <c r="P123" s="4">
        <f t="shared" si="6"/>
        <v>6.8539999999945422</v>
      </c>
      <c r="AI123" t="s">
        <v>205</v>
      </c>
      <c r="AJ123" s="5">
        <v>506</v>
      </c>
      <c r="AK123">
        <v>2.31</v>
      </c>
    </row>
    <row r="124" spans="8:37" x14ac:dyDescent="0.3">
      <c r="H124" t="s">
        <v>148</v>
      </c>
      <c r="I124" s="1">
        <v>0.72730324074074071</v>
      </c>
      <c r="J124" s="1">
        <v>0.72730843750000007</v>
      </c>
      <c r="K124" s="1">
        <v>0.72737268518518527</v>
      </c>
      <c r="L124" s="1">
        <f t="shared" si="4"/>
        <v>5.1967592593626932E-6</v>
      </c>
      <c r="M124" s="1">
        <f t="shared" si="4"/>
        <v>6.4247685185203629E-5</v>
      </c>
      <c r="N124" t="s">
        <v>31</v>
      </c>
      <c r="O124" s="5">
        <f t="shared" si="5"/>
        <v>449.00000000893669</v>
      </c>
      <c r="P124" s="4">
        <f t="shared" si="6"/>
        <v>5.5510000000015935</v>
      </c>
      <c r="AI124" t="s">
        <v>206</v>
      </c>
      <c r="AJ124" s="5">
        <v>128</v>
      </c>
      <c r="AK124">
        <v>2.7629999999999999</v>
      </c>
    </row>
    <row r="125" spans="8:37" x14ac:dyDescent="0.3">
      <c r="H125" t="s">
        <v>149</v>
      </c>
      <c r="I125" s="1">
        <v>0.72730324074074071</v>
      </c>
      <c r="J125" s="1">
        <v>0.72730842592592593</v>
      </c>
      <c r="K125" s="1">
        <v>0.72736111111111112</v>
      </c>
      <c r="L125" s="1">
        <f t="shared" si="4"/>
        <v>5.1851851852191544E-6</v>
      </c>
      <c r="M125" s="1">
        <f t="shared" si="4"/>
        <v>5.268518518519727E-5</v>
      </c>
      <c r="N125" t="s">
        <v>31</v>
      </c>
      <c r="O125" s="5">
        <f t="shared" si="5"/>
        <v>448.00000000293494</v>
      </c>
      <c r="P125" s="4">
        <f t="shared" si="6"/>
        <v>4.5520000000010441</v>
      </c>
      <c r="AI125" t="s">
        <v>207</v>
      </c>
      <c r="AJ125" s="5">
        <v>331</v>
      </c>
      <c r="AK125">
        <v>4.9189999999999996</v>
      </c>
    </row>
    <row r="126" spans="8:37" x14ac:dyDescent="0.3">
      <c r="H126" t="s">
        <v>150</v>
      </c>
      <c r="I126" s="1">
        <v>0.72730324074074071</v>
      </c>
      <c r="J126" s="1">
        <v>0.72730842592592593</v>
      </c>
      <c r="K126" s="1">
        <v>0.72736111111111112</v>
      </c>
      <c r="L126" s="1">
        <f t="shared" si="4"/>
        <v>5.1851851852191544E-6</v>
      </c>
      <c r="M126" s="1">
        <f t="shared" si="4"/>
        <v>5.268518518519727E-5</v>
      </c>
      <c r="N126" t="s">
        <v>32</v>
      </c>
      <c r="O126" s="5">
        <f t="shared" si="5"/>
        <v>448.00000000293494</v>
      </c>
      <c r="P126" s="4">
        <f t="shared" si="6"/>
        <v>4.5520000000010441</v>
      </c>
      <c r="AI126" t="s">
        <v>208</v>
      </c>
      <c r="AJ126" s="5">
        <v>768</v>
      </c>
      <c r="AK126">
        <v>1.46199999999999</v>
      </c>
    </row>
    <row r="127" spans="8:37" x14ac:dyDescent="0.3">
      <c r="H127" t="s">
        <v>151</v>
      </c>
      <c r="I127" s="1">
        <v>0.72730324074074071</v>
      </c>
      <c r="J127" s="1">
        <v>0.72730501157407401</v>
      </c>
      <c r="K127" s="1">
        <v>0.72741898148148154</v>
      </c>
      <c r="L127" s="1">
        <f t="shared" si="4"/>
        <v>1.7708333333033011E-6</v>
      </c>
      <c r="M127" s="1">
        <f t="shared" si="4"/>
        <v>1.1396990740752955E-4</v>
      </c>
      <c r="N127" t="s">
        <v>32</v>
      </c>
      <c r="O127" s="5">
        <f t="shared" si="5"/>
        <v>152.99999999740521</v>
      </c>
      <c r="P127" s="4">
        <f t="shared" si="6"/>
        <v>9.8470000000105529</v>
      </c>
      <c r="AI127" t="s">
        <v>209</v>
      </c>
      <c r="AJ127" s="5">
        <v>720</v>
      </c>
      <c r="AK127">
        <v>3.048</v>
      </c>
    </row>
    <row r="128" spans="8:37" x14ac:dyDescent="0.3">
      <c r="H128" t="s">
        <v>152</v>
      </c>
      <c r="I128" s="1">
        <v>0.72730324074074071</v>
      </c>
      <c r="J128" s="1">
        <v>0.72730577546296293</v>
      </c>
      <c r="K128" s="1">
        <v>0.72736111111111112</v>
      </c>
      <c r="L128" s="1">
        <f t="shared" si="4"/>
        <v>2.5347222222249499E-6</v>
      </c>
      <c r="M128" s="1">
        <f t="shared" si="4"/>
        <v>5.5335648148191474E-5</v>
      </c>
      <c r="N128" t="s">
        <v>31</v>
      </c>
      <c r="O128" s="5">
        <f t="shared" si="5"/>
        <v>219.00000000023567</v>
      </c>
      <c r="P128" s="4">
        <f t="shared" si="6"/>
        <v>4.7810000000037434</v>
      </c>
      <c r="AI128" t="s">
        <v>210</v>
      </c>
      <c r="AJ128" s="5">
        <v>773</v>
      </c>
      <c r="AK128">
        <v>1.4630000000000001</v>
      </c>
    </row>
    <row r="129" spans="8:37" x14ac:dyDescent="0.3">
      <c r="H129" t="s">
        <v>153</v>
      </c>
      <c r="I129" s="1">
        <v>0.72730324074074071</v>
      </c>
      <c r="J129" s="1">
        <v>0.72730577546296293</v>
      </c>
      <c r="K129" s="1">
        <v>0.72739583333333335</v>
      </c>
      <c r="L129" s="1">
        <f t="shared" si="4"/>
        <v>2.5347222222249499E-6</v>
      </c>
      <c r="M129" s="1">
        <f t="shared" si="4"/>
        <v>9.0057870370419124E-5</v>
      </c>
      <c r="N129" t="s">
        <v>32</v>
      </c>
      <c r="O129" s="5">
        <f t="shared" si="5"/>
        <v>219.00000000023567</v>
      </c>
      <c r="P129" s="4">
        <f t="shared" si="6"/>
        <v>7.7810000000042123</v>
      </c>
      <c r="AI129" t="s">
        <v>211</v>
      </c>
      <c r="AJ129" s="5">
        <v>124</v>
      </c>
      <c r="AK129">
        <v>1.12299999999999</v>
      </c>
    </row>
    <row r="130" spans="8:37" x14ac:dyDescent="0.3">
      <c r="H130" t="s">
        <v>154</v>
      </c>
      <c r="I130" s="1">
        <v>0.72730324074074071</v>
      </c>
      <c r="J130" s="1">
        <v>0.72730747685185182</v>
      </c>
      <c r="K130" s="1">
        <v>0.72741898148148154</v>
      </c>
      <c r="L130" s="1">
        <f t="shared" si="4"/>
        <v>4.2361111111111072E-6</v>
      </c>
      <c r="M130" s="1">
        <f t="shared" si="4"/>
        <v>1.1150462962972174E-4</v>
      </c>
      <c r="N130" t="s">
        <v>31</v>
      </c>
      <c r="O130" s="5">
        <f t="shared" si="5"/>
        <v>365.99999999999966</v>
      </c>
      <c r="P130" s="4">
        <f t="shared" si="6"/>
        <v>9.6340000000079584</v>
      </c>
      <c r="AI130" t="s">
        <v>212</v>
      </c>
      <c r="AJ130" s="5">
        <v>423</v>
      </c>
      <c r="AK130">
        <v>0.54400000000000004</v>
      </c>
    </row>
    <row r="131" spans="8:37" x14ac:dyDescent="0.3">
      <c r="H131" t="s">
        <v>155</v>
      </c>
      <c r="I131" s="1">
        <v>0.72730324074074071</v>
      </c>
      <c r="J131" s="1">
        <v>0.72730747685185182</v>
      </c>
      <c r="K131" s="1">
        <v>0.72736111111111112</v>
      </c>
      <c r="L131" s="1">
        <f t="shared" ref="L131:M137" si="7">J131-I131</f>
        <v>4.2361111111111072E-6</v>
      </c>
      <c r="M131" s="1">
        <f t="shared" si="7"/>
        <v>5.3634259259305317E-5</v>
      </c>
      <c r="N131" t="s">
        <v>32</v>
      </c>
      <c r="O131" s="5">
        <f t="shared" ref="O131:O137" si="8">L131*86400000</f>
        <v>365.99999999999966</v>
      </c>
      <c r="P131" s="4">
        <f t="shared" ref="P131:P137" si="9">M131*86400</f>
        <v>4.6340000000039794</v>
      </c>
      <c r="AI131" t="s">
        <v>213</v>
      </c>
      <c r="AJ131" s="5">
        <v>121</v>
      </c>
      <c r="AK131">
        <v>3.9020000000000001</v>
      </c>
    </row>
    <row r="132" spans="8:37" x14ac:dyDescent="0.3">
      <c r="H132" t="s">
        <v>156</v>
      </c>
      <c r="I132" s="1">
        <v>0.72730324074074071</v>
      </c>
      <c r="J132" s="1">
        <v>0.72731240740740744</v>
      </c>
      <c r="K132" s="1">
        <v>0.72739583333333335</v>
      </c>
      <c r="L132" s="1">
        <f t="shared" si="7"/>
        <v>9.1666666667267194E-6</v>
      </c>
      <c r="M132" s="1">
        <f t="shared" si="7"/>
        <v>8.3425925925917355E-5</v>
      </c>
      <c r="N132" t="s">
        <v>32</v>
      </c>
      <c r="O132" s="5">
        <f t="shared" si="8"/>
        <v>792.00000000518855</v>
      </c>
      <c r="P132" s="4">
        <f t="shared" si="9"/>
        <v>7.2079999999992594</v>
      </c>
      <c r="AI132" t="s">
        <v>214</v>
      </c>
      <c r="AJ132" s="5">
        <v>932</v>
      </c>
      <c r="AK132">
        <v>4.7989999999999897</v>
      </c>
    </row>
    <row r="133" spans="8:37" x14ac:dyDescent="0.3">
      <c r="H133" t="s">
        <v>157</v>
      </c>
      <c r="I133" s="1">
        <v>0.72730324074074071</v>
      </c>
      <c r="J133" s="1">
        <v>0.72731336805555558</v>
      </c>
      <c r="K133" s="1">
        <v>0.7273842592592592</v>
      </c>
      <c r="L133" s="1">
        <f t="shared" si="7"/>
        <v>1.0127314814867283E-5</v>
      </c>
      <c r="M133" s="1">
        <f t="shared" si="7"/>
        <v>7.0891203703626893E-5</v>
      </c>
      <c r="N133" t="s">
        <v>32</v>
      </c>
      <c r="O133" s="5">
        <f t="shared" si="8"/>
        <v>875.00000000453326</v>
      </c>
      <c r="P133" s="4">
        <f t="shared" si="9"/>
        <v>6.1249999999933635</v>
      </c>
      <c r="AI133" t="s">
        <v>215</v>
      </c>
      <c r="AJ133" s="5">
        <v>875</v>
      </c>
      <c r="AK133">
        <v>3.6909999999999998</v>
      </c>
    </row>
    <row r="134" spans="8:37" x14ac:dyDescent="0.3">
      <c r="H134" t="s">
        <v>158</v>
      </c>
      <c r="I134" s="1">
        <v>0.72730324074074071</v>
      </c>
      <c r="J134" s="1">
        <v>0.72731336805555558</v>
      </c>
      <c r="K134" s="1">
        <v>0.72737268518518527</v>
      </c>
      <c r="L134" s="1">
        <f t="shared" si="7"/>
        <v>1.0127314814867283E-5</v>
      </c>
      <c r="M134" s="1">
        <f t="shared" si="7"/>
        <v>5.9317129629699039E-5</v>
      </c>
      <c r="N134" t="s">
        <v>31</v>
      </c>
      <c r="O134" s="5">
        <f t="shared" si="8"/>
        <v>875.00000000453326</v>
      </c>
      <c r="P134" s="4">
        <f t="shared" si="9"/>
        <v>5.125000000005997</v>
      </c>
      <c r="AI134" t="s">
        <v>216</v>
      </c>
      <c r="AJ134" s="5">
        <v>240</v>
      </c>
      <c r="AK134">
        <v>0.754</v>
      </c>
    </row>
    <row r="135" spans="8:37" x14ac:dyDescent="0.3">
      <c r="H135" t="s">
        <v>159</v>
      </c>
      <c r="I135" s="1">
        <v>0.72730324074074071</v>
      </c>
      <c r="J135" s="1">
        <v>0.72731497685185176</v>
      </c>
      <c r="K135" s="1">
        <v>0.72741898148148154</v>
      </c>
      <c r="L135" s="1">
        <f t="shared" si="7"/>
        <v>1.1736111111049219E-5</v>
      </c>
      <c r="M135" s="1">
        <f t="shared" si="7"/>
        <v>1.0400462962978363E-4</v>
      </c>
      <c r="N135" t="s">
        <v>31</v>
      </c>
      <c r="O135" s="5">
        <f t="shared" si="8"/>
        <v>1013.9999999946525</v>
      </c>
      <c r="P135" s="4">
        <f t="shared" si="9"/>
        <v>8.9860000000133056</v>
      </c>
      <c r="AI135" t="s">
        <v>217</v>
      </c>
      <c r="AJ135" s="5">
        <v>230</v>
      </c>
      <c r="AK135">
        <v>0.54400000000000004</v>
      </c>
    </row>
    <row r="136" spans="8:37" x14ac:dyDescent="0.3">
      <c r="H136" t="s">
        <v>160</v>
      </c>
      <c r="I136" s="1">
        <v>0.72730324074074071</v>
      </c>
      <c r="J136" s="1">
        <v>0.72731519675925915</v>
      </c>
      <c r="K136" s="1">
        <v>0.72736111111111112</v>
      </c>
      <c r="L136" s="1">
        <f t="shared" si="7"/>
        <v>1.1956018518444189E-5</v>
      </c>
      <c r="M136" s="1">
        <f t="shared" si="7"/>
        <v>4.5914351851972235E-5</v>
      </c>
      <c r="N136" t="s">
        <v>32</v>
      </c>
      <c r="O136" s="5">
        <f t="shared" si="8"/>
        <v>1032.9999999935781</v>
      </c>
      <c r="P136" s="4">
        <f t="shared" si="9"/>
        <v>3.9670000000104011</v>
      </c>
      <c r="AI136" t="s">
        <v>218</v>
      </c>
      <c r="AJ136" s="5">
        <v>1131</v>
      </c>
      <c r="AK136">
        <v>5.548</v>
      </c>
    </row>
    <row r="137" spans="8:37" x14ac:dyDescent="0.3">
      <c r="H137" t="s">
        <v>161</v>
      </c>
      <c r="I137" s="1">
        <v>0.72731481481481486</v>
      </c>
      <c r="J137" s="1">
        <v>0.72731724537037035</v>
      </c>
      <c r="K137" s="1">
        <v>0.72739583333333335</v>
      </c>
      <c r="L137" s="1">
        <f t="shared" si="7"/>
        <v>2.4305555554882119E-6</v>
      </c>
      <c r="M137" s="1">
        <f t="shared" si="7"/>
        <v>7.8587962963005964E-5</v>
      </c>
      <c r="N137" t="s">
        <v>32</v>
      </c>
      <c r="O137" s="5">
        <f t="shared" si="8"/>
        <v>209.99999999418151</v>
      </c>
      <c r="P137" s="4">
        <f t="shared" si="9"/>
        <v>6.7900000000037153</v>
      </c>
      <c r="AI137" t="s">
        <v>219</v>
      </c>
      <c r="AJ137" s="5">
        <v>342</v>
      </c>
      <c r="AK137">
        <v>4.6909999999999998</v>
      </c>
    </row>
    <row r="138" spans="8:37" x14ac:dyDescent="0.3">
      <c r="I138" s="1"/>
      <c r="J138" s="1"/>
      <c r="K138" s="1"/>
      <c r="L138" s="1"/>
      <c r="M138" s="1"/>
    </row>
    <row r="139" spans="8:37" x14ac:dyDescent="0.3">
      <c r="I139" s="1"/>
      <c r="J139" s="1"/>
      <c r="K139" s="1"/>
      <c r="L139" s="1"/>
      <c r="M139" s="1"/>
    </row>
    <row r="140" spans="8:37" x14ac:dyDescent="0.3">
      <c r="I140" s="1"/>
      <c r="J140" s="1"/>
      <c r="K140" s="1"/>
      <c r="L140" s="1"/>
      <c r="M140" s="1"/>
    </row>
    <row r="141" spans="8:37" x14ac:dyDescent="0.3">
      <c r="I141" s="1"/>
      <c r="J141" s="1"/>
      <c r="K141" s="1"/>
      <c r="L141" s="1"/>
      <c r="M141" s="1"/>
    </row>
    <row r="142" spans="8:37" x14ac:dyDescent="0.3">
      <c r="I142" s="1"/>
      <c r="J142" s="1"/>
      <c r="K142" s="1"/>
      <c r="L142" s="1"/>
      <c r="M142" s="1"/>
    </row>
    <row r="143" spans="8:37" x14ac:dyDescent="0.3">
      <c r="I143" s="1"/>
      <c r="J143" s="1"/>
      <c r="K143" s="1"/>
      <c r="L143" s="1"/>
      <c r="M143" s="1"/>
    </row>
    <row r="144" spans="8:37" x14ac:dyDescent="0.3">
      <c r="I144" s="1"/>
      <c r="J144" s="1"/>
      <c r="K144" s="1"/>
      <c r="L144" s="1"/>
      <c r="M144" s="1"/>
    </row>
    <row r="145" spans="9:13" x14ac:dyDescent="0.3">
      <c r="I145" s="1"/>
      <c r="J145" s="1"/>
      <c r="K145" s="1"/>
      <c r="L145" s="1"/>
      <c r="M145" s="1"/>
    </row>
    <row r="146" spans="9:13" x14ac:dyDescent="0.3">
      <c r="I146" s="1"/>
      <c r="J146" s="1"/>
      <c r="K146" s="1"/>
      <c r="L146" s="1"/>
      <c r="M146" s="1"/>
    </row>
    <row r="147" spans="9:13" x14ac:dyDescent="0.3">
      <c r="I147" s="1"/>
      <c r="J147" s="1"/>
      <c r="K147" s="1"/>
      <c r="L147" s="1"/>
      <c r="M147" s="1"/>
    </row>
    <row r="148" spans="9:13" x14ac:dyDescent="0.3">
      <c r="I148" s="1"/>
      <c r="J148" s="1"/>
      <c r="K148" s="1"/>
      <c r="L148" s="1"/>
      <c r="M148" s="1"/>
    </row>
    <row r="149" spans="9:13" x14ac:dyDescent="0.3">
      <c r="I149" s="1"/>
      <c r="J149" s="1"/>
      <c r="K149" s="1"/>
      <c r="L149" s="1"/>
      <c r="M149" s="1"/>
    </row>
    <row r="150" spans="9:13" x14ac:dyDescent="0.3">
      <c r="I150" s="1"/>
      <c r="J150" s="1"/>
      <c r="K150" s="1"/>
      <c r="L150" s="1"/>
      <c r="M150" s="1"/>
    </row>
    <row r="151" spans="9:13" x14ac:dyDescent="0.3">
      <c r="I151" s="1"/>
      <c r="J151" s="1"/>
      <c r="K151" s="1"/>
      <c r="L151" s="1"/>
      <c r="M151" s="1"/>
    </row>
    <row r="152" spans="9:13" x14ac:dyDescent="0.3">
      <c r="I152" s="1"/>
      <c r="J152" s="1"/>
      <c r="K152" s="1"/>
      <c r="L152" s="1"/>
      <c r="M152" s="1"/>
    </row>
    <row r="153" spans="9:13" x14ac:dyDescent="0.3">
      <c r="I153" s="1"/>
      <c r="J153" s="1"/>
      <c r="K153" s="1"/>
      <c r="L153" s="1"/>
      <c r="M153" s="1"/>
    </row>
    <row r="154" spans="9:13" x14ac:dyDescent="0.3">
      <c r="I154" s="1"/>
      <c r="J154" s="1"/>
      <c r="K154" s="1"/>
      <c r="L154" s="1"/>
      <c r="M154" s="1"/>
    </row>
    <row r="155" spans="9:13" x14ac:dyDescent="0.3">
      <c r="I155" s="1"/>
      <c r="J155" s="1"/>
      <c r="K155" s="1"/>
      <c r="L155" s="1"/>
      <c r="M155" s="1"/>
    </row>
    <row r="156" spans="9:13" x14ac:dyDescent="0.3">
      <c r="I156" s="1"/>
      <c r="J156" s="1"/>
      <c r="K156" s="1"/>
      <c r="L156" s="1"/>
      <c r="M156" s="1"/>
    </row>
    <row r="157" spans="9:13" x14ac:dyDescent="0.3">
      <c r="I157" s="1"/>
      <c r="J157" s="1"/>
      <c r="K157" s="1"/>
      <c r="L157" s="1"/>
      <c r="M157" s="1"/>
    </row>
    <row r="158" spans="9:13" x14ac:dyDescent="0.3">
      <c r="I158" s="1"/>
      <c r="J158" s="1"/>
      <c r="K158" s="1"/>
      <c r="L158" s="1"/>
      <c r="M158" s="1"/>
    </row>
    <row r="159" spans="9:13" x14ac:dyDescent="0.3">
      <c r="I159" s="1"/>
      <c r="J159" s="1"/>
      <c r="K159" s="1"/>
      <c r="L159" s="1"/>
      <c r="M159" s="1"/>
    </row>
    <row r="160" spans="9:13" x14ac:dyDescent="0.3">
      <c r="I160" s="1"/>
      <c r="J160" s="1"/>
      <c r="K160" s="1"/>
      <c r="L160" s="1"/>
      <c r="M160" s="1"/>
    </row>
    <row r="161" spans="9:13" x14ac:dyDescent="0.3">
      <c r="I161" s="1"/>
      <c r="J161" s="1"/>
      <c r="K161" s="1"/>
      <c r="L161" s="1"/>
      <c r="M161" s="1"/>
    </row>
    <row r="162" spans="9:13" x14ac:dyDescent="0.3">
      <c r="I162" s="1"/>
      <c r="J162" s="1"/>
      <c r="K162" s="1"/>
      <c r="L162" s="1"/>
      <c r="M162" s="1"/>
    </row>
    <row r="163" spans="9:13" x14ac:dyDescent="0.3">
      <c r="I163" s="1"/>
      <c r="J163" s="1"/>
      <c r="K163" s="1"/>
      <c r="L163" s="1"/>
      <c r="M163" s="1"/>
    </row>
    <row r="164" spans="9:13" x14ac:dyDescent="0.3">
      <c r="I164" s="1"/>
      <c r="J164" s="1"/>
      <c r="K164" s="1"/>
      <c r="L164" s="1"/>
      <c r="M164" s="1"/>
    </row>
    <row r="165" spans="9:13" x14ac:dyDescent="0.3">
      <c r="I165" s="1"/>
      <c r="J165" s="1"/>
      <c r="K165" s="1"/>
      <c r="L165" s="1"/>
      <c r="M165" s="1"/>
    </row>
    <row r="166" spans="9:13" x14ac:dyDescent="0.3">
      <c r="I166" s="1"/>
      <c r="J166" s="1"/>
      <c r="K166" s="1"/>
      <c r="L166" s="1"/>
      <c r="M166" s="1"/>
    </row>
    <row r="167" spans="9:13" x14ac:dyDescent="0.3">
      <c r="I167" s="1"/>
      <c r="J167" s="1"/>
      <c r="K167" s="1"/>
      <c r="L167" s="1"/>
      <c r="M167" s="1"/>
    </row>
    <row r="168" spans="9:13" x14ac:dyDescent="0.3">
      <c r="I168" s="1"/>
      <c r="J168" s="1"/>
      <c r="K168" s="1"/>
      <c r="L168" s="1"/>
      <c r="M168" s="1"/>
    </row>
    <row r="169" spans="9:13" x14ac:dyDescent="0.3">
      <c r="I169" s="1"/>
      <c r="J169" s="1"/>
      <c r="K169" s="1"/>
      <c r="L169" s="1"/>
      <c r="M169" s="1"/>
    </row>
    <row r="170" spans="9:13" x14ac:dyDescent="0.3">
      <c r="I170" s="1"/>
      <c r="J170" s="1"/>
      <c r="K170" s="1"/>
      <c r="L170" s="1"/>
      <c r="M170" s="1"/>
    </row>
    <row r="171" spans="9:13" x14ac:dyDescent="0.3">
      <c r="I171" s="1"/>
      <c r="J171" s="1"/>
      <c r="K171" s="1"/>
      <c r="L171" s="1"/>
      <c r="M171" s="1"/>
    </row>
    <row r="172" spans="9:13" x14ac:dyDescent="0.3">
      <c r="I172" s="1"/>
      <c r="J172" s="1"/>
      <c r="K172" s="1"/>
      <c r="L172" s="1"/>
      <c r="M172" s="1"/>
    </row>
    <row r="173" spans="9:13" x14ac:dyDescent="0.3">
      <c r="I173" s="1"/>
      <c r="J173" s="1"/>
      <c r="K173" s="1"/>
      <c r="L173" s="1"/>
      <c r="M173" s="1"/>
    </row>
    <row r="174" spans="9:13" x14ac:dyDescent="0.3">
      <c r="I174" s="1"/>
      <c r="J174" s="1"/>
      <c r="K174" s="1"/>
      <c r="L174" s="1"/>
      <c r="M174" s="1"/>
    </row>
    <row r="175" spans="9:13" x14ac:dyDescent="0.3">
      <c r="I175" s="1"/>
      <c r="J175" s="1"/>
      <c r="K175" s="1"/>
      <c r="L175" s="1"/>
      <c r="M175" s="1"/>
    </row>
    <row r="176" spans="9:13" x14ac:dyDescent="0.3">
      <c r="I176" s="1"/>
      <c r="J176" s="1"/>
      <c r="K176" s="1"/>
      <c r="L176" s="1"/>
      <c r="M176" s="1"/>
    </row>
    <row r="177" spans="9:13" x14ac:dyDescent="0.3">
      <c r="I177" s="1"/>
      <c r="J177" s="1"/>
      <c r="K177" s="1"/>
      <c r="L177" s="1"/>
      <c r="M177" s="1"/>
    </row>
    <row r="178" spans="9:13" x14ac:dyDescent="0.3">
      <c r="I178" s="1"/>
      <c r="J178" s="1"/>
      <c r="K178" s="1"/>
      <c r="L178" s="1"/>
      <c r="M178" s="1"/>
    </row>
    <row r="179" spans="9:13" x14ac:dyDescent="0.3">
      <c r="I179" s="1"/>
      <c r="J179" s="1"/>
      <c r="K179" s="1"/>
      <c r="L179" s="1"/>
      <c r="M179" s="1"/>
    </row>
    <row r="180" spans="9:13" x14ac:dyDescent="0.3">
      <c r="I180" s="1"/>
      <c r="J180" s="1"/>
      <c r="K180" s="1"/>
      <c r="L180" s="1"/>
      <c r="M180" s="1"/>
    </row>
    <row r="181" spans="9:13" x14ac:dyDescent="0.3">
      <c r="I181" s="1"/>
      <c r="J181" s="1"/>
      <c r="K181" s="1"/>
      <c r="L181" s="1"/>
      <c r="M181" s="1"/>
    </row>
    <row r="182" spans="9:13" x14ac:dyDescent="0.3">
      <c r="I182" s="1"/>
      <c r="J182" s="1"/>
      <c r="K182" s="1"/>
      <c r="L182" s="1"/>
      <c r="M182" s="1"/>
    </row>
    <row r="183" spans="9:13" x14ac:dyDescent="0.3">
      <c r="I183" s="1"/>
      <c r="J183" s="1"/>
      <c r="K183" s="1"/>
      <c r="L183" s="1"/>
      <c r="M183" s="1"/>
    </row>
    <row r="184" spans="9:13" x14ac:dyDescent="0.3">
      <c r="I184" s="1"/>
      <c r="J184" s="1"/>
      <c r="K184" s="1"/>
      <c r="L184" s="1"/>
      <c r="M184" s="1"/>
    </row>
    <row r="185" spans="9:13" x14ac:dyDescent="0.3">
      <c r="I185" s="1"/>
      <c r="J185" s="1"/>
      <c r="K185" s="1"/>
      <c r="L185" s="1"/>
      <c r="M185" s="1"/>
    </row>
    <row r="186" spans="9:13" x14ac:dyDescent="0.3">
      <c r="I186" s="1"/>
      <c r="J186" s="1"/>
      <c r="K186" s="1"/>
      <c r="L186" s="1"/>
      <c r="M186" s="1"/>
    </row>
    <row r="187" spans="9:13" x14ac:dyDescent="0.3">
      <c r="I187" s="1"/>
      <c r="J187" s="1"/>
      <c r="K187" s="1"/>
      <c r="L187" s="1"/>
      <c r="M187" s="1"/>
    </row>
    <row r="188" spans="9:13" x14ac:dyDescent="0.3">
      <c r="I188" s="1"/>
      <c r="J188" s="1"/>
      <c r="K188" s="1"/>
      <c r="L188" s="1"/>
      <c r="M188" s="1"/>
    </row>
    <row r="189" spans="9:13" x14ac:dyDescent="0.3">
      <c r="I189" s="1"/>
      <c r="J189" s="1"/>
      <c r="K189" s="1"/>
      <c r="L189" s="1"/>
      <c r="M189" s="1"/>
    </row>
    <row r="190" spans="9:13" x14ac:dyDescent="0.3">
      <c r="I190" s="1"/>
      <c r="J190" s="1"/>
      <c r="K190" s="1"/>
      <c r="L190" s="1"/>
      <c r="M190" s="1"/>
    </row>
    <row r="191" spans="9:13" x14ac:dyDescent="0.3">
      <c r="I191" s="1"/>
      <c r="J191" s="1"/>
      <c r="K191" s="1"/>
      <c r="L191" s="1"/>
      <c r="M191" s="1"/>
    </row>
    <row r="192" spans="9:13" x14ac:dyDescent="0.3">
      <c r="I192" s="1"/>
      <c r="J192" s="1"/>
      <c r="K192" s="1"/>
      <c r="L192" s="1"/>
      <c r="M192" s="1"/>
    </row>
    <row r="193" spans="9:13" x14ac:dyDescent="0.3">
      <c r="I193" s="1"/>
      <c r="J193" s="1"/>
      <c r="K193" s="1"/>
      <c r="L193" s="1"/>
      <c r="M193" s="1"/>
    </row>
    <row r="194" spans="9:13" x14ac:dyDescent="0.3">
      <c r="I194" s="1"/>
      <c r="J194" s="1"/>
      <c r="K194" s="1"/>
      <c r="L194" s="1"/>
      <c r="M194" s="1"/>
    </row>
    <row r="195" spans="9:13" x14ac:dyDescent="0.3">
      <c r="I195" s="1"/>
      <c r="J195" s="1"/>
      <c r="K195" s="1"/>
      <c r="L195" s="1"/>
      <c r="M195" s="1"/>
    </row>
    <row r="196" spans="9:13" x14ac:dyDescent="0.3">
      <c r="I196" s="1"/>
      <c r="J196" s="1"/>
      <c r="K196" s="1"/>
      <c r="L196" s="1"/>
      <c r="M196" s="1"/>
    </row>
    <row r="197" spans="9:13" x14ac:dyDescent="0.3">
      <c r="I197" s="1"/>
      <c r="J197" s="1"/>
      <c r="K197" s="1"/>
      <c r="L197" s="1"/>
      <c r="M197" s="1"/>
    </row>
    <row r="198" spans="9:13" x14ac:dyDescent="0.3">
      <c r="I198" s="1"/>
      <c r="J198" s="1"/>
      <c r="K198" s="1"/>
      <c r="L198" s="1"/>
      <c r="M198" s="1"/>
    </row>
    <row r="199" spans="9:13" x14ac:dyDescent="0.3">
      <c r="I199" s="1"/>
      <c r="J199" s="1"/>
      <c r="K199" s="1"/>
      <c r="L199" s="1"/>
      <c r="M199" s="1"/>
    </row>
    <row r="200" spans="9:13" x14ac:dyDescent="0.3">
      <c r="I200" s="1"/>
      <c r="J200" s="1"/>
      <c r="K200" s="1"/>
      <c r="L200" s="1"/>
      <c r="M200" s="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982E3-DC25-444D-BBEA-FA41AC84DF11}">
  <dimension ref="A1:AF41"/>
  <sheetViews>
    <sheetView tabSelected="1" topLeftCell="A19" workbookViewId="0">
      <selection activeCell="C39" sqref="C39"/>
    </sheetView>
  </sheetViews>
  <sheetFormatPr defaultRowHeight="14.4" x14ac:dyDescent="0.3"/>
  <sheetData>
    <row r="1" spans="1:32" x14ac:dyDescent="0.3">
      <c r="A1" t="s">
        <v>236</v>
      </c>
      <c r="P1" t="s">
        <v>235</v>
      </c>
      <c r="AF1" t="s">
        <v>238</v>
      </c>
    </row>
    <row r="22" spans="1:20" x14ac:dyDescent="0.3">
      <c r="A22" t="s">
        <v>236</v>
      </c>
      <c r="E22" t="s">
        <v>235</v>
      </c>
      <c r="I22" t="s">
        <v>237</v>
      </c>
      <c r="R22" s="10" t="s">
        <v>247</v>
      </c>
      <c r="S22" s="10"/>
      <c r="T22" s="10"/>
    </row>
    <row r="23" spans="1:20" x14ac:dyDescent="0.3">
      <c r="A23">
        <v>1</v>
      </c>
      <c r="B23">
        <v>35</v>
      </c>
      <c r="C23">
        <f>B23*R23</f>
        <v>28.035</v>
      </c>
      <c r="D23">
        <f>MAX(0, B23-J23)</f>
        <v>0</v>
      </c>
      <c r="E23">
        <v>1</v>
      </c>
      <c r="F23">
        <v>0</v>
      </c>
      <c r="G23">
        <f>F23*R23</f>
        <v>0</v>
      </c>
      <c r="H23">
        <f>MAX(0, F23-K23)</f>
        <v>0</v>
      </c>
      <c r="I23">
        <v>1</v>
      </c>
      <c r="J23">
        <v>56</v>
      </c>
      <c r="K23">
        <f>J23*R23</f>
        <v>44.856000000000002</v>
      </c>
      <c r="Q23" t="s">
        <v>245</v>
      </c>
      <c r="R23">
        <v>0.80100000000000005</v>
      </c>
    </row>
    <row r="24" spans="1:20" x14ac:dyDescent="0.3">
      <c r="A24">
        <v>2</v>
      </c>
      <c r="B24">
        <v>34</v>
      </c>
      <c r="C24">
        <f t="shared" ref="C24:C26" si="0">B24*R24</f>
        <v>29.41</v>
      </c>
      <c r="D24">
        <f t="shared" ref="D24:D25" si="1">MAX(0, B24-J24)</f>
        <v>0</v>
      </c>
      <c r="E24">
        <v>2</v>
      </c>
      <c r="F24">
        <v>25</v>
      </c>
      <c r="G24">
        <f t="shared" ref="G24:G26" si="2">F24*R24</f>
        <v>21.625</v>
      </c>
      <c r="H24">
        <f t="shared" ref="H24:H26" si="3">MAX(0, F24-K24)</f>
        <v>0</v>
      </c>
      <c r="I24">
        <v>2</v>
      </c>
      <c r="J24">
        <v>56</v>
      </c>
      <c r="K24">
        <f t="shared" ref="K24:K26" si="4">J24*R24</f>
        <v>48.44</v>
      </c>
      <c r="Q24" t="s">
        <v>32</v>
      </c>
      <c r="R24">
        <v>0.86499999999999999</v>
      </c>
    </row>
    <row r="25" spans="1:20" x14ac:dyDescent="0.3">
      <c r="A25">
        <v>3</v>
      </c>
      <c r="B25">
        <v>35</v>
      </c>
      <c r="C25">
        <f t="shared" si="0"/>
        <v>35.805</v>
      </c>
      <c r="D25">
        <f>MAX(0, B25-J25)</f>
        <v>10</v>
      </c>
      <c r="E25">
        <v>3</v>
      </c>
      <c r="F25">
        <v>56</v>
      </c>
      <c r="G25">
        <f t="shared" si="2"/>
        <v>57.287999999999997</v>
      </c>
      <c r="H25">
        <f t="shared" si="3"/>
        <v>30.425000000000001</v>
      </c>
      <c r="I25">
        <v>3</v>
      </c>
      <c r="J25">
        <v>25</v>
      </c>
      <c r="K25">
        <f t="shared" si="4"/>
        <v>25.574999999999999</v>
      </c>
      <c r="Q25" t="s">
        <v>31</v>
      </c>
      <c r="R25">
        <v>1.0229999999999999</v>
      </c>
    </row>
    <row r="26" spans="1:20" x14ac:dyDescent="0.3">
      <c r="A26">
        <v>4</v>
      </c>
      <c r="B26">
        <v>34</v>
      </c>
      <c r="C26">
        <f t="shared" si="0"/>
        <v>36.617999999999995</v>
      </c>
      <c r="D26">
        <f>MAX(0, B26-J26)</f>
        <v>34</v>
      </c>
      <c r="E26">
        <v>4</v>
      </c>
      <c r="F26">
        <v>56</v>
      </c>
      <c r="G26">
        <f t="shared" si="2"/>
        <v>60.311999999999998</v>
      </c>
      <c r="H26">
        <f t="shared" si="3"/>
        <v>56</v>
      </c>
      <c r="I26">
        <v>4</v>
      </c>
      <c r="J26">
        <v>0</v>
      </c>
      <c r="K26">
        <f t="shared" si="4"/>
        <v>0</v>
      </c>
      <c r="Q26" t="s">
        <v>246</v>
      </c>
      <c r="R26">
        <v>1.077</v>
      </c>
    </row>
    <row r="28" spans="1:20" x14ac:dyDescent="0.3">
      <c r="B28">
        <f>SUM(B23:B26)</f>
        <v>138</v>
      </c>
      <c r="C28">
        <f>SUM(C23:C26)</f>
        <v>129.86799999999999</v>
      </c>
      <c r="D28">
        <f>SUM(D23:D26)</f>
        <v>44</v>
      </c>
      <c r="F28">
        <f>SUM(F23:F26)</f>
        <v>137</v>
      </c>
      <c r="G28">
        <f>SUM(G23:G26)</f>
        <v>139.22499999999999</v>
      </c>
      <c r="H28">
        <f>SUM(H23:H26)</f>
        <v>86.424999999999997</v>
      </c>
      <c r="J28">
        <f>SUM(J23:J26)</f>
        <v>137</v>
      </c>
      <c r="K28">
        <f>SUM(K23:K26)</f>
        <v>118.871</v>
      </c>
    </row>
    <row r="29" spans="1:20" x14ac:dyDescent="0.3">
      <c r="D29">
        <f>100 - (D28/B28)*100</f>
        <v>68.115942028985515</v>
      </c>
      <c r="H29">
        <f>100 - (H28/F28)*100</f>
        <v>36.916058394160586</v>
      </c>
    </row>
    <row r="32" spans="1:20" x14ac:dyDescent="0.3">
      <c r="B32">
        <f>Processor!H16</f>
        <v>63.456000000000003</v>
      </c>
      <c r="C32">
        <f>C28/B28</f>
        <v>0.94107246376811593</v>
      </c>
      <c r="D32" t="s">
        <v>248</v>
      </c>
      <c r="F32">
        <f>Processor!H16</f>
        <v>63.456000000000003</v>
      </c>
      <c r="G32">
        <f>G28/F28</f>
        <v>1.0162408759124086</v>
      </c>
      <c r="H32" t="s">
        <v>248</v>
      </c>
      <c r="J32">
        <f>Processor!H16</f>
        <v>63.456000000000003</v>
      </c>
      <c r="K32">
        <f>K28/J28</f>
        <v>0.86767153284671528</v>
      </c>
      <c r="L32" t="s">
        <v>248</v>
      </c>
    </row>
    <row r="33" spans="1:12" x14ac:dyDescent="0.3">
      <c r="C33">
        <f>B32*C32</f>
        <v>59.716694260869566</v>
      </c>
      <c r="D33" t="s">
        <v>251</v>
      </c>
      <c r="G33">
        <f>F32*G32</f>
        <v>64.486581021897805</v>
      </c>
      <c r="H33" t="s">
        <v>251</v>
      </c>
      <c r="K33">
        <f>J32*K32</f>
        <v>55.05896478832117</v>
      </c>
      <c r="L33" t="s">
        <v>251</v>
      </c>
    </row>
    <row r="34" spans="1:12" x14ac:dyDescent="0.3">
      <c r="C34">
        <f>0.454*C33</f>
        <v>27.111379194434782</v>
      </c>
      <c r="D34" t="s">
        <v>250</v>
      </c>
      <c r="G34">
        <f>0.454*G33</f>
        <v>29.276907783941606</v>
      </c>
      <c r="H34" t="s">
        <v>250</v>
      </c>
      <c r="K34">
        <f>0.454*K33</f>
        <v>24.996770013897812</v>
      </c>
      <c r="L34" t="s">
        <v>250</v>
      </c>
    </row>
    <row r="36" spans="1:12" x14ac:dyDescent="0.3">
      <c r="A36" s="10" t="s">
        <v>253</v>
      </c>
      <c r="B36" s="10"/>
      <c r="C36">
        <f>(C34/B28)*1000</f>
        <v>196.45926952488975</v>
      </c>
      <c r="D36" t="s">
        <v>252</v>
      </c>
      <c r="E36" s="10" t="s">
        <v>253</v>
      </c>
      <c r="F36" s="10"/>
      <c r="G36">
        <f>(G34/F28)*1000</f>
        <v>213.70005681709199</v>
      </c>
      <c r="H36" t="s">
        <v>252</v>
      </c>
      <c r="I36" s="10" t="s">
        <v>253</v>
      </c>
      <c r="J36" s="10"/>
      <c r="K36">
        <f>(K34/J28)*1000</f>
        <v>182.45817528392564</v>
      </c>
      <c r="L36" t="s">
        <v>252</v>
      </c>
    </row>
    <row r="39" spans="1:12" x14ac:dyDescent="0.3">
      <c r="C39">
        <f>24*60*60/(55/1000)</f>
        <v>1570909.0909090908</v>
      </c>
    </row>
    <row r="41" spans="1:12" x14ac:dyDescent="0.3">
      <c r="A41" t="s">
        <v>261</v>
      </c>
      <c r="C41">
        <f>(C36/C39)*1000000</f>
        <v>125.06087759107565</v>
      </c>
      <c r="D41" t="s">
        <v>259</v>
      </c>
      <c r="G41">
        <f>(G36/C39)*1000000</f>
        <v>136.03591579791734</v>
      </c>
      <c r="K41">
        <f>(K36/C39)*1000000</f>
        <v>116.14814398861009</v>
      </c>
    </row>
  </sheetData>
  <mergeCells count="4">
    <mergeCell ref="R22:T22"/>
    <mergeCell ref="A36:B36"/>
    <mergeCell ref="E36:F36"/>
    <mergeCell ref="I36:J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805C-F90F-4309-9F02-473C3D8F7DB7}">
  <dimension ref="A1:R24"/>
  <sheetViews>
    <sheetView workbookViewId="0">
      <selection activeCell="A2" sqref="A2"/>
    </sheetView>
  </sheetViews>
  <sheetFormatPr defaultRowHeight="14.4" x14ac:dyDescent="0.3"/>
  <cols>
    <col min="1" max="1" width="33.44140625" customWidth="1"/>
    <col min="2" max="2" width="12.88671875" customWidth="1"/>
  </cols>
  <sheetData>
    <row r="1" spans="1:18" x14ac:dyDescent="0.3">
      <c r="A1" t="s">
        <v>5</v>
      </c>
      <c r="B1" t="s">
        <v>17</v>
      </c>
      <c r="C1" t="s">
        <v>6</v>
      </c>
    </row>
    <row r="2" spans="1:18" x14ac:dyDescent="0.3">
      <c r="A2" t="s">
        <v>8</v>
      </c>
      <c r="B2" s="2">
        <v>165</v>
      </c>
      <c r="C2" t="s">
        <v>7</v>
      </c>
    </row>
    <row r="3" spans="1:18" x14ac:dyDescent="0.3">
      <c r="A3" t="s">
        <v>9</v>
      </c>
      <c r="B3">
        <v>155</v>
      </c>
      <c r="C3" t="s">
        <v>10</v>
      </c>
    </row>
    <row r="4" spans="1:18" x14ac:dyDescent="0.3">
      <c r="A4" t="s">
        <v>11</v>
      </c>
      <c r="B4">
        <v>155</v>
      </c>
      <c r="C4" t="s">
        <v>10</v>
      </c>
    </row>
    <row r="5" spans="1:18" x14ac:dyDescent="0.3">
      <c r="A5" t="s">
        <v>12</v>
      </c>
      <c r="B5">
        <v>145</v>
      </c>
      <c r="C5" t="s">
        <v>13</v>
      </c>
    </row>
    <row r="6" spans="1:18" x14ac:dyDescent="0.3">
      <c r="A6" t="s">
        <v>14</v>
      </c>
      <c r="B6">
        <v>165</v>
      </c>
      <c r="C6" t="s">
        <v>15</v>
      </c>
    </row>
    <row r="8" spans="1:18" x14ac:dyDescent="0.3">
      <c r="A8" t="s">
        <v>16</v>
      </c>
      <c r="B8">
        <v>165</v>
      </c>
    </row>
    <row r="11" spans="1:18" x14ac:dyDescent="0.3">
      <c r="A11" t="s">
        <v>18</v>
      </c>
      <c r="B11" t="s">
        <v>19</v>
      </c>
      <c r="M11" t="s">
        <v>243</v>
      </c>
    </row>
    <row r="12" spans="1:18" x14ac:dyDescent="0.3">
      <c r="A12" t="s">
        <v>242</v>
      </c>
      <c r="B12">
        <v>24</v>
      </c>
      <c r="C12" t="s">
        <v>255</v>
      </c>
      <c r="D12" s="10" t="s">
        <v>171</v>
      </c>
      <c r="E12" s="10"/>
      <c r="F12" s="10"/>
      <c r="G12">
        <v>16</v>
      </c>
      <c r="H12" t="s">
        <v>240</v>
      </c>
      <c r="J12" t="s">
        <v>173</v>
      </c>
      <c r="L12" s="7"/>
      <c r="M12">
        <f>(B8*24)/2</f>
        <v>1980</v>
      </c>
      <c r="Q12" s="10" t="s">
        <v>176</v>
      </c>
      <c r="R12" s="10"/>
    </row>
    <row r="13" spans="1:18" x14ac:dyDescent="0.3">
      <c r="A13" t="s">
        <v>170</v>
      </c>
      <c r="B13">
        <v>96</v>
      </c>
      <c r="C13" t="s">
        <v>255</v>
      </c>
      <c r="D13" s="10" t="s">
        <v>172</v>
      </c>
      <c r="E13" s="10"/>
      <c r="F13" s="10"/>
      <c r="G13">
        <v>64</v>
      </c>
      <c r="H13" t="s">
        <v>241</v>
      </c>
      <c r="J13" t="s">
        <v>174</v>
      </c>
      <c r="M13">
        <f>M12*(G12/2)</f>
        <v>15840</v>
      </c>
      <c r="Q13" t="s">
        <v>177</v>
      </c>
    </row>
    <row r="14" spans="1:18" x14ac:dyDescent="0.3">
      <c r="J14" t="s">
        <v>175</v>
      </c>
      <c r="M14">
        <f>M13*4</f>
        <v>63360</v>
      </c>
      <c r="Q14" t="s">
        <v>178</v>
      </c>
    </row>
    <row r="16" spans="1:18" x14ac:dyDescent="0.3">
      <c r="C16" s="10" t="s">
        <v>244</v>
      </c>
      <c r="D16" s="10"/>
      <c r="E16" s="10"/>
      <c r="F16" s="10"/>
      <c r="G16" s="10"/>
      <c r="H16" s="8">
        <f>M17/1000</f>
        <v>63.456000000000003</v>
      </c>
      <c r="I16" s="9" t="s">
        <v>249</v>
      </c>
    </row>
    <row r="17" spans="1:13" x14ac:dyDescent="0.3">
      <c r="M17">
        <f>B13+M14</f>
        <v>63456</v>
      </c>
    </row>
    <row r="20" spans="1:13" x14ac:dyDescent="0.3">
      <c r="B20" s="10" t="s">
        <v>247</v>
      </c>
      <c r="C20" s="10"/>
      <c r="D20" s="10"/>
      <c r="F20" s="10" t="s">
        <v>256</v>
      </c>
      <c r="G20" s="10"/>
      <c r="H20" s="10"/>
    </row>
    <row r="21" spans="1:13" x14ac:dyDescent="0.3">
      <c r="A21" t="s">
        <v>245</v>
      </c>
      <c r="B21">
        <v>0.80100000000000005</v>
      </c>
      <c r="F21">
        <f>B21*454</f>
        <v>363.654</v>
      </c>
    </row>
    <row r="22" spans="1:13" x14ac:dyDescent="0.3">
      <c r="A22" t="s">
        <v>32</v>
      </c>
      <c r="B22">
        <v>0.86499999999999999</v>
      </c>
      <c r="F22">
        <f t="shared" ref="F22:F24" si="0">B22*454</f>
        <v>392.71</v>
      </c>
    </row>
    <row r="23" spans="1:13" x14ac:dyDescent="0.3">
      <c r="A23" t="s">
        <v>31</v>
      </c>
      <c r="B23">
        <v>1.0229999999999999</v>
      </c>
      <c r="F23">
        <f t="shared" si="0"/>
        <v>464.44199999999995</v>
      </c>
    </row>
    <row r="24" spans="1:13" x14ac:dyDescent="0.3">
      <c r="A24" t="s">
        <v>246</v>
      </c>
      <c r="B24">
        <v>1.077</v>
      </c>
      <c r="F24">
        <f t="shared" si="0"/>
        <v>488.95799999999997</v>
      </c>
    </row>
  </sheetData>
  <mergeCells count="6">
    <mergeCell ref="F20:H20"/>
    <mergeCell ref="B20:D20"/>
    <mergeCell ref="D12:F12"/>
    <mergeCell ref="D13:F13"/>
    <mergeCell ref="Q12:R12"/>
    <mergeCell ref="C16:G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A3707-20B3-4587-B87B-C5746AA13464}">
  <dimension ref="A2:AG40"/>
  <sheetViews>
    <sheetView topLeftCell="A13" workbookViewId="0">
      <selection activeCell="L27" sqref="L27"/>
    </sheetView>
  </sheetViews>
  <sheetFormatPr defaultRowHeight="14.4" x14ac:dyDescent="0.3"/>
  <sheetData>
    <row r="2" spans="1:33" x14ac:dyDescent="0.3">
      <c r="A2" t="s">
        <v>234</v>
      </c>
      <c r="Q2" t="s">
        <v>235</v>
      </c>
      <c r="AG2" t="s">
        <v>237</v>
      </c>
    </row>
    <row r="20" spans="1:16" x14ac:dyDescent="0.3">
      <c r="A20" t="s">
        <v>236</v>
      </c>
      <c r="H20" t="s">
        <v>235</v>
      </c>
      <c r="M20" t="s">
        <v>237</v>
      </c>
    </row>
    <row r="21" spans="1:16" x14ac:dyDescent="0.3">
      <c r="A21">
        <v>1</v>
      </c>
      <c r="B21">
        <v>38</v>
      </c>
      <c r="D21">
        <f>CNN_serving!B21*Processor!B21</f>
        <v>30.438000000000002</v>
      </c>
      <c r="E21">
        <f>MAX(0, B21-56)</f>
        <v>0</v>
      </c>
      <c r="H21">
        <v>1</v>
      </c>
      <c r="I21">
        <v>0</v>
      </c>
      <c r="K21">
        <f>Processor!B21*I21</f>
        <v>0</v>
      </c>
      <c r="L21">
        <f>MAX(0, I21-56)</f>
        <v>0</v>
      </c>
      <c r="M21">
        <v>1</v>
      </c>
      <c r="N21">
        <v>56</v>
      </c>
      <c r="P21">
        <f>Processor!B21*N21</f>
        <v>44.856000000000002</v>
      </c>
    </row>
    <row r="22" spans="1:16" x14ac:dyDescent="0.3">
      <c r="A22">
        <v>2</v>
      </c>
      <c r="B22">
        <v>39</v>
      </c>
      <c r="D22">
        <f>CNN_serving!B22*Processor!B22</f>
        <v>33.734999999999999</v>
      </c>
      <c r="E22">
        <f t="shared" ref="E22" si="0">MAX(0, B22-56)</f>
        <v>0</v>
      </c>
      <c r="H22">
        <v>2</v>
      </c>
      <c r="I22">
        <v>38</v>
      </c>
      <c r="K22">
        <f>Processor!B22*I22</f>
        <v>32.869999999999997</v>
      </c>
      <c r="L22">
        <f t="shared" ref="L22:L24" si="1">MAX(0, I22-56)</f>
        <v>0</v>
      </c>
      <c r="M22">
        <v>2</v>
      </c>
      <c r="N22">
        <v>56</v>
      </c>
      <c r="P22">
        <f>Processor!B22*N22</f>
        <v>48.44</v>
      </c>
    </row>
    <row r="23" spans="1:16" x14ac:dyDescent="0.3">
      <c r="A23">
        <v>3</v>
      </c>
      <c r="B23">
        <v>38</v>
      </c>
      <c r="D23">
        <f>CNN_serving!B23*Processor!B23</f>
        <v>38.873999999999995</v>
      </c>
      <c r="E23">
        <f>MAX(0, B23-33)</f>
        <v>5</v>
      </c>
      <c r="H23">
        <v>3</v>
      </c>
      <c r="I23">
        <v>56</v>
      </c>
      <c r="K23">
        <f>Processor!B23*I23</f>
        <v>57.287999999999997</v>
      </c>
      <c r="L23">
        <f>MAX(0, I23-33)</f>
        <v>23</v>
      </c>
      <c r="M23">
        <v>3</v>
      </c>
      <c r="N23">
        <v>33</v>
      </c>
      <c r="P23">
        <f>Processor!B23*N23</f>
        <v>33.759</v>
      </c>
    </row>
    <row r="24" spans="1:16" x14ac:dyDescent="0.3">
      <c r="A24">
        <v>4</v>
      </c>
      <c r="B24">
        <v>35</v>
      </c>
      <c r="D24">
        <f>CNN_serving!B24*Processor!B24</f>
        <v>37.695</v>
      </c>
      <c r="E24">
        <f>MAX(0, B24)</f>
        <v>35</v>
      </c>
      <c r="H24">
        <v>4</v>
      </c>
      <c r="I24">
        <v>56</v>
      </c>
      <c r="K24">
        <f>Processor!B24*I24</f>
        <v>60.311999999999998</v>
      </c>
      <c r="L24">
        <f>MAX(0, I24)</f>
        <v>56</v>
      </c>
      <c r="M24">
        <v>4</v>
      </c>
      <c r="N24">
        <v>0</v>
      </c>
      <c r="P24">
        <f>Processor!B24*N24</f>
        <v>0</v>
      </c>
    </row>
    <row r="26" spans="1:16" x14ac:dyDescent="0.3">
      <c r="B26">
        <f>SUM(B21:B24)</f>
        <v>150</v>
      </c>
      <c r="D26">
        <f>SUM(D21:D24)</f>
        <v>140.74199999999999</v>
      </c>
      <c r="E26">
        <f>SUM(E21:E24)</f>
        <v>40</v>
      </c>
      <c r="I26">
        <f>SUM(I21:I24)</f>
        <v>150</v>
      </c>
      <c r="K26">
        <f>SUM(K21:K24)</f>
        <v>150.46999999999997</v>
      </c>
      <c r="L26">
        <f>SUM(L21:L24)</f>
        <v>79</v>
      </c>
      <c r="N26">
        <f>SUM(N21:N24)</f>
        <v>145</v>
      </c>
      <c r="P26">
        <f>SUM(P21:P24)</f>
        <v>127.05499999999999</v>
      </c>
    </row>
    <row r="27" spans="1:16" x14ac:dyDescent="0.3">
      <c r="A27" t="s">
        <v>260</v>
      </c>
      <c r="F27">
        <f>100 - (E26/B26)*100</f>
        <v>73.333333333333329</v>
      </c>
      <c r="L27">
        <f>100 - (L26/I26)*100</f>
        <v>47.333333333333336</v>
      </c>
    </row>
    <row r="29" spans="1:16" x14ac:dyDescent="0.3">
      <c r="B29">
        <f>Processor!H16</f>
        <v>63.456000000000003</v>
      </c>
      <c r="C29">
        <f>D26/B26</f>
        <v>0.93827999999999989</v>
      </c>
      <c r="D29" t="s">
        <v>248</v>
      </c>
      <c r="I29">
        <f>Processor!H16</f>
        <v>63.456000000000003</v>
      </c>
      <c r="J29">
        <f>K26/I26</f>
        <v>1.0031333333333332</v>
      </c>
      <c r="K29" t="s">
        <v>248</v>
      </c>
      <c r="N29">
        <f>Processor!H16</f>
        <v>63.456000000000003</v>
      </c>
      <c r="O29">
        <f>P26/N26</f>
        <v>0.87624137931034474</v>
      </c>
      <c r="P29" t="s">
        <v>248</v>
      </c>
    </row>
    <row r="30" spans="1:16" x14ac:dyDescent="0.3">
      <c r="C30">
        <f>B29*C29</f>
        <v>59.539495679999995</v>
      </c>
      <c r="D30" t="s">
        <v>251</v>
      </c>
      <c r="J30">
        <f>I29*J29</f>
        <v>63.654828799999997</v>
      </c>
      <c r="K30" t="s">
        <v>251</v>
      </c>
      <c r="O30">
        <f>N29*O29</f>
        <v>55.602772965517239</v>
      </c>
      <c r="P30" t="s">
        <v>251</v>
      </c>
    </row>
    <row r="31" spans="1:16" x14ac:dyDescent="0.3">
      <c r="A31" t="s">
        <v>254</v>
      </c>
      <c r="C31">
        <f>0.454*C30</f>
        <v>27.030931038719999</v>
      </c>
      <c r="D31" t="s">
        <v>250</v>
      </c>
      <c r="J31">
        <f>0.454*J30</f>
        <v>28.899292275200001</v>
      </c>
      <c r="K31" t="s">
        <v>250</v>
      </c>
      <c r="O31">
        <f>0.454*O30</f>
        <v>25.243658926344828</v>
      </c>
      <c r="P31" t="s">
        <v>250</v>
      </c>
    </row>
    <row r="33" spans="1:16" x14ac:dyDescent="0.3">
      <c r="A33" s="10" t="s">
        <v>253</v>
      </c>
      <c r="B33" s="10"/>
      <c r="C33">
        <f>(C31/B26)*1000</f>
        <v>180.2062069248</v>
      </c>
      <c r="D33" t="s">
        <v>252</v>
      </c>
      <c r="J33">
        <f>(J31/I26)*1000</f>
        <v>192.66194850133334</v>
      </c>
      <c r="K33" t="s">
        <v>252</v>
      </c>
      <c r="O33">
        <f>(O31/N26)*1000</f>
        <v>174.09419949203331</v>
      </c>
      <c r="P33" t="s">
        <v>252</v>
      </c>
    </row>
    <row r="38" spans="1:16" x14ac:dyDescent="0.3">
      <c r="C38">
        <f>24*60*60*5</f>
        <v>432000</v>
      </c>
      <c r="D38" t="s">
        <v>257</v>
      </c>
      <c r="E38" t="s">
        <v>258</v>
      </c>
    </row>
    <row r="40" spans="1:16" x14ac:dyDescent="0.3">
      <c r="C40">
        <f>(C33/C38)*1000000</f>
        <v>417.14399751111114</v>
      </c>
      <c r="D40" t="s">
        <v>259</v>
      </c>
      <c r="J40">
        <f>(J33/C38)*1000000</f>
        <v>445.97673264197533</v>
      </c>
      <c r="K40" t="s">
        <v>259</v>
      </c>
      <c r="O40">
        <f>(O33/C38)*1000000</f>
        <v>402.99583215748453</v>
      </c>
      <c r="P40" t="s">
        <v>259</v>
      </c>
    </row>
  </sheetData>
  <mergeCells count="1">
    <mergeCell ref="A33:B3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B269C-9BE1-4FE2-BFC7-DF79E5EC0D72}">
  <dimension ref="A1:AH38"/>
  <sheetViews>
    <sheetView topLeftCell="A13" workbookViewId="0">
      <selection activeCell="A26" sqref="A26"/>
    </sheetView>
  </sheetViews>
  <sheetFormatPr defaultRowHeight="14.4" x14ac:dyDescent="0.3"/>
  <sheetData>
    <row r="1" spans="1:34" x14ac:dyDescent="0.3">
      <c r="A1" t="s">
        <v>234</v>
      </c>
      <c r="Q1" t="s">
        <v>235</v>
      </c>
      <c r="AH1" t="s">
        <v>237</v>
      </c>
    </row>
    <row r="19" spans="1:21" x14ac:dyDescent="0.3">
      <c r="A19" t="s">
        <v>236</v>
      </c>
      <c r="F19" t="s">
        <v>235</v>
      </c>
      <c r="J19" t="s">
        <v>237</v>
      </c>
      <c r="S19" s="10" t="s">
        <v>247</v>
      </c>
      <c r="T19" s="10"/>
      <c r="U19" s="10"/>
    </row>
    <row r="20" spans="1:21" x14ac:dyDescent="0.3">
      <c r="A20">
        <v>1</v>
      </c>
      <c r="B20">
        <v>38</v>
      </c>
      <c r="D20">
        <f>B20*S20</f>
        <v>30.438000000000002</v>
      </c>
      <c r="E20">
        <f>MAX(0, B20-56)</f>
        <v>0</v>
      </c>
      <c r="F20">
        <v>1</v>
      </c>
      <c r="G20">
        <v>0</v>
      </c>
      <c r="H20">
        <f>G20*S20</f>
        <v>0</v>
      </c>
      <c r="I20">
        <f>MAX(0, G20-56)</f>
        <v>0</v>
      </c>
      <c r="J20">
        <v>1</v>
      </c>
      <c r="K20">
        <v>56</v>
      </c>
      <c r="L20">
        <f>K20*S20</f>
        <v>44.856000000000002</v>
      </c>
      <c r="R20" t="s">
        <v>245</v>
      </c>
      <c r="S20">
        <v>0.80100000000000005</v>
      </c>
    </row>
    <row r="21" spans="1:21" x14ac:dyDescent="0.3">
      <c r="A21">
        <v>2</v>
      </c>
      <c r="B21">
        <v>39</v>
      </c>
      <c r="D21">
        <f t="shared" ref="D21:D23" si="0">B21*S21</f>
        <v>33.734999999999999</v>
      </c>
      <c r="E21">
        <f t="shared" ref="E21" si="1">MAX(0, B21-56)</f>
        <v>0</v>
      </c>
      <c r="F21">
        <v>2</v>
      </c>
      <c r="G21">
        <v>39</v>
      </c>
      <c r="H21">
        <f>G21*S21</f>
        <v>33.734999999999999</v>
      </c>
      <c r="I21">
        <f t="shared" ref="I21:I23" si="2">MAX(0, G21-56)</f>
        <v>0</v>
      </c>
      <c r="J21">
        <v>2</v>
      </c>
      <c r="K21">
        <v>55</v>
      </c>
      <c r="L21">
        <f>K21*S21</f>
        <v>47.575000000000003</v>
      </c>
      <c r="R21" t="s">
        <v>32</v>
      </c>
      <c r="S21">
        <v>0.86499999999999999</v>
      </c>
    </row>
    <row r="22" spans="1:21" x14ac:dyDescent="0.3">
      <c r="A22">
        <v>3</v>
      </c>
      <c r="B22">
        <v>39</v>
      </c>
      <c r="D22">
        <f t="shared" si="0"/>
        <v>39.896999999999998</v>
      </c>
      <c r="E22">
        <f>MAX(0, B22-33)</f>
        <v>6</v>
      </c>
      <c r="F22">
        <v>3</v>
      </c>
      <c r="G22">
        <v>56</v>
      </c>
      <c r="H22">
        <f>G22*S22</f>
        <v>57.287999999999997</v>
      </c>
      <c r="I22">
        <f>MAX(0, G22-37)</f>
        <v>19</v>
      </c>
      <c r="J22">
        <v>3</v>
      </c>
      <c r="K22">
        <v>37</v>
      </c>
      <c r="L22">
        <f>K22*S22</f>
        <v>37.850999999999999</v>
      </c>
      <c r="R22" t="s">
        <v>31</v>
      </c>
      <c r="S22">
        <v>1.0229999999999999</v>
      </c>
    </row>
    <row r="23" spans="1:21" x14ac:dyDescent="0.3">
      <c r="A23">
        <v>4</v>
      </c>
      <c r="B23">
        <v>38</v>
      </c>
      <c r="D23">
        <f t="shared" si="0"/>
        <v>40.926000000000002</v>
      </c>
      <c r="E23">
        <f>MAX(0, B23)</f>
        <v>38</v>
      </c>
      <c r="F23">
        <v>4</v>
      </c>
      <c r="G23">
        <v>56</v>
      </c>
      <c r="H23">
        <f>G23*S23</f>
        <v>60.311999999999998</v>
      </c>
      <c r="I23">
        <f>MAX(0, G23-0)</f>
        <v>56</v>
      </c>
      <c r="J23">
        <v>4</v>
      </c>
      <c r="K23">
        <v>0</v>
      </c>
      <c r="L23">
        <f>K23*S23</f>
        <v>0</v>
      </c>
      <c r="R23" t="s">
        <v>246</v>
      </c>
      <c r="S23">
        <v>1.077</v>
      </c>
    </row>
    <row r="25" spans="1:21" x14ac:dyDescent="0.3">
      <c r="B25">
        <f>SUM(B20:B23)</f>
        <v>154</v>
      </c>
      <c r="D25">
        <f>SUM(D20:D23)</f>
        <v>144.99599999999998</v>
      </c>
      <c r="E25">
        <f>SUM(E20:E23)</f>
        <v>44</v>
      </c>
      <c r="G25">
        <f>SUM(G20:G23)</f>
        <v>151</v>
      </c>
      <c r="H25">
        <f>SUM(H20:H23)</f>
        <v>151.33499999999998</v>
      </c>
      <c r="I25">
        <f>SUM(I20:I23)</f>
        <v>75</v>
      </c>
      <c r="K25">
        <f>SUM(K20:K23)</f>
        <v>148</v>
      </c>
      <c r="L25">
        <f>SUM(L20:L23)</f>
        <v>130.28200000000001</v>
      </c>
    </row>
    <row r="26" spans="1:21" x14ac:dyDescent="0.3">
      <c r="A26" t="s">
        <v>260</v>
      </c>
      <c r="E26">
        <f>100 - (E25/B25)*100</f>
        <v>71.428571428571431</v>
      </c>
      <c r="I26">
        <f>100 - (I25/G25)*100</f>
        <v>50.331125827814574</v>
      </c>
    </row>
    <row r="29" spans="1:21" x14ac:dyDescent="0.3">
      <c r="B29">
        <f>Processor!H16</f>
        <v>63.456000000000003</v>
      </c>
      <c r="C29">
        <f>D25/B25</f>
        <v>0.94153246753246744</v>
      </c>
      <c r="D29" t="s">
        <v>248</v>
      </c>
      <c r="G29">
        <f>Processor!H16</f>
        <v>63.456000000000003</v>
      </c>
      <c r="H29">
        <f>H25/G25</f>
        <v>1.0022185430463575</v>
      </c>
      <c r="I29" t="s">
        <v>248</v>
      </c>
      <c r="K29">
        <f>Processor!H16</f>
        <v>63.456000000000003</v>
      </c>
      <c r="L29">
        <f>L25/K25</f>
        <v>0.8802837837837838</v>
      </c>
      <c r="M29" t="s">
        <v>248</v>
      </c>
    </row>
    <row r="30" spans="1:21" x14ac:dyDescent="0.3">
      <c r="C30">
        <f>B29*C29</f>
        <v>59.745884259740258</v>
      </c>
      <c r="D30" t="s">
        <v>251</v>
      </c>
      <c r="H30">
        <f>G29*H29</f>
        <v>63.596779867549664</v>
      </c>
      <c r="I30" t="s">
        <v>251</v>
      </c>
      <c r="L30">
        <f>K29*L29</f>
        <v>55.859287783783785</v>
      </c>
      <c r="M30" t="s">
        <v>251</v>
      </c>
    </row>
    <row r="31" spans="1:21" x14ac:dyDescent="0.3">
      <c r="C31">
        <f>0.454*C30</f>
        <v>27.124631453922078</v>
      </c>
      <c r="D31" t="s">
        <v>250</v>
      </c>
      <c r="H31">
        <f>0.454*H30</f>
        <v>28.872938059867547</v>
      </c>
      <c r="I31" t="s">
        <v>250</v>
      </c>
      <c r="L31">
        <f>0.454*L30</f>
        <v>25.360116653837839</v>
      </c>
      <c r="M31" t="s">
        <v>250</v>
      </c>
    </row>
    <row r="33" spans="1:13" x14ac:dyDescent="0.3">
      <c r="A33" s="10" t="s">
        <v>253</v>
      </c>
      <c r="B33" s="10"/>
      <c r="C33">
        <f>(C31/B25)*1000</f>
        <v>176.13397048001349</v>
      </c>
      <c r="D33" t="s">
        <v>252</v>
      </c>
      <c r="F33" s="7" t="s">
        <v>253</v>
      </c>
      <c r="G33" s="7"/>
      <c r="H33">
        <f>(H31/G25)*1000</f>
        <v>191.21151033024867</v>
      </c>
      <c r="I33" t="s">
        <v>252</v>
      </c>
      <c r="J33" s="7" t="s">
        <v>253</v>
      </c>
      <c r="K33" s="7"/>
      <c r="L33">
        <f>(L31/K25)*1000</f>
        <v>171.35213955295836</v>
      </c>
      <c r="M33" t="s">
        <v>252</v>
      </c>
    </row>
    <row r="36" spans="1:13" x14ac:dyDescent="0.3">
      <c r="C36">
        <f>24*60*60/(1.3*0.74)</f>
        <v>89812.889812889814</v>
      </c>
    </row>
    <row r="38" spans="1:13" x14ac:dyDescent="0.3">
      <c r="C38">
        <f>(C33/C36)*1000000</f>
        <v>1961.1212916871871</v>
      </c>
      <c r="H38">
        <f>(H33/C36)*1000000</f>
        <v>2128.998529371519</v>
      </c>
      <c r="L38">
        <f>(L33/C36)*1000000</f>
        <v>1907.8791464114113</v>
      </c>
    </row>
  </sheetData>
  <mergeCells count="2">
    <mergeCell ref="S19:U19"/>
    <mergeCell ref="A33:B3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17E43-9A6B-4FEA-B4EB-96B2AFF9E574}">
  <dimension ref="A7:AG41"/>
  <sheetViews>
    <sheetView topLeftCell="A10" workbookViewId="0">
      <selection activeCell="H24" sqref="H24:H30"/>
    </sheetView>
  </sheetViews>
  <sheetFormatPr defaultRowHeight="14.4" x14ac:dyDescent="0.3"/>
  <sheetData>
    <row r="7" spans="1:33" x14ac:dyDescent="0.3">
      <c r="A7" t="s">
        <v>236</v>
      </c>
      <c r="Q7" t="s">
        <v>235</v>
      </c>
      <c r="AG7" t="s">
        <v>238</v>
      </c>
    </row>
    <row r="23" spans="1:23" x14ac:dyDescent="0.3">
      <c r="A23" t="s">
        <v>236</v>
      </c>
      <c r="E23" t="s">
        <v>235</v>
      </c>
      <c r="I23" t="s">
        <v>237</v>
      </c>
      <c r="U23" s="10" t="s">
        <v>247</v>
      </c>
      <c r="V23" s="10"/>
      <c r="W23" s="10"/>
    </row>
    <row r="24" spans="1:23" x14ac:dyDescent="0.3">
      <c r="A24">
        <v>1</v>
      </c>
      <c r="B24">
        <v>19</v>
      </c>
      <c r="C24">
        <f>U24*B24</f>
        <v>15.219000000000001</v>
      </c>
      <c r="D24">
        <f t="shared" ref="D24:D25" si="0">MAX(0, B24-J24)</f>
        <v>0</v>
      </c>
      <c r="E24">
        <v>1</v>
      </c>
      <c r="F24">
        <v>0</v>
      </c>
      <c r="G24">
        <f>U24*F24</f>
        <v>0</v>
      </c>
      <c r="H24">
        <f>MAX(0, F24-J24)</f>
        <v>0</v>
      </c>
      <c r="I24">
        <v>1</v>
      </c>
      <c r="J24">
        <v>56</v>
      </c>
      <c r="K24">
        <f>U24*J24</f>
        <v>44.856000000000002</v>
      </c>
      <c r="T24" t="s">
        <v>245</v>
      </c>
      <c r="U24">
        <v>0.80100000000000005</v>
      </c>
    </row>
    <row r="25" spans="1:23" x14ac:dyDescent="0.3">
      <c r="A25">
        <v>2</v>
      </c>
      <c r="B25">
        <v>20</v>
      </c>
      <c r="C25">
        <f t="shared" ref="C25:C27" si="1">U25*B25</f>
        <v>17.3</v>
      </c>
      <c r="D25">
        <f t="shared" si="0"/>
        <v>0</v>
      </c>
      <c r="E25">
        <v>2</v>
      </c>
      <c r="F25">
        <v>0</v>
      </c>
      <c r="G25">
        <f t="shared" ref="G25:G27" si="2">U25*F25</f>
        <v>0</v>
      </c>
      <c r="H25">
        <f>MAX(0, F25-J25)</f>
        <v>0</v>
      </c>
      <c r="I25">
        <v>2</v>
      </c>
      <c r="J25">
        <v>24</v>
      </c>
      <c r="K25">
        <f t="shared" ref="K25:K27" si="3">U25*J25</f>
        <v>20.759999999999998</v>
      </c>
      <c r="T25" t="s">
        <v>32</v>
      </c>
      <c r="U25">
        <v>0.86499999999999999</v>
      </c>
    </row>
    <row r="26" spans="1:23" x14ac:dyDescent="0.3">
      <c r="A26">
        <v>3</v>
      </c>
      <c r="B26">
        <v>20</v>
      </c>
      <c r="C26">
        <f t="shared" si="1"/>
        <v>20.459999999999997</v>
      </c>
      <c r="D26">
        <f>MAX(0, B26-J26)</f>
        <v>20</v>
      </c>
      <c r="E26">
        <v>3</v>
      </c>
      <c r="F26">
        <v>56</v>
      </c>
      <c r="G26">
        <f t="shared" si="2"/>
        <v>57.287999999999997</v>
      </c>
      <c r="H26">
        <f>MAX(0, F26-J26)</f>
        <v>56</v>
      </c>
      <c r="I26">
        <v>3</v>
      </c>
      <c r="J26">
        <v>0</v>
      </c>
      <c r="K26">
        <f t="shared" si="3"/>
        <v>0</v>
      </c>
      <c r="T26" t="s">
        <v>31</v>
      </c>
      <c r="U26">
        <v>1.0229999999999999</v>
      </c>
    </row>
    <row r="27" spans="1:23" x14ac:dyDescent="0.3">
      <c r="A27">
        <v>4</v>
      </c>
      <c r="B27">
        <v>19</v>
      </c>
      <c r="C27">
        <f t="shared" si="1"/>
        <v>20.463000000000001</v>
      </c>
      <c r="D27">
        <f>MAX(0, B27-J27)</f>
        <v>19</v>
      </c>
      <c r="E27">
        <v>4</v>
      </c>
      <c r="F27">
        <v>24</v>
      </c>
      <c r="G27">
        <f t="shared" si="2"/>
        <v>25.847999999999999</v>
      </c>
      <c r="H27">
        <f t="shared" ref="H25:H27" si="4">MAX(0, F27-J27)</f>
        <v>24</v>
      </c>
      <c r="I27">
        <v>4</v>
      </c>
      <c r="J27">
        <v>0</v>
      </c>
      <c r="K27">
        <f t="shared" si="3"/>
        <v>0</v>
      </c>
      <c r="T27" t="s">
        <v>246</v>
      </c>
      <c r="U27">
        <v>1.077</v>
      </c>
    </row>
    <row r="28" spans="1:23" x14ac:dyDescent="0.3">
      <c r="B28">
        <f>SUM(B24:B27)</f>
        <v>78</v>
      </c>
      <c r="C28">
        <f>SUM(C24:C27)</f>
        <v>73.442000000000007</v>
      </c>
      <c r="F28">
        <f>SUM(F24:F27)</f>
        <v>80</v>
      </c>
      <c r="G28">
        <f>SUM(G24:G27)</f>
        <v>83.135999999999996</v>
      </c>
      <c r="J28">
        <f>SUM(J24:J27)</f>
        <v>80</v>
      </c>
      <c r="K28">
        <f>SUM(K24:K27)</f>
        <v>65.616</v>
      </c>
    </row>
    <row r="29" spans="1:23" x14ac:dyDescent="0.3">
      <c r="D29">
        <f>SUM(D24:D27)</f>
        <v>39</v>
      </c>
      <c r="H29">
        <f>SUM(H24:H27)</f>
        <v>80</v>
      </c>
    </row>
    <row r="30" spans="1:23" x14ac:dyDescent="0.3">
      <c r="A30" t="s">
        <v>260</v>
      </c>
      <c r="D30">
        <f>100 - (D29/B28)*100</f>
        <v>50</v>
      </c>
      <c r="H30">
        <f>100 - (H29/F28)*100</f>
        <v>0</v>
      </c>
    </row>
    <row r="32" spans="1:23" x14ac:dyDescent="0.3">
      <c r="B32">
        <f>Processor!H16</f>
        <v>63.456000000000003</v>
      </c>
      <c r="C32">
        <f>C28/B28</f>
        <v>0.94156410256410261</v>
      </c>
      <c r="D32" t="s">
        <v>248</v>
      </c>
      <c r="F32">
        <f>Processor!H16</f>
        <v>63.456000000000003</v>
      </c>
      <c r="G32">
        <f>G28/F28</f>
        <v>1.0391999999999999</v>
      </c>
      <c r="H32" t="s">
        <v>248</v>
      </c>
      <c r="J32">
        <f>Processor!H16</f>
        <v>63.456000000000003</v>
      </c>
      <c r="K32">
        <f>K28/J28</f>
        <v>0.82020000000000004</v>
      </c>
      <c r="L32" t="s">
        <v>248</v>
      </c>
    </row>
    <row r="33" spans="1:12" x14ac:dyDescent="0.3">
      <c r="C33">
        <f>B32*C32/2</f>
        <v>29.873945846153848</v>
      </c>
      <c r="D33" t="s">
        <v>251</v>
      </c>
      <c r="G33">
        <f>F32*G32/2</f>
        <v>32.971737599999997</v>
      </c>
      <c r="H33" t="s">
        <v>251</v>
      </c>
      <c r="K33">
        <f>J32*K32/2</f>
        <v>26.023305600000004</v>
      </c>
      <c r="L33" t="s">
        <v>251</v>
      </c>
    </row>
    <row r="34" spans="1:12" x14ac:dyDescent="0.3">
      <c r="C34">
        <f>0.454*C33</f>
        <v>13.562771414153847</v>
      </c>
      <c r="D34" t="s">
        <v>250</v>
      </c>
      <c r="G34">
        <f>0.454*G33</f>
        <v>14.969168870399999</v>
      </c>
      <c r="H34" t="s">
        <v>250</v>
      </c>
      <c r="K34">
        <f>0.454*K33</f>
        <v>11.814580742400002</v>
      </c>
      <c r="L34" t="s">
        <v>250</v>
      </c>
    </row>
    <row r="36" spans="1:12" x14ac:dyDescent="0.3">
      <c r="A36" s="10" t="s">
        <v>253</v>
      </c>
      <c r="B36" s="10"/>
      <c r="C36">
        <f>(C34/B28)*1000</f>
        <v>173.88168479684418</v>
      </c>
      <c r="D36" t="s">
        <v>252</v>
      </c>
      <c r="E36" s="10" t="s">
        <v>253</v>
      </c>
      <c r="F36" s="10"/>
      <c r="G36">
        <f>(G34/F28)*1000</f>
        <v>187.11461087999999</v>
      </c>
      <c r="H36" t="s">
        <v>252</v>
      </c>
      <c r="I36" s="10" t="s">
        <v>253</v>
      </c>
      <c r="J36" s="10"/>
      <c r="K36">
        <f>(K34/J28)*1000</f>
        <v>147.68225928000004</v>
      </c>
      <c r="L36" t="s">
        <v>252</v>
      </c>
    </row>
    <row r="39" spans="1:12" x14ac:dyDescent="0.3">
      <c r="C39">
        <f>(24*60*60)/(30/1000)</f>
        <v>2880000</v>
      </c>
    </row>
    <row r="41" spans="1:12" x14ac:dyDescent="0.3">
      <c r="C41">
        <f>(C36/C39)*1000000</f>
        <v>60.37558499890423</v>
      </c>
      <c r="G41">
        <f>(G36/C39)*1000000</f>
        <v>64.970350999999994</v>
      </c>
      <c r="K41">
        <f>(K36/C39)*1000000</f>
        <v>51.278562250000014</v>
      </c>
    </row>
  </sheetData>
  <mergeCells count="4">
    <mergeCell ref="U23:W23"/>
    <mergeCell ref="A36:B36"/>
    <mergeCell ref="E36:F36"/>
    <mergeCell ref="I36:J3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18F8C-6C8C-417B-ABFD-2712BB431B7D}">
  <dimension ref="A1:AG38"/>
  <sheetViews>
    <sheetView topLeftCell="A16" workbookViewId="0">
      <selection activeCell="D20" sqref="D20:D26"/>
    </sheetView>
  </sheetViews>
  <sheetFormatPr defaultRowHeight="14.4" x14ac:dyDescent="0.3"/>
  <sheetData>
    <row r="1" spans="1:33" x14ac:dyDescent="0.3">
      <c r="A1" t="s">
        <v>236</v>
      </c>
      <c r="Q1" t="s">
        <v>235</v>
      </c>
      <c r="AG1" t="s">
        <v>237</v>
      </c>
    </row>
    <row r="18" spans="1:21" x14ac:dyDescent="0.3">
      <c r="S18" s="10" t="s">
        <v>247</v>
      </c>
      <c r="T18" s="10"/>
      <c r="U18" s="10"/>
    </row>
    <row r="19" spans="1:21" x14ac:dyDescent="0.3">
      <c r="A19" t="s">
        <v>236</v>
      </c>
      <c r="E19" t="s">
        <v>239</v>
      </c>
      <c r="I19" t="s">
        <v>237</v>
      </c>
      <c r="R19" t="s">
        <v>245</v>
      </c>
      <c r="S19">
        <v>0.80100000000000005</v>
      </c>
    </row>
    <row r="20" spans="1:21" x14ac:dyDescent="0.3">
      <c r="A20">
        <v>1</v>
      </c>
      <c r="B20">
        <v>37</v>
      </c>
      <c r="C20">
        <f>B20*S19</f>
        <v>29.637</v>
      </c>
      <c r="D20">
        <f>MAX(0, B20-J20)</f>
        <v>0</v>
      </c>
      <c r="E20">
        <v>1</v>
      </c>
      <c r="F20">
        <v>0</v>
      </c>
      <c r="G20">
        <f>S19*F20</f>
        <v>0</v>
      </c>
      <c r="H20">
        <f>MAX(0, F20-J20)</f>
        <v>0</v>
      </c>
      <c r="I20">
        <v>1</v>
      </c>
      <c r="J20">
        <v>56</v>
      </c>
      <c r="K20">
        <f>S19*J20</f>
        <v>44.856000000000002</v>
      </c>
      <c r="R20" t="s">
        <v>32</v>
      </c>
      <c r="S20">
        <v>0.86499999999999999</v>
      </c>
    </row>
    <row r="21" spans="1:21" x14ac:dyDescent="0.3">
      <c r="A21">
        <v>2</v>
      </c>
      <c r="B21">
        <v>37</v>
      </c>
      <c r="C21">
        <f t="shared" ref="C21:C23" si="0">B21*S20</f>
        <v>32.005000000000003</v>
      </c>
      <c r="D21">
        <f t="shared" ref="D20:D21" si="1">MAX(0, B21-J21)</f>
        <v>0</v>
      </c>
      <c r="E21">
        <v>2</v>
      </c>
      <c r="F21">
        <v>37</v>
      </c>
      <c r="G21">
        <f t="shared" ref="G21:G23" si="2">S20*F21</f>
        <v>32.005000000000003</v>
      </c>
      <c r="H21">
        <f>MAX(0, F21-J21)</f>
        <v>0</v>
      </c>
      <c r="I21">
        <v>2</v>
      </c>
      <c r="J21">
        <v>56</v>
      </c>
      <c r="K21">
        <f t="shared" ref="K21:K23" si="3">S20*J21</f>
        <v>48.44</v>
      </c>
      <c r="R21" t="s">
        <v>31</v>
      </c>
      <c r="S21">
        <v>1.0229999999999999</v>
      </c>
    </row>
    <row r="22" spans="1:21" x14ac:dyDescent="0.3">
      <c r="A22">
        <v>3</v>
      </c>
      <c r="B22">
        <v>37</v>
      </c>
      <c r="C22">
        <f t="shared" si="0"/>
        <v>37.850999999999999</v>
      </c>
      <c r="D22">
        <f>MAX(0, B22-J22)</f>
        <v>1</v>
      </c>
      <c r="E22">
        <v>3</v>
      </c>
      <c r="F22">
        <v>56</v>
      </c>
      <c r="G22">
        <f t="shared" si="2"/>
        <v>57.287999999999997</v>
      </c>
      <c r="H22">
        <f>MAX(0, F22-J22)</f>
        <v>20</v>
      </c>
      <c r="I22">
        <v>3</v>
      </c>
      <c r="J22">
        <v>36</v>
      </c>
      <c r="K22">
        <f t="shared" si="3"/>
        <v>36.827999999999996</v>
      </c>
      <c r="R22" t="s">
        <v>246</v>
      </c>
      <c r="S22">
        <v>1.077</v>
      </c>
    </row>
    <row r="23" spans="1:21" x14ac:dyDescent="0.3">
      <c r="A23">
        <v>4</v>
      </c>
      <c r="B23">
        <v>37</v>
      </c>
      <c r="C23">
        <f t="shared" si="0"/>
        <v>39.848999999999997</v>
      </c>
      <c r="D23">
        <f>MAX(0, B23-J23)</f>
        <v>37</v>
      </c>
      <c r="E23">
        <v>4</v>
      </c>
      <c r="F23">
        <v>56</v>
      </c>
      <c r="G23">
        <f t="shared" si="2"/>
        <v>60.311999999999998</v>
      </c>
      <c r="H23">
        <f t="shared" ref="H23:H25" si="4">MAX(0, F23-J23)</f>
        <v>56</v>
      </c>
      <c r="I23">
        <v>4</v>
      </c>
      <c r="J23">
        <v>0</v>
      </c>
      <c r="K23">
        <f t="shared" si="3"/>
        <v>0</v>
      </c>
    </row>
    <row r="25" spans="1:21" x14ac:dyDescent="0.3">
      <c r="B25">
        <f>SUM(B20:B23)</f>
        <v>148</v>
      </c>
      <c r="C25">
        <f>SUM(C20:C23)</f>
        <v>139.34199999999998</v>
      </c>
      <c r="D25">
        <f>SUM(D20:D23)</f>
        <v>38</v>
      </c>
      <c r="F25">
        <f>SUM(F20:F23)</f>
        <v>149</v>
      </c>
      <c r="G25">
        <f>SUM(G20:G23)</f>
        <v>149.60500000000002</v>
      </c>
      <c r="H25">
        <f>SUM(H20:H23)</f>
        <v>76</v>
      </c>
      <c r="J25">
        <f>SUM(J20:J23)</f>
        <v>148</v>
      </c>
      <c r="K25">
        <f>SUM(K20:K23)</f>
        <v>130.124</v>
      </c>
    </row>
    <row r="26" spans="1:21" x14ac:dyDescent="0.3">
      <c r="D26">
        <f>100 - (D25/B25)*100</f>
        <v>74.324324324324323</v>
      </c>
      <c r="H26">
        <f>100 - (H25/F25)*100</f>
        <v>48.993288590604024</v>
      </c>
    </row>
    <row r="29" spans="1:21" x14ac:dyDescent="0.3">
      <c r="B29">
        <f>Processor!H16</f>
        <v>63.456000000000003</v>
      </c>
      <c r="C29">
        <f>C25/B25</f>
        <v>0.94149999999999989</v>
      </c>
      <c r="D29" t="s">
        <v>248</v>
      </c>
      <c r="F29">
        <f>Processor!H16</f>
        <v>63.456000000000003</v>
      </c>
      <c r="G29">
        <f>G25/F25</f>
        <v>1.0040604026845639</v>
      </c>
      <c r="H29" t="s">
        <v>248</v>
      </c>
      <c r="J29">
        <f>Processor!H16</f>
        <v>63.456000000000003</v>
      </c>
      <c r="K29">
        <f>K25/J25</f>
        <v>0.87921621621621615</v>
      </c>
      <c r="L29" t="s">
        <v>248</v>
      </c>
    </row>
    <row r="30" spans="1:21" x14ac:dyDescent="0.3">
      <c r="C30">
        <f>B29*C29</f>
        <v>59.743823999999996</v>
      </c>
      <c r="D30" t="s">
        <v>251</v>
      </c>
      <c r="G30">
        <f>F29*G29</f>
        <v>63.713656912751688</v>
      </c>
      <c r="H30" t="s">
        <v>251</v>
      </c>
      <c r="K30">
        <f>J29*K29</f>
        <v>55.791544216216217</v>
      </c>
      <c r="L30" t="s">
        <v>251</v>
      </c>
    </row>
    <row r="31" spans="1:21" x14ac:dyDescent="0.3">
      <c r="C31">
        <f>0.454*C30</f>
        <v>27.123696096</v>
      </c>
      <c r="D31" t="s">
        <v>250</v>
      </c>
      <c r="G31">
        <f>0.454*G30</f>
        <v>28.926000238389268</v>
      </c>
      <c r="H31" t="s">
        <v>250</v>
      </c>
      <c r="K31">
        <f>0.454*K30</f>
        <v>25.329361074162165</v>
      </c>
      <c r="L31" t="s">
        <v>250</v>
      </c>
    </row>
    <row r="33" spans="1:12" x14ac:dyDescent="0.3">
      <c r="A33" s="10" t="s">
        <v>253</v>
      </c>
      <c r="B33" s="10"/>
      <c r="C33">
        <f>(C31/B25)*1000</f>
        <v>183.26821686486485</v>
      </c>
      <c r="D33" t="s">
        <v>252</v>
      </c>
      <c r="E33" s="10" t="s">
        <v>253</v>
      </c>
      <c r="F33" s="10"/>
      <c r="G33">
        <f>(G31/F25)*1000</f>
        <v>194.13422978784746</v>
      </c>
      <c r="H33" t="s">
        <v>252</v>
      </c>
      <c r="I33" s="10" t="s">
        <v>253</v>
      </c>
      <c r="J33" s="10"/>
      <c r="K33">
        <f>(K31/J25)*1000</f>
        <v>171.14433158217679</v>
      </c>
      <c r="L33" t="s">
        <v>252</v>
      </c>
    </row>
    <row r="36" spans="1:12" x14ac:dyDescent="0.3">
      <c r="C36">
        <f>24*60*60/(900/1000)</f>
        <v>96000</v>
      </c>
    </row>
    <row r="38" spans="1:12" x14ac:dyDescent="0.3">
      <c r="C38">
        <f>(C33/C36)*1000000</f>
        <v>1909.0439256756754</v>
      </c>
      <c r="G38">
        <f>(G33/C36)*1000000</f>
        <v>2022.2315602900776</v>
      </c>
      <c r="K38">
        <f>(K33/C36)*1000000</f>
        <v>1782.7534539810081</v>
      </c>
    </row>
  </sheetData>
  <mergeCells count="4">
    <mergeCell ref="S18:U18"/>
    <mergeCell ref="A33:B33"/>
    <mergeCell ref="E33:F33"/>
    <mergeCell ref="I33:J3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8E52A-DC50-465F-A001-EC2A45E349E8}">
  <dimension ref="A1:AF39"/>
  <sheetViews>
    <sheetView topLeftCell="A7" workbookViewId="0">
      <selection activeCell="D21" sqref="D21:D27"/>
    </sheetView>
  </sheetViews>
  <sheetFormatPr defaultRowHeight="14.4" x14ac:dyDescent="0.3"/>
  <sheetData>
    <row r="1" spans="1:32" x14ac:dyDescent="0.3">
      <c r="A1" t="s">
        <v>236</v>
      </c>
      <c r="P1" t="s">
        <v>235</v>
      </c>
      <c r="AF1" t="s">
        <v>238</v>
      </c>
    </row>
    <row r="20" spans="1:22" x14ac:dyDescent="0.3">
      <c r="A20" t="s">
        <v>236</v>
      </c>
      <c r="E20" t="s">
        <v>235</v>
      </c>
      <c r="I20" t="s">
        <v>237</v>
      </c>
      <c r="T20" s="10" t="s">
        <v>247</v>
      </c>
      <c r="U20" s="10"/>
      <c r="V20" s="10"/>
    </row>
    <row r="21" spans="1:22" x14ac:dyDescent="0.3">
      <c r="A21">
        <v>1</v>
      </c>
      <c r="B21">
        <v>37</v>
      </c>
      <c r="C21">
        <f>B21*T21</f>
        <v>29.637</v>
      </c>
      <c r="D21">
        <f>MAX(0, B21-J21)</f>
        <v>0</v>
      </c>
      <c r="E21">
        <v>1</v>
      </c>
      <c r="F21">
        <v>0</v>
      </c>
      <c r="G21">
        <f>F21*T21</f>
        <v>0</v>
      </c>
      <c r="H21">
        <f>MAX(0, F21-J21)</f>
        <v>0</v>
      </c>
      <c r="I21">
        <v>1</v>
      </c>
      <c r="J21">
        <v>56</v>
      </c>
      <c r="K21">
        <f>J21*T21</f>
        <v>44.856000000000002</v>
      </c>
      <c r="S21" t="s">
        <v>245</v>
      </c>
      <c r="T21">
        <v>0.80100000000000005</v>
      </c>
    </row>
    <row r="22" spans="1:22" x14ac:dyDescent="0.3">
      <c r="A22">
        <v>2</v>
      </c>
      <c r="B22">
        <v>39</v>
      </c>
      <c r="C22">
        <f t="shared" ref="C22:C24" si="0">B22*T22</f>
        <v>33.734999999999999</v>
      </c>
      <c r="D22">
        <f t="shared" ref="D22:D23" si="1">MAX(0, B22-J22)</f>
        <v>0</v>
      </c>
      <c r="E22">
        <v>2</v>
      </c>
      <c r="F22">
        <v>35</v>
      </c>
      <c r="G22">
        <f t="shared" ref="G22:G24" si="2">F22*T22</f>
        <v>30.274999999999999</v>
      </c>
      <c r="H22">
        <f t="shared" ref="H22:H24" si="3">MAX(0, F22-J22)</f>
        <v>0</v>
      </c>
      <c r="I22">
        <v>2</v>
      </c>
      <c r="J22">
        <v>56</v>
      </c>
      <c r="K22">
        <f t="shared" ref="K22:K24" si="4">J22*T22</f>
        <v>48.44</v>
      </c>
      <c r="S22" t="s">
        <v>32</v>
      </c>
      <c r="T22">
        <v>0.86499999999999999</v>
      </c>
    </row>
    <row r="23" spans="1:22" x14ac:dyDescent="0.3">
      <c r="A23">
        <v>3</v>
      </c>
      <c r="B23">
        <v>38</v>
      </c>
      <c r="C23">
        <f t="shared" si="0"/>
        <v>38.873999999999995</v>
      </c>
      <c r="D23">
        <f>MAX(0, B23-J23)</f>
        <v>0</v>
      </c>
      <c r="E23">
        <v>3</v>
      </c>
      <c r="F23">
        <v>56</v>
      </c>
      <c r="G23">
        <f t="shared" si="2"/>
        <v>57.287999999999997</v>
      </c>
      <c r="H23">
        <f t="shared" si="3"/>
        <v>18</v>
      </c>
      <c r="I23">
        <v>3</v>
      </c>
      <c r="J23">
        <v>38</v>
      </c>
      <c r="K23">
        <f t="shared" si="4"/>
        <v>38.873999999999995</v>
      </c>
      <c r="S23" t="s">
        <v>31</v>
      </c>
      <c r="T23">
        <v>1.0229999999999999</v>
      </c>
    </row>
    <row r="24" spans="1:22" x14ac:dyDescent="0.3">
      <c r="A24">
        <v>4</v>
      </c>
      <c r="B24">
        <v>37</v>
      </c>
      <c r="C24">
        <f t="shared" si="0"/>
        <v>39.848999999999997</v>
      </c>
      <c r="D24">
        <f>MAX(0, B24-J24)</f>
        <v>37</v>
      </c>
      <c r="E24">
        <v>4</v>
      </c>
      <c r="F24">
        <v>56</v>
      </c>
      <c r="G24">
        <f t="shared" si="2"/>
        <v>60.311999999999998</v>
      </c>
      <c r="H24">
        <f t="shared" si="3"/>
        <v>56</v>
      </c>
      <c r="I24">
        <v>4</v>
      </c>
      <c r="J24">
        <v>0</v>
      </c>
      <c r="K24">
        <f t="shared" si="4"/>
        <v>0</v>
      </c>
      <c r="S24" t="s">
        <v>246</v>
      </c>
      <c r="T24">
        <v>1.077</v>
      </c>
    </row>
    <row r="26" spans="1:22" x14ac:dyDescent="0.3">
      <c r="B26">
        <f>SUM(B21:B24)</f>
        <v>151</v>
      </c>
      <c r="C26">
        <f>SUM(C21:C24)</f>
        <v>142.095</v>
      </c>
      <c r="D26">
        <f>SUM(D21:D24)</f>
        <v>37</v>
      </c>
      <c r="F26">
        <f>SUM(F21:F24)</f>
        <v>147</v>
      </c>
      <c r="G26">
        <f>SUM(G21:G24)</f>
        <v>147.875</v>
      </c>
      <c r="H26">
        <f>SUM(H21:H24)</f>
        <v>74</v>
      </c>
      <c r="J26">
        <f>SUM(J21:J24)</f>
        <v>150</v>
      </c>
      <c r="K26">
        <f>SUM(K21:K24)</f>
        <v>132.16999999999999</v>
      </c>
    </row>
    <row r="27" spans="1:22" x14ac:dyDescent="0.3">
      <c r="D27">
        <f>100 - (D26/B26)*100</f>
        <v>75.496688741721854</v>
      </c>
      <c r="H27">
        <f>100 - (H26/F26)*100</f>
        <v>49.65986394557823</v>
      </c>
    </row>
    <row r="30" spans="1:22" x14ac:dyDescent="0.3">
      <c r="B30">
        <f>Processor!H16</f>
        <v>63.456000000000003</v>
      </c>
      <c r="C30">
        <f>C26/B26</f>
        <v>0.94102649006622519</v>
      </c>
      <c r="D30" t="s">
        <v>248</v>
      </c>
      <c r="F30">
        <f>Processor!H16</f>
        <v>63.456000000000003</v>
      </c>
      <c r="G30">
        <f>G26/F26</f>
        <v>1.0059523809523809</v>
      </c>
      <c r="H30" t="s">
        <v>248</v>
      </c>
      <c r="J30">
        <f>Processor!H16</f>
        <v>63.456000000000003</v>
      </c>
      <c r="K30">
        <f>K26/J26</f>
        <v>0.88113333333333321</v>
      </c>
      <c r="L30" t="s">
        <v>248</v>
      </c>
    </row>
    <row r="31" spans="1:22" x14ac:dyDescent="0.3">
      <c r="C31">
        <f>B30*C30</f>
        <v>59.713776953642387</v>
      </c>
      <c r="D31" t="s">
        <v>251</v>
      </c>
      <c r="G31">
        <f>F30*G30</f>
        <v>63.833714285714287</v>
      </c>
      <c r="H31" t="s">
        <v>251</v>
      </c>
      <c r="K31">
        <f>J30*K30</f>
        <v>55.913196799999994</v>
      </c>
      <c r="L31" t="s">
        <v>251</v>
      </c>
    </row>
    <row r="32" spans="1:22" x14ac:dyDescent="0.3">
      <c r="C32">
        <f>0.454*C31</f>
        <v>27.110054736953646</v>
      </c>
      <c r="D32" t="s">
        <v>250</v>
      </c>
      <c r="G32">
        <f>0.454*G31</f>
        <v>28.980506285714288</v>
      </c>
      <c r="H32" t="s">
        <v>250</v>
      </c>
      <c r="K32">
        <f>0.454*K31</f>
        <v>25.384591347199997</v>
      </c>
      <c r="L32" t="s">
        <v>250</v>
      </c>
    </row>
    <row r="34" spans="1:12" x14ac:dyDescent="0.3">
      <c r="A34" s="10" t="s">
        <v>253</v>
      </c>
      <c r="B34" s="10"/>
      <c r="C34">
        <f>(C32/B26)*1000</f>
        <v>179.53678633744136</v>
      </c>
      <c r="D34" t="s">
        <v>252</v>
      </c>
      <c r="E34" s="10" t="s">
        <v>253</v>
      </c>
      <c r="F34" s="10"/>
      <c r="G34">
        <f>(G32/F26)*1000</f>
        <v>197.14630126336249</v>
      </c>
      <c r="H34" t="s">
        <v>252</v>
      </c>
      <c r="I34" s="10" t="s">
        <v>253</v>
      </c>
      <c r="J34" s="10"/>
      <c r="K34">
        <f>(K32/J26)*1000</f>
        <v>169.23060898133332</v>
      </c>
      <c r="L34" t="s">
        <v>252</v>
      </c>
    </row>
    <row r="37" spans="1:12" x14ac:dyDescent="0.3">
      <c r="C37">
        <f>24*60*60/(475/1000)</f>
        <v>181894.73684210528</v>
      </c>
    </row>
    <row r="39" spans="1:12" x14ac:dyDescent="0.3">
      <c r="C39">
        <f>(C34/C37)*1000000</f>
        <v>987.03673044310915</v>
      </c>
      <c r="G39">
        <f>(G34/C37)*1000000</f>
        <v>1083.8482997696433</v>
      </c>
      <c r="K39">
        <f>(K34/C37)*1000000</f>
        <v>930.37661187654305</v>
      </c>
    </row>
  </sheetData>
  <mergeCells count="4">
    <mergeCell ref="T20:V20"/>
    <mergeCell ref="A34:B34"/>
    <mergeCell ref="E34:F34"/>
    <mergeCell ref="I34:J3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9F36F-C78A-4E66-99B1-EE0BEF36DB30}">
  <dimension ref="A1:AF41"/>
  <sheetViews>
    <sheetView topLeftCell="A7" workbookViewId="0">
      <selection activeCell="D22" sqref="D22:D28"/>
    </sheetView>
  </sheetViews>
  <sheetFormatPr defaultRowHeight="14.4" x14ac:dyDescent="0.3"/>
  <cols>
    <col min="3" max="3" width="12" bestFit="1" customWidth="1"/>
  </cols>
  <sheetData>
    <row r="1" spans="1:32" x14ac:dyDescent="0.3">
      <c r="A1" t="s">
        <v>236</v>
      </c>
      <c r="P1" t="s">
        <v>235</v>
      </c>
      <c r="AF1" t="s">
        <v>238</v>
      </c>
    </row>
    <row r="21" spans="1:21" x14ac:dyDescent="0.3">
      <c r="A21" t="s">
        <v>236</v>
      </c>
      <c r="E21" t="s">
        <v>235</v>
      </c>
      <c r="I21" t="s">
        <v>237</v>
      </c>
      <c r="S21" s="10" t="s">
        <v>247</v>
      </c>
      <c r="T21" s="10"/>
      <c r="U21" s="10"/>
    </row>
    <row r="22" spans="1:21" x14ac:dyDescent="0.3">
      <c r="A22">
        <v>1</v>
      </c>
      <c r="B22">
        <v>11</v>
      </c>
      <c r="C22">
        <f>B22*S22</f>
        <v>8.8109999999999999</v>
      </c>
      <c r="D22">
        <f>MAX(0, B22-J22)</f>
        <v>0</v>
      </c>
      <c r="E22">
        <v>1</v>
      </c>
      <c r="F22">
        <v>0</v>
      </c>
      <c r="G22">
        <f>F22*S22</f>
        <v>0</v>
      </c>
      <c r="H22">
        <f>MAX(0, F22-K22)</f>
        <v>0</v>
      </c>
      <c r="I22">
        <v>1</v>
      </c>
      <c r="J22">
        <v>50</v>
      </c>
      <c r="K22">
        <f>J22*S22</f>
        <v>40.050000000000004</v>
      </c>
      <c r="R22" t="s">
        <v>245</v>
      </c>
      <c r="S22">
        <v>0.80100000000000005</v>
      </c>
    </row>
    <row r="23" spans="1:21" x14ac:dyDescent="0.3">
      <c r="A23">
        <v>2</v>
      </c>
      <c r="B23">
        <v>13</v>
      </c>
      <c r="C23">
        <f t="shared" ref="C23:C25" si="0">B23*S23</f>
        <v>11.244999999999999</v>
      </c>
      <c r="D23">
        <f t="shared" ref="D23:D24" si="1">MAX(0, B23-J23)</f>
        <v>13</v>
      </c>
      <c r="E23">
        <v>2</v>
      </c>
      <c r="F23">
        <v>0</v>
      </c>
      <c r="G23">
        <f t="shared" ref="G23:G25" si="2">F23*S23</f>
        <v>0</v>
      </c>
      <c r="H23">
        <f t="shared" ref="H23:H25" si="3">MAX(0, F23-K23)</f>
        <v>0</v>
      </c>
      <c r="I23">
        <v>2</v>
      </c>
      <c r="J23">
        <v>0</v>
      </c>
      <c r="K23">
        <f t="shared" ref="K23:K25" si="4">J23*S23</f>
        <v>0</v>
      </c>
      <c r="R23" t="s">
        <v>32</v>
      </c>
      <c r="S23">
        <v>0.86499999999999999</v>
      </c>
    </row>
    <row r="24" spans="1:21" x14ac:dyDescent="0.3">
      <c r="A24">
        <v>3</v>
      </c>
      <c r="B24">
        <v>12</v>
      </c>
      <c r="C24">
        <f t="shared" si="0"/>
        <v>12.276</v>
      </c>
      <c r="D24">
        <f>MAX(0, B24-J24)</f>
        <v>12</v>
      </c>
      <c r="E24">
        <v>3</v>
      </c>
      <c r="F24">
        <v>50</v>
      </c>
      <c r="G24">
        <f t="shared" si="2"/>
        <v>51.15</v>
      </c>
      <c r="H24">
        <f t="shared" si="3"/>
        <v>50</v>
      </c>
      <c r="I24">
        <v>3</v>
      </c>
      <c r="J24">
        <v>0</v>
      </c>
      <c r="K24">
        <f t="shared" si="4"/>
        <v>0</v>
      </c>
      <c r="R24" t="s">
        <v>31</v>
      </c>
      <c r="S24">
        <v>1.0229999999999999</v>
      </c>
    </row>
    <row r="25" spans="1:21" x14ac:dyDescent="0.3">
      <c r="A25">
        <v>4</v>
      </c>
      <c r="B25">
        <v>15</v>
      </c>
      <c r="C25">
        <f t="shared" si="0"/>
        <v>16.155000000000001</v>
      </c>
      <c r="D25">
        <f>MAX(0, B25-J25)</f>
        <v>15</v>
      </c>
      <c r="E25">
        <v>4</v>
      </c>
      <c r="F25">
        <v>0</v>
      </c>
      <c r="G25">
        <f t="shared" si="2"/>
        <v>0</v>
      </c>
      <c r="H25">
        <f t="shared" si="3"/>
        <v>0</v>
      </c>
      <c r="I25">
        <v>4</v>
      </c>
      <c r="J25">
        <v>0</v>
      </c>
      <c r="K25">
        <f t="shared" si="4"/>
        <v>0</v>
      </c>
      <c r="R25" t="s">
        <v>246</v>
      </c>
      <c r="S25">
        <v>1.077</v>
      </c>
    </row>
    <row r="27" spans="1:21" x14ac:dyDescent="0.3">
      <c r="B27">
        <f>SUM(B22:B25)</f>
        <v>51</v>
      </c>
      <c r="C27">
        <f>SUM(C22:C25)</f>
        <v>48.486999999999995</v>
      </c>
      <c r="D27">
        <f>SUM(D22:D25)</f>
        <v>40</v>
      </c>
      <c r="F27">
        <f>SUM(F22:F25)</f>
        <v>50</v>
      </c>
      <c r="G27">
        <f>SUM(G22:G25)</f>
        <v>51.15</v>
      </c>
      <c r="H27">
        <f>SUM(H22:H25)</f>
        <v>50</v>
      </c>
      <c r="J27">
        <f>SUM(J22:J25)</f>
        <v>50</v>
      </c>
      <c r="K27">
        <f>SUM(K22:K25)</f>
        <v>40.050000000000004</v>
      </c>
    </row>
    <row r="28" spans="1:21" x14ac:dyDescent="0.3">
      <c r="D28">
        <f>100 - (D27/B27)*100</f>
        <v>21.568627450980387</v>
      </c>
      <c r="H28">
        <f>100 - (H27/F27)*100</f>
        <v>0</v>
      </c>
    </row>
    <row r="31" spans="1:21" x14ac:dyDescent="0.3">
      <c r="B31">
        <f>Processor!H16</f>
        <v>63.456000000000003</v>
      </c>
      <c r="C31">
        <f>C27/B27</f>
        <v>0.95072549019607833</v>
      </c>
      <c r="D31" t="s">
        <v>248</v>
      </c>
      <c r="F31">
        <f>Processor!H16</f>
        <v>63.456000000000003</v>
      </c>
      <c r="G31">
        <f>G27/F27</f>
        <v>1.0229999999999999</v>
      </c>
      <c r="H31" t="s">
        <v>248</v>
      </c>
      <c r="J31">
        <f>Processor!H16</f>
        <v>63.456000000000003</v>
      </c>
      <c r="K31">
        <f>K27/J27</f>
        <v>0.80100000000000005</v>
      </c>
      <c r="L31" t="s">
        <v>248</v>
      </c>
    </row>
    <row r="32" spans="1:21" x14ac:dyDescent="0.3">
      <c r="C32">
        <f>B31*C31/3</f>
        <v>20.109745568627449</v>
      </c>
      <c r="D32" t="s">
        <v>251</v>
      </c>
      <c r="G32">
        <f>F31*G31/3</f>
        <v>21.638496</v>
      </c>
      <c r="H32" t="s">
        <v>251</v>
      </c>
      <c r="K32">
        <f>J31*K31/3</f>
        <v>16.942752000000002</v>
      </c>
      <c r="L32" t="s">
        <v>251</v>
      </c>
    </row>
    <row r="33" spans="1:12" x14ac:dyDescent="0.3">
      <c r="C33">
        <f>0.454*C32</f>
        <v>9.1298244881568618</v>
      </c>
      <c r="D33" t="s">
        <v>250</v>
      </c>
      <c r="G33">
        <f>0.454*G32</f>
        <v>9.8238771840000005</v>
      </c>
      <c r="H33" t="s">
        <v>250</v>
      </c>
      <c r="K33">
        <f>0.454*K32</f>
        <v>7.6920094080000014</v>
      </c>
      <c r="L33" t="s">
        <v>250</v>
      </c>
    </row>
    <row r="35" spans="1:12" x14ac:dyDescent="0.3">
      <c r="A35" s="10" t="s">
        <v>253</v>
      </c>
      <c r="B35" s="10"/>
      <c r="C35">
        <f>(C33/B27)*1000</f>
        <v>179.01616643444825</v>
      </c>
      <c r="D35" t="s">
        <v>252</v>
      </c>
      <c r="E35" s="10" t="s">
        <v>253</v>
      </c>
      <c r="F35" s="10"/>
      <c r="G35">
        <f>(G33/F27)*1000</f>
        <v>196.47754368</v>
      </c>
      <c r="H35" t="s">
        <v>252</v>
      </c>
      <c r="I35" s="10" t="s">
        <v>253</v>
      </c>
      <c r="J35" s="10"/>
      <c r="K35">
        <f>(K33/J27)*1000</f>
        <v>153.84018816000003</v>
      </c>
      <c r="L35" t="s">
        <v>252</v>
      </c>
    </row>
    <row r="39" spans="1:12" x14ac:dyDescent="0.3">
      <c r="C39">
        <f>24*60*60/(20/1000)</f>
        <v>4320000</v>
      </c>
    </row>
    <row r="41" spans="1:12" x14ac:dyDescent="0.3">
      <c r="C41">
        <f>(C35/C39)*1000000</f>
        <v>41.438927415381535</v>
      </c>
      <c r="G41">
        <f>(G35/C39)*1000000</f>
        <v>45.480912888888888</v>
      </c>
      <c r="K41">
        <f>(K35/C39)*1000000</f>
        <v>35.611154666666671</v>
      </c>
    </row>
  </sheetData>
  <mergeCells count="4">
    <mergeCell ref="S21:U21"/>
    <mergeCell ref="A35:B35"/>
    <mergeCell ref="E35:F35"/>
    <mergeCell ref="I35:J3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92F52-6653-4EA9-B787-2FFEA795E410}">
  <dimension ref="A1:AF41"/>
  <sheetViews>
    <sheetView topLeftCell="A7" workbookViewId="0">
      <selection activeCell="D22" sqref="D22:D28"/>
    </sheetView>
  </sheetViews>
  <sheetFormatPr defaultRowHeight="14.4" x14ac:dyDescent="0.3"/>
  <sheetData>
    <row r="1" spans="1:32" x14ac:dyDescent="0.3">
      <c r="A1" t="s">
        <v>236</v>
      </c>
      <c r="P1" t="s">
        <v>235</v>
      </c>
      <c r="AF1" t="s">
        <v>238</v>
      </c>
    </row>
    <row r="21" spans="1:23" x14ac:dyDescent="0.3">
      <c r="A21" t="s">
        <v>236</v>
      </c>
      <c r="E21" t="s">
        <v>235</v>
      </c>
      <c r="I21" t="s">
        <v>237</v>
      </c>
      <c r="U21" s="10" t="s">
        <v>247</v>
      </c>
      <c r="V21" s="10"/>
      <c r="W21" s="10"/>
    </row>
    <row r="22" spans="1:23" x14ac:dyDescent="0.3">
      <c r="A22">
        <v>1</v>
      </c>
      <c r="B22">
        <v>37</v>
      </c>
      <c r="C22">
        <f>B22*U22</f>
        <v>29.637</v>
      </c>
      <c r="D22">
        <f>MAX(0, B22-J22)</f>
        <v>0</v>
      </c>
      <c r="E22">
        <v>1</v>
      </c>
      <c r="F22">
        <v>0</v>
      </c>
      <c r="G22">
        <f>F22*U22</f>
        <v>0</v>
      </c>
      <c r="H22">
        <f>MAX(0, F22-K22)</f>
        <v>0</v>
      </c>
      <c r="I22">
        <v>1</v>
      </c>
      <c r="J22">
        <v>56</v>
      </c>
      <c r="K22">
        <f>J22*U22</f>
        <v>44.856000000000002</v>
      </c>
      <c r="T22" t="s">
        <v>245</v>
      </c>
      <c r="U22">
        <v>0.80100000000000005</v>
      </c>
    </row>
    <row r="23" spans="1:23" x14ac:dyDescent="0.3">
      <c r="A23">
        <v>2</v>
      </c>
      <c r="B23">
        <v>39</v>
      </c>
      <c r="C23">
        <f t="shared" ref="C23:C25" si="0">B23*U23</f>
        <v>33.734999999999999</v>
      </c>
      <c r="D23">
        <f t="shared" ref="D23:D24" si="1">MAX(0, B23-J23)</f>
        <v>0</v>
      </c>
      <c r="E23">
        <v>2</v>
      </c>
      <c r="F23">
        <v>35</v>
      </c>
      <c r="G23">
        <f t="shared" ref="G23:G25" si="2">F23*U23</f>
        <v>30.274999999999999</v>
      </c>
      <c r="H23">
        <f t="shared" ref="H23:H25" si="3">MAX(0, F23-K23)</f>
        <v>0</v>
      </c>
      <c r="I23">
        <v>2</v>
      </c>
      <c r="J23">
        <v>56</v>
      </c>
      <c r="K23">
        <f t="shared" ref="K23:K25" si="4">J23*U23</f>
        <v>48.44</v>
      </c>
      <c r="T23" t="s">
        <v>32</v>
      </c>
      <c r="U23">
        <v>0.86499999999999999</v>
      </c>
    </row>
    <row r="24" spans="1:23" x14ac:dyDescent="0.3">
      <c r="A24">
        <v>3</v>
      </c>
      <c r="B24">
        <v>38</v>
      </c>
      <c r="C24">
        <f t="shared" si="0"/>
        <v>38.873999999999995</v>
      </c>
      <c r="D24">
        <f>MAX(0, B24-J24)</f>
        <v>0</v>
      </c>
      <c r="E24">
        <v>3</v>
      </c>
      <c r="F24">
        <v>56</v>
      </c>
      <c r="G24">
        <f t="shared" si="2"/>
        <v>57.287999999999997</v>
      </c>
      <c r="H24">
        <f t="shared" si="3"/>
        <v>17.126000000000005</v>
      </c>
      <c r="I24">
        <v>3</v>
      </c>
      <c r="J24">
        <v>38</v>
      </c>
      <c r="K24">
        <f t="shared" si="4"/>
        <v>38.873999999999995</v>
      </c>
      <c r="T24" t="s">
        <v>31</v>
      </c>
      <c r="U24">
        <v>1.0229999999999999</v>
      </c>
    </row>
    <row r="25" spans="1:23" x14ac:dyDescent="0.3">
      <c r="A25">
        <v>4</v>
      </c>
      <c r="B25">
        <v>37</v>
      </c>
      <c r="C25">
        <f t="shared" si="0"/>
        <v>39.848999999999997</v>
      </c>
      <c r="D25">
        <f>MAX(0, B25-J25)</f>
        <v>37</v>
      </c>
      <c r="E25">
        <v>4</v>
      </c>
      <c r="F25">
        <v>56</v>
      </c>
      <c r="G25">
        <f t="shared" si="2"/>
        <v>60.311999999999998</v>
      </c>
      <c r="H25">
        <f t="shared" si="3"/>
        <v>56</v>
      </c>
      <c r="I25">
        <v>4</v>
      </c>
      <c r="J25">
        <v>0</v>
      </c>
      <c r="K25">
        <f t="shared" si="4"/>
        <v>0</v>
      </c>
      <c r="T25" t="s">
        <v>246</v>
      </c>
      <c r="U25">
        <v>1.077</v>
      </c>
    </row>
    <row r="27" spans="1:23" x14ac:dyDescent="0.3">
      <c r="B27">
        <f>SUM(B22:B25)</f>
        <v>151</v>
      </c>
      <c r="C27">
        <f>SUM(C22:C25)</f>
        <v>142.095</v>
      </c>
      <c r="D27">
        <f>SUM(D22:D25)</f>
        <v>37</v>
      </c>
      <c r="F27">
        <f>SUM(F22:F25)</f>
        <v>147</v>
      </c>
      <c r="G27">
        <f>SUM(G22:G25)</f>
        <v>147.875</v>
      </c>
      <c r="H27">
        <f>SUM(H22:H25)</f>
        <v>73.126000000000005</v>
      </c>
      <c r="J27">
        <f>SUM(J22:J25)</f>
        <v>150</v>
      </c>
      <c r="K27">
        <f>SUM(K22:K25)</f>
        <v>132.16999999999999</v>
      </c>
    </row>
    <row r="28" spans="1:23" x14ac:dyDescent="0.3">
      <c r="D28">
        <f>100 - (D27/B27)*100</f>
        <v>75.496688741721854</v>
      </c>
      <c r="H28">
        <f>100 - (H27/F27)*100</f>
        <v>50.254421768707481</v>
      </c>
    </row>
    <row r="31" spans="1:23" x14ac:dyDescent="0.3">
      <c r="B31">
        <f>Processor!H16</f>
        <v>63.456000000000003</v>
      </c>
      <c r="C31">
        <f>C27/B27</f>
        <v>0.94102649006622519</v>
      </c>
      <c r="D31" t="s">
        <v>248</v>
      </c>
      <c r="F31">
        <f>Processor!H16</f>
        <v>63.456000000000003</v>
      </c>
      <c r="G31">
        <f>G27/F27</f>
        <v>1.0059523809523809</v>
      </c>
      <c r="H31" t="s">
        <v>248</v>
      </c>
      <c r="J31">
        <f>Processor!H16</f>
        <v>63.456000000000003</v>
      </c>
      <c r="K31">
        <f>K27/J27</f>
        <v>0.88113333333333321</v>
      </c>
      <c r="L31" t="s">
        <v>248</v>
      </c>
    </row>
    <row r="32" spans="1:23" x14ac:dyDescent="0.3">
      <c r="C32">
        <f>B31*C31</f>
        <v>59.713776953642387</v>
      </c>
      <c r="D32" t="s">
        <v>251</v>
      </c>
      <c r="G32">
        <f>F31*G31</f>
        <v>63.833714285714287</v>
      </c>
      <c r="H32" t="s">
        <v>251</v>
      </c>
      <c r="K32">
        <f>J31*K31</f>
        <v>55.913196799999994</v>
      </c>
      <c r="L32" t="s">
        <v>251</v>
      </c>
    </row>
    <row r="33" spans="1:12" x14ac:dyDescent="0.3">
      <c r="C33">
        <f>0.454*C32</f>
        <v>27.110054736953646</v>
      </c>
      <c r="D33" t="s">
        <v>250</v>
      </c>
      <c r="G33">
        <f>0.454*G32</f>
        <v>28.980506285714288</v>
      </c>
      <c r="H33" t="s">
        <v>250</v>
      </c>
      <c r="K33">
        <f>0.454*K32</f>
        <v>25.384591347199997</v>
      </c>
      <c r="L33" t="s">
        <v>250</v>
      </c>
    </row>
    <row r="35" spans="1:12" x14ac:dyDescent="0.3">
      <c r="A35" s="10" t="s">
        <v>253</v>
      </c>
      <c r="B35" s="10"/>
      <c r="C35">
        <f>(C33/B27)*1000</f>
        <v>179.53678633744136</v>
      </c>
      <c r="D35" t="s">
        <v>252</v>
      </c>
      <c r="E35" s="10" t="s">
        <v>253</v>
      </c>
      <c r="F35" s="10"/>
      <c r="G35">
        <f>(G33/F27)*1000</f>
        <v>197.14630126336249</v>
      </c>
      <c r="H35" t="s">
        <v>252</v>
      </c>
      <c r="I35" s="10" t="s">
        <v>253</v>
      </c>
      <c r="J35" s="10"/>
      <c r="K35">
        <f>(K33/J27)*1000</f>
        <v>169.23060898133332</v>
      </c>
      <c r="L35" t="s">
        <v>252</v>
      </c>
    </row>
    <row r="39" spans="1:12" x14ac:dyDescent="0.3">
      <c r="C39">
        <f>24*60*60/(54/1000)</f>
        <v>1600000</v>
      </c>
    </row>
    <row r="41" spans="1:12" x14ac:dyDescent="0.3">
      <c r="C41">
        <f>(C35/C39)*1000000</f>
        <v>112.21049146090085</v>
      </c>
      <c r="G41">
        <f>(G35/C39)*1000000</f>
        <v>123.21643828960154</v>
      </c>
      <c r="K41">
        <f>(K35/C39)*1000000</f>
        <v>105.76913061333332</v>
      </c>
    </row>
  </sheetData>
  <mergeCells count="4">
    <mergeCell ref="U21:W21"/>
    <mergeCell ref="A35:B35"/>
    <mergeCell ref="E35:F35"/>
    <mergeCell ref="I35:J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Latency</vt:lpstr>
      <vt:lpstr>Processor</vt:lpstr>
      <vt:lpstr>CNN_serving</vt:lpstr>
      <vt:lpstr>Float</vt:lpstr>
      <vt:lpstr>LR_Serving</vt:lpstr>
      <vt:lpstr>Linkpack</vt:lpstr>
      <vt:lpstr>matmul</vt:lpstr>
      <vt:lpstr>pyaes</vt:lpstr>
      <vt:lpstr>RNN</vt:lpstr>
      <vt:lpstr>chameleon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Thandayuthapani</dc:creator>
  <cp:lastModifiedBy>Thandayuthapani</cp:lastModifiedBy>
  <dcterms:created xsi:type="dcterms:W3CDTF">2023-01-25T17:43:35Z</dcterms:created>
  <dcterms:modified xsi:type="dcterms:W3CDTF">2023-02-07T19:36:32Z</dcterms:modified>
</cp:coreProperties>
</file>