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/>
  <mc:AlternateContent xmlns:mc="http://schemas.openxmlformats.org/markup-compatibility/2006">
    <mc:Choice Requires="x15">
      <x15ac:absPath xmlns:x15ac="http://schemas.microsoft.com/office/spreadsheetml/2010/11/ac" url="/Users/kefeiliu/Desktop/2022年9月/"/>
    </mc:Choice>
  </mc:AlternateContent>
  <xr:revisionPtr revIDLastSave="0" documentId="13_ncr:1_{E0F41601-C52A-AC4B-B7E1-CB00F4A97F56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ull data" sheetId="1" r:id="rId1"/>
    <sheet name="ltv" sheetId="4" r:id="rId2"/>
    <sheet name="verification" sheetId="5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Y3" i="5" l="1"/>
  <c r="Z3" i="5" s="1"/>
  <c r="X19" i="5"/>
  <c r="Y19" i="5"/>
  <c r="Z19" i="5" s="1"/>
  <c r="AA19" i="5" s="1"/>
  <c r="AB19" i="5" s="1"/>
  <c r="AC19" i="5"/>
  <c r="AD19" i="5"/>
  <c r="AE19" i="5"/>
  <c r="X18" i="5"/>
  <c r="Y18" i="5"/>
  <c r="Z18" i="5" s="1"/>
  <c r="AA18" i="5" s="1"/>
  <c r="AB18" i="5" s="1"/>
  <c r="AC18" i="5"/>
  <c r="AD18" i="5"/>
  <c r="AE18" i="5"/>
  <c r="X20" i="5"/>
  <c r="Y20" i="5"/>
  <c r="Y17" i="5"/>
  <c r="Z17" i="5" s="1"/>
  <c r="X17" i="5"/>
  <c r="AE20" i="5"/>
  <c r="AD20" i="5"/>
  <c r="AC20" i="5"/>
  <c r="AE17" i="5"/>
  <c r="AD17" i="5"/>
  <c r="AC17" i="5"/>
  <c r="AA17" i="5" l="1"/>
  <c r="AB17" i="5" s="1"/>
  <c r="Z20" i="5"/>
  <c r="AA20" i="5" s="1"/>
  <c r="AB20" i="5" s="1"/>
  <c r="Y4" i="5" l="1"/>
  <c r="AE7" i="5"/>
  <c r="AD7" i="5"/>
  <c r="AC7" i="5"/>
  <c r="Y7" i="5"/>
  <c r="X7" i="5"/>
  <c r="AE6" i="5"/>
  <c r="AD6" i="5"/>
  <c r="AC6" i="5"/>
  <c r="Y6" i="5"/>
  <c r="X6" i="5"/>
  <c r="AE5" i="5"/>
  <c r="AD5" i="5"/>
  <c r="AC5" i="5"/>
  <c r="Y5" i="5"/>
  <c r="X5" i="5"/>
  <c r="AE4" i="5"/>
  <c r="AD4" i="5"/>
  <c r="AC4" i="5"/>
  <c r="X4" i="5"/>
  <c r="AE3" i="5"/>
  <c r="AD3" i="5"/>
  <c r="AC3" i="5"/>
  <c r="X3" i="5"/>
  <c r="AA3" i="5" l="1"/>
  <c r="AB3" i="5" s="1"/>
  <c r="Z4" i="5"/>
  <c r="Z5" i="5" s="1"/>
  <c r="AA4" i="5" l="1"/>
  <c r="AB4" i="5" s="1"/>
  <c r="AA5" i="5"/>
  <c r="AB5" i="5" s="1"/>
  <c r="Z6" i="5"/>
  <c r="Z7" i="5" s="1"/>
  <c r="AA7" i="5" s="1"/>
  <c r="AB7" i="5" s="1"/>
  <c r="AA6" i="5" l="1"/>
  <c r="AB6" i="5" s="1"/>
  <c r="AC2" i="1" l="1"/>
  <c r="AE3" i="1" l="1"/>
  <c r="AE2" i="1"/>
  <c r="Y6" i="4"/>
  <c r="Z6" i="4"/>
  <c r="AA6" i="4"/>
  <c r="AB6" i="4"/>
  <c r="Y7" i="4"/>
  <c r="Z7" i="4"/>
  <c r="AA7" i="4"/>
  <c r="AB7" i="4"/>
  <c r="Y8" i="4"/>
  <c r="Z8" i="4"/>
  <c r="AA8" i="4"/>
  <c r="AB8" i="4"/>
  <c r="Y9" i="4"/>
  <c r="Z9" i="4"/>
  <c r="AA9" i="4"/>
  <c r="AB9" i="4"/>
  <c r="Y10" i="4"/>
  <c r="Z10" i="4"/>
  <c r="AA10" i="4"/>
  <c r="AB10" i="4"/>
  <c r="Z5" i="4"/>
  <c r="AA5" i="4"/>
  <c r="AB5" i="4"/>
  <c r="Y5" i="4"/>
  <c r="Q6" i="4"/>
  <c r="R6" i="4"/>
  <c r="S6" i="4"/>
  <c r="T6" i="4"/>
  <c r="Q7" i="4"/>
  <c r="R7" i="4"/>
  <c r="S7" i="4"/>
  <c r="T7" i="4"/>
  <c r="Q8" i="4"/>
  <c r="R8" i="4"/>
  <c r="S8" i="4"/>
  <c r="T8" i="4"/>
  <c r="Q9" i="4"/>
  <c r="R9" i="4"/>
  <c r="S9" i="4"/>
  <c r="T9" i="4"/>
  <c r="Q10" i="4"/>
  <c r="R10" i="4"/>
  <c r="S10" i="4"/>
  <c r="T10" i="4"/>
  <c r="R5" i="4"/>
  <c r="S5" i="4"/>
  <c r="T5" i="4"/>
  <c r="Q5" i="4"/>
  <c r="N5" i="4"/>
  <c r="M6" i="4"/>
  <c r="N6" i="4"/>
  <c r="O6" i="4"/>
  <c r="P6" i="4"/>
  <c r="M7" i="4"/>
  <c r="N7" i="4"/>
  <c r="O7" i="4"/>
  <c r="P7" i="4"/>
  <c r="M8" i="4"/>
  <c r="N8" i="4"/>
  <c r="O8" i="4"/>
  <c r="P8" i="4"/>
  <c r="M9" i="4"/>
  <c r="N9" i="4"/>
  <c r="O9" i="4"/>
  <c r="P9" i="4"/>
  <c r="M10" i="4"/>
  <c r="N10" i="4"/>
  <c r="O10" i="4"/>
  <c r="P10" i="4"/>
  <c r="O5" i="4"/>
  <c r="P5" i="4"/>
  <c r="M5" i="4"/>
  <c r="I6" i="4"/>
  <c r="AC6" i="4" s="1"/>
  <c r="J6" i="4"/>
  <c r="AD6" i="4" s="1"/>
  <c r="K6" i="4"/>
  <c r="AE6" i="4" s="1"/>
  <c r="L6" i="4"/>
  <c r="AF6" i="4" s="1"/>
  <c r="I7" i="4"/>
  <c r="AC7" i="4" s="1"/>
  <c r="J7" i="4"/>
  <c r="AD7" i="4" s="1"/>
  <c r="K7" i="4"/>
  <c r="AE7" i="4" s="1"/>
  <c r="L7" i="4"/>
  <c r="AF7" i="4" s="1"/>
  <c r="I8" i="4"/>
  <c r="AC8" i="4" s="1"/>
  <c r="J8" i="4"/>
  <c r="AD8" i="4" s="1"/>
  <c r="K8" i="4"/>
  <c r="AE8" i="4" s="1"/>
  <c r="L8" i="4"/>
  <c r="AF8" i="4" s="1"/>
  <c r="I9" i="4"/>
  <c r="AC9" i="4" s="1"/>
  <c r="J9" i="4"/>
  <c r="AD9" i="4" s="1"/>
  <c r="K9" i="4"/>
  <c r="AE9" i="4" s="1"/>
  <c r="L9" i="4"/>
  <c r="AF9" i="4" s="1"/>
  <c r="I10" i="4"/>
  <c r="AC10" i="4" s="1"/>
  <c r="J10" i="4"/>
  <c r="AD10" i="4" s="1"/>
  <c r="K10" i="4"/>
  <c r="AE10" i="4" s="1"/>
  <c r="L10" i="4"/>
  <c r="AF10" i="4" s="1"/>
  <c r="J5" i="4"/>
  <c r="AD5" i="4" s="1"/>
  <c r="K5" i="4"/>
  <c r="AE5" i="4" s="1"/>
  <c r="L5" i="4"/>
  <c r="AF5" i="4" s="1"/>
  <c r="I5" i="4"/>
  <c r="AC5" i="4" s="1"/>
  <c r="X10" i="4"/>
  <c r="W10" i="4"/>
  <c r="V10" i="4"/>
  <c r="U10" i="4"/>
  <c r="X9" i="4"/>
  <c r="W9" i="4"/>
  <c r="V9" i="4"/>
  <c r="U9" i="4"/>
  <c r="X8" i="4"/>
  <c r="W8" i="4"/>
  <c r="V8" i="4"/>
  <c r="U8" i="4"/>
  <c r="X7" i="4"/>
  <c r="W7" i="4"/>
  <c r="V7" i="4"/>
  <c r="U7" i="4"/>
  <c r="X6" i="4"/>
  <c r="W6" i="4"/>
  <c r="V6" i="4"/>
  <c r="U6" i="4"/>
  <c r="X5" i="4"/>
  <c r="W5" i="4"/>
  <c r="V5" i="4"/>
  <c r="U5" i="4"/>
  <c r="E6" i="4"/>
  <c r="F6" i="4"/>
  <c r="G6" i="4"/>
  <c r="H6" i="4"/>
  <c r="E7" i="4"/>
  <c r="F7" i="4"/>
  <c r="G7" i="4"/>
  <c r="H7" i="4"/>
  <c r="E8" i="4"/>
  <c r="F8" i="4"/>
  <c r="G8" i="4"/>
  <c r="H8" i="4"/>
  <c r="E9" i="4"/>
  <c r="F9" i="4"/>
  <c r="G9" i="4"/>
  <c r="H9" i="4"/>
  <c r="E10" i="4"/>
  <c r="F10" i="4"/>
  <c r="G10" i="4"/>
  <c r="H10" i="4"/>
  <c r="H5" i="4"/>
  <c r="F5" i="4"/>
  <c r="G5" i="4"/>
  <c r="E5" i="4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" i="1"/>
  <c r="AE4" i="1" l="1"/>
  <c r="AE5" i="1"/>
  <c r="AE6" i="1"/>
  <c r="AE28" i="1"/>
  <c r="AE20" i="1"/>
  <c r="AE19" i="1"/>
  <c r="AE21" i="1"/>
  <c r="AE22" i="1"/>
  <c r="AE23" i="1"/>
  <c r="AE24" i="1"/>
  <c r="AE25" i="1"/>
  <c r="AE26" i="1"/>
  <c r="AE27" i="1"/>
  <c r="AE7" i="1"/>
  <c r="AE8" i="1"/>
  <c r="AE9" i="1"/>
  <c r="AE10" i="1"/>
  <c r="AE11" i="1"/>
  <c r="AE12" i="1"/>
  <c r="AE13" i="1"/>
  <c r="AE14" i="1"/>
  <c r="AE15" i="1"/>
  <c r="AE16" i="1"/>
  <c r="AE17" i="1"/>
  <c r="AE18" i="1"/>
  <c r="X6" i="1"/>
  <c r="Y6" i="1"/>
  <c r="Z6" i="1" s="1"/>
  <c r="X20" i="1"/>
  <c r="Y21" i="1"/>
  <c r="Y22" i="1"/>
  <c r="Y23" i="1"/>
  <c r="Y24" i="1"/>
  <c r="Z24" i="1" s="1"/>
  <c r="Y25" i="1"/>
  <c r="Y26" i="1"/>
  <c r="Y27" i="1"/>
  <c r="Y28" i="1"/>
  <c r="Y7" i="1"/>
  <c r="Y8" i="1"/>
  <c r="Y9" i="1"/>
  <c r="Y15" i="1"/>
  <c r="Z15" i="1" s="1"/>
  <c r="Y16" i="1"/>
  <c r="Y17" i="1"/>
  <c r="Y18" i="1"/>
  <c r="Y19" i="1"/>
  <c r="Y10" i="1"/>
  <c r="Z10" i="1" s="1"/>
  <c r="Y11" i="1"/>
  <c r="Y12" i="1"/>
  <c r="Y13" i="1"/>
  <c r="Y14" i="1"/>
  <c r="Y2" i="1"/>
  <c r="Z2" i="1" s="1"/>
  <c r="Y3" i="1"/>
  <c r="Y4" i="1"/>
  <c r="Y5" i="1"/>
  <c r="Y29" i="1"/>
  <c r="Z29" i="1" s="1"/>
  <c r="Y30" i="1"/>
  <c r="Y31" i="1"/>
  <c r="Y32" i="1"/>
  <c r="Y33" i="1"/>
  <c r="Z33" i="1" s="1"/>
  <c r="Y34" i="1"/>
  <c r="Y35" i="1"/>
  <c r="Y36" i="1"/>
  <c r="Y37" i="1"/>
  <c r="Y20" i="1"/>
  <c r="Z20" i="1" s="1"/>
  <c r="AA6" i="1" l="1"/>
  <c r="Z3" i="1"/>
  <c r="Z4" i="1" s="1"/>
  <c r="Z5" i="1" s="1"/>
  <c r="Z11" i="1"/>
  <c r="Z16" i="1"/>
  <c r="Z17" i="1" s="1"/>
  <c r="Z18" i="1" s="1"/>
  <c r="Z19" i="1" s="1"/>
  <c r="Z25" i="1"/>
  <c r="Z26" i="1" s="1"/>
  <c r="Z27" i="1" s="1"/>
  <c r="Z28" i="1" s="1"/>
  <c r="Z12" i="1"/>
  <c r="Z13" i="1" s="1"/>
  <c r="Z14" i="1" s="1"/>
  <c r="Z7" i="1"/>
  <c r="Z8" i="1" s="1"/>
  <c r="Z9" i="1" s="1"/>
  <c r="Z30" i="1"/>
  <c r="Z31" i="1" s="1"/>
  <c r="Z32" i="1" s="1"/>
  <c r="Z21" i="1"/>
  <c r="Z22" i="1" s="1"/>
  <c r="Z23" i="1" s="1"/>
  <c r="Z34" i="1"/>
  <c r="Z35" i="1" s="1"/>
  <c r="Z36" i="1" s="1"/>
  <c r="Z37" i="1" s="1"/>
  <c r="AA20" i="1"/>
  <c r="AB20" i="1" s="1"/>
  <c r="X23" i="1"/>
  <c r="X5" i="1"/>
  <c r="AA5" i="1" s="1"/>
  <c r="AB5" i="1" s="1"/>
  <c r="X9" i="1"/>
  <c r="X32" i="1"/>
  <c r="X22" i="1"/>
  <c r="X4" i="1"/>
  <c r="AA4" i="1" s="1"/>
  <c r="AB4" i="1" s="1"/>
  <c r="X8" i="1"/>
  <c r="X31" i="1"/>
  <c r="X21" i="1"/>
  <c r="X3" i="1"/>
  <c r="AA3" i="1" s="1"/>
  <c r="AB3" i="1" s="1"/>
  <c r="X7" i="1"/>
  <c r="X30" i="1"/>
  <c r="X2" i="1"/>
  <c r="AA2" i="1" s="1"/>
  <c r="AB2" i="1" s="1"/>
  <c r="AB6" i="1"/>
  <c r="X29" i="1"/>
  <c r="AA29" i="1" s="1"/>
  <c r="AB29" i="1" s="1"/>
  <c r="X28" i="1"/>
  <c r="X14" i="1"/>
  <c r="X19" i="1"/>
  <c r="X37" i="1"/>
  <c r="X27" i="1"/>
  <c r="X13" i="1"/>
  <c r="X18" i="1"/>
  <c r="AA18" i="1" s="1"/>
  <c r="AB18" i="1" s="1"/>
  <c r="X36" i="1"/>
  <c r="X26" i="1"/>
  <c r="AA26" i="1" s="1"/>
  <c r="AB26" i="1" s="1"/>
  <c r="X12" i="1"/>
  <c r="X17" i="1"/>
  <c r="X35" i="1"/>
  <c r="X16" i="1"/>
  <c r="X11" i="1"/>
  <c r="AA11" i="1" s="1"/>
  <c r="AB11" i="1" s="1"/>
  <c r="X25" i="1"/>
  <c r="AA25" i="1" s="1"/>
  <c r="AB25" i="1" s="1"/>
  <c r="X34" i="1"/>
  <c r="X24" i="1"/>
  <c r="AA24" i="1" s="1"/>
  <c r="AB24" i="1" s="1"/>
  <c r="X15" i="1"/>
  <c r="AA15" i="1" s="1"/>
  <c r="AB15" i="1" s="1"/>
  <c r="X10" i="1"/>
  <c r="AA10" i="1" s="1"/>
  <c r="AB10" i="1" s="1"/>
  <c r="X33" i="1"/>
  <c r="AA33" i="1" s="1"/>
  <c r="AB33" i="1" s="1"/>
  <c r="AA16" i="1" l="1"/>
  <c r="AB16" i="1" s="1"/>
  <c r="AA27" i="1"/>
  <c r="AB27" i="1" s="1"/>
  <c r="AA12" i="1"/>
  <c r="AB12" i="1" s="1"/>
  <c r="AA8" i="1"/>
  <c r="AB8" i="1" s="1"/>
  <c r="AA17" i="1"/>
  <c r="AB17" i="1" s="1"/>
  <c r="AA19" i="1"/>
  <c r="AB19" i="1" s="1"/>
  <c r="AA28" i="1"/>
  <c r="AB28" i="1" s="1"/>
  <c r="AA13" i="1"/>
  <c r="AB13" i="1" s="1"/>
  <c r="AA30" i="1"/>
  <c r="AB30" i="1" s="1"/>
  <c r="AA7" i="1"/>
  <c r="AB7" i="1" s="1"/>
  <c r="AA32" i="1"/>
  <c r="AB32" i="1" s="1"/>
  <c r="AA14" i="1"/>
  <c r="AB14" i="1" s="1"/>
  <c r="AA37" i="1"/>
  <c r="AB37" i="1" s="1"/>
  <c r="AA34" i="1"/>
  <c r="AB34" i="1" s="1"/>
  <c r="AA36" i="1"/>
  <c r="AB36" i="1" s="1"/>
  <c r="AA31" i="1"/>
  <c r="AB31" i="1" s="1"/>
  <c r="AA35" i="1"/>
  <c r="AB35" i="1" s="1"/>
  <c r="AA21" i="1"/>
  <c r="AB21" i="1" s="1"/>
  <c r="AA23" i="1"/>
  <c r="AB23" i="1" s="1"/>
  <c r="AA22" i="1"/>
  <c r="AB22" i="1" s="1"/>
  <c r="AA9" i="1"/>
  <c r="AB9" i="1" s="1"/>
</calcChain>
</file>

<file path=xl/sharedStrings.xml><?xml version="1.0" encoding="utf-8"?>
<sst xmlns="http://schemas.openxmlformats.org/spreadsheetml/2006/main" count="247" uniqueCount="63">
  <si>
    <t>score</t>
  </si>
  <si>
    <t>user_count</t>
  </si>
  <si>
    <t>principal</t>
  </si>
  <si>
    <t>principal_repay</t>
  </si>
  <si>
    <t>interest</t>
  </si>
  <si>
    <t>post_interest_repay</t>
  </si>
  <si>
    <t>overdue_interest_repay</t>
  </si>
  <si>
    <t>penalty_repay</t>
  </si>
  <si>
    <t>yuqi1principal</t>
  </si>
  <si>
    <t>yuqi8principal</t>
  </si>
  <si>
    <t>yuqi1to7principal</t>
  </si>
  <si>
    <t>notdue_principal</t>
  </si>
  <si>
    <t>overdue_all</t>
  </si>
  <si>
    <t>2203</t>
  </si>
  <si>
    <t>NULL</t>
  </si>
  <si>
    <t>2204</t>
  </si>
  <si>
    <t>0.54-0.58</t>
  </si>
  <si>
    <t>0.58-0.63</t>
  </si>
  <si>
    <t>0.63-0.67</t>
  </si>
  <si>
    <t>mob1（7days）</t>
  </si>
  <si>
    <t>period</t>
  </si>
  <si>
    <t>payout month</t>
  </si>
  <si>
    <t>renew count</t>
  </si>
  <si>
    <t>renew_people</t>
  </si>
  <si>
    <t>renew_principal</t>
  </si>
  <si>
    <t>overdue8+</t>
  </si>
  <si>
    <t>retained people</t>
  </si>
  <si>
    <t>revenue</t>
  </si>
  <si>
    <t>capital cost</t>
  </si>
  <si>
    <t>cumulative capital cost</t>
  </si>
  <si>
    <t>profit</t>
  </si>
  <si>
    <t>ltv per person（﹩）</t>
  </si>
  <si>
    <t>outstanding of deposit per person(w)</t>
  </si>
  <si>
    <t>renewal amount per person(w)</t>
  </si>
  <si>
    <t>capital cost rate</t>
  </si>
  <si>
    <t>non-performing loan rate</t>
  </si>
  <si>
    <t>March</t>
  </si>
  <si>
    <t>April</t>
  </si>
  <si>
    <t>May</t>
  </si>
  <si>
    <t>June</t>
  </si>
  <si>
    <t>July</t>
  </si>
  <si>
    <t>method1</t>
  </si>
  <si>
    <t>calculate ltv at the end of the month</t>
  </si>
  <si>
    <t>method2</t>
  </si>
  <si>
    <t>calculate ltv every 30 days as a period</t>
  </si>
  <si>
    <t>s</t>
  </si>
  <si>
    <t>15days*4 terms, interest:0.4%</t>
  </si>
  <si>
    <t>mob1_7days</t>
  </si>
  <si>
    <t>withdrawal rate</t>
  </si>
  <si>
    <t>300.58-0.630.2063</t>
  </si>
  <si>
    <t>600.58-0.630.2063</t>
  </si>
  <si>
    <t>900.58-0.630.2063</t>
  </si>
  <si>
    <t>1200.58-0.630.2063</t>
  </si>
  <si>
    <t>1500.58-0.630.2063</t>
  </si>
  <si>
    <t>30days</t>
  </si>
  <si>
    <t>60days</t>
  </si>
  <si>
    <t>90days</t>
  </si>
  <si>
    <t>120days</t>
  </si>
  <si>
    <t>renew people</t>
  </si>
  <si>
    <t>outstanding of deposit per person(ten thousand)（﹩）</t>
  </si>
  <si>
    <t>renew principal per person(ten thousand RMB)</t>
  </si>
  <si>
    <t>assume1000 people passed credit risk control process each bin</t>
  </si>
  <si>
    <t>total ltv（ten thousand RMB）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</si>
</sst>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_);_(* \(#,##0\);_(* &quot;-&quot;??_);_(@_)"/>
    <numFmt numFmtId="165" formatCode="_-* #,##0.00_-;\-* #,##0.00_-;_-* &quot;-&quot;??_-;_-@_-"/>
    <numFmt numFmtId="166" formatCode="_ * #,##0.00_ ;_ * \-#,##0.00_ ;_ * &quot;-&quot;??_ ;_ @_ "/>
    <numFmt numFmtId="167" formatCode="_-* #,##0_-;\-* #,##0_-;_-* &quot;-&quot;??_-;_-@_-"/>
  </numFmts>
  <fonts count="8" x14ac:knownFonts="1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1"/>
      <color rgb="FF000000"/>
      <name val="Calibri"/>
      <family val="4"/>
      <charset val="134"/>
      <scheme val="minor"/>
    </font>
    <font>
      <sz val="10"/>
      <color theme="1"/>
      <name val="Times New Roman"/>
      <family val="1"/>
    </font>
    <font>
      <sz val="10"/>
      <color rgb="FFFF0000"/>
      <name val="Times New Roman"/>
      <family val="1"/>
    </font>
    <font>
      <sz val="11"/>
      <color rgb="FFFF0000"/>
      <name val="Calibri"/>
      <family val="2"/>
      <scheme val="minor"/>
    </font>
    <font>
      <sz val="11"/>
      <color rgb="FF42424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165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78">
    <xf numFmtId="0" fontId="0" fillId="0" borderId="0" xfId="0"/>
    <xf numFmtId="0" fontId="1" fillId="0" borderId="0" xfId="0" applyFont="1" applyFill="1" applyAlignment="1"/>
    <xf numFmtId="0" fontId="1" fillId="0" borderId="0" xfId="0" applyFont="1" applyFill="1" applyAlignment="1"/>
    <xf numFmtId="0" fontId="0" fillId="2" borderId="0" xfId="0" applyFill="1"/>
    <xf numFmtId="0" fontId="1" fillId="2" borderId="0" xfId="0" applyFont="1" applyFill="1" applyAlignment="1"/>
    <xf numFmtId="0" fontId="1" fillId="0" borderId="0" xfId="0" applyFont="1"/>
    <xf numFmtId="2" fontId="1" fillId="2" borderId="0" xfId="0" applyNumberFormat="1" applyFont="1" applyFill="1" applyAlignment="1"/>
    <xf numFmtId="2" fontId="1" fillId="0" borderId="0" xfId="0" applyNumberFormat="1" applyFont="1" applyFill="1" applyAlignment="1"/>
    <xf numFmtId="2" fontId="0" fillId="0" borderId="0" xfId="0" applyNumberFormat="1"/>
    <xf numFmtId="0" fontId="0" fillId="3" borderId="0" xfId="0" applyFill="1"/>
    <xf numFmtId="0" fontId="1" fillId="3" borderId="0" xfId="0" applyFont="1" applyFill="1" applyAlignment="1"/>
    <xf numFmtId="2" fontId="1" fillId="3" borderId="0" xfId="0" applyNumberFormat="1" applyFont="1" applyFill="1" applyAlignment="1"/>
    <xf numFmtId="9" fontId="0" fillId="0" borderId="0" xfId="2" applyFont="1" applyAlignment="1"/>
    <xf numFmtId="10" fontId="0" fillId="0" borderId="0" xfId="2" applyNumberFormat="1" applyFont="1" applyAlignment="1"/>
    <xf numFmtId="0" fontId="2" fillId="0" borderId="0" xfId="0" applyFont="1" applyAlignment="1">
      <alignment horizontal="center"/>
    </xf>
    <xf numFmtId="0" fontId="2" fillId="0" borderId="0" xfId="0" applyFont="1"/>
    <xf numFmtId="0" fontId="3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10" fontId="0" fillId="0" borderId="0" xfId="0" applyNumberFormat="1"/>
    <xf numFmtId="0" fontId="1" fillId="4" borderId="9" xfId="0" applyFont="1" applyFill="1" applyBorder="1" applyAlignment="1">
      <alignment horizontal="left" vertical="center"/>
    </xf>
    <xf numFmtId="0" fontId="1" fillId="4" borderId="10" xfId="0" applyFont="1" applyFill="1" applyBorder="1" applyAlignment="1">
      <alignment horizontal="left" vertical="center"/>
    </xf>
    <xf numFmtId="10" fontId="1" fillId="4" borderId="10" xfId="0" applyNumberFormat="1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1" fillId="4" borderId="0" xfId="0" applyFont="1" applyFill="1" applyBorder="1" applyAlignment="1">
      <alignment horizontal="left" vertical="center"/>
    </xf>
    <xf numFmtId="10" fontId="1" fillId="4" borderId="0" xfId="0" applyNumberFormat="1" applyFont="1" applyFill="1" applyBorder="1" applyAlignment="1">
      <alignment horizontal="left" vertical="center"/>
    </xf>
    <xf numFmtId="0" fontId="1" fillId="4" borderId="2" xfId="0" applyFont="1" applyFill="1" applyBorder="1" applyAlignment="1">
      <alignment horizontal="left" vertical="center"/>
    </xf>
    <xf numFmtId="0" fontId="1" fillId="4" borderId="3" xfId="0" applyFont="1" applyFill="1" applyBorder="1" applyAlignment="1">
      <alignment horizontal="left" vertical="center"/>
    </xf>
    <xf numFmtId="10" fontId="1" fillId="4" borderId="3" xfId="0" applyNumberFormat="1" applyFont="1" applyFill="1" applyBorder="1" applyAlignment="1">
      <alignment horizontal="left" vertical="center"/>
    </xf>
    <xf numFmtId="10" fontId="0" fillId="2" borderId="0" xfId="0" applyNumberFormat="1" applyFill="1"/>
    <xf numFmtId="10" fontId="0" fillId="3" borderId="0" xfId="0" applyNumberFormat="1" applyFill="1"/>
    <xf numFmtId="0" fontId="1" fillId="4" borderId="8" xfId="0" applyFont="1" applyFill="1" applyBorder="1" applyAlignment="1">
      <alignment horizontal="center" wrapText="1"/>
    </xf>
    <xf numFmtId="0" fontId="2" fillId="4" borderId="7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166" fontId="2" fillId="4" borderId="0" xfId="1" applyNumberFormat="1" applyFont="1" applyFill="1" applyBorder="1" applyAlignment="1">
      <alignment horizontal="center"/>
    </xf>
    <xf numFmtId="166" fontId="2" fillId="4" borderId="4" xfId="1" applyNumberFormat="1" applyFont="1" applyFill="1" applyBorder="1" applyAlignment="1">
      <alignment horizontal="center"/>
    </xf>
    <xf numFmtId="166" fontId="2" fillId="4" borderId="3" xfId="1" applyNumberFormat="1" applyFont="1" applyFill="1" applyBorder="1" applyAlignment="1">
      <alignment horizontal="center"/>
    </xf>
    <xf numFmtId="166" fontId="2" fillId="4" borderId="5" xfId="1" applyNumberFormat="1" applyFont="1" applyFill="1" applyBorder="1" applyAlignment="1">
      <alignment horizontal="center"/>
    </xf>
    <xf numFmtId="167" fontId="2" fillId="4" borderId="0" xfId="1" applyNumberFormat="1" applyFont="1" applyFill="1" applyBorder="1" applyAlignment="1">
      <alignment horizontal="center"/>
    </xf>
    <xf numFmtId="167" fontId="2" fillId="4" borderId="4" xfId="1" applyNumberFormat="1" applyFont="1" applyFill="1" applyBorder="1" applyAlignment="1">
      <alignment horizontal="center"/>
    </xf>
    <xf numFmtId="167" fontId="2" fillId="4" borderId="3" xfId="1" applyNumberFormat="1" applyFont="1" applyFill="1" applyBorder="1" applyAlignment="1">
      <alignment horizontal="center"/>
    </xf>
    <xf numFmtId="167" fontId="2" fillId="4" borderId="5" xfId="1" applyNumberFormat="1" applyFont="1" applyFill="1" applyBorder="1" applyAlignment="1">
      <alignment horizontal="center"/>
    </xf>
    <xf numFmtId="165" fontId="2" fillId="4" borderId="0" xfId="1" applyFont="1" applyFill="1" applyBorder="1" applyAlignment="1">
      <alignment horizontal="center"/>
    </xf>
    <xf numFmtId="165" fontId="2" fillId="4" borderId="1" xfId="1" applyFont="1" applyFill="1" applyBorder="1" applyAlignment="1">
      <alignment horizontal="center"/>
    </xf>
    <xf numFmtId="165" fontId="2" fillId="4" borderId="4" xfId="1" applyFont="1" applyFill="1" applyBorder="1" applyAlignment="1">
      <alignment horizontal="center"/>
    </xf>
    <xf numFmtId="165" fontId="2" fillId="4" borderId="2" xfId="1" applyFont="1" applyFill="1" applyBorder="1" applyAlignment="1">
      <alignment horizontal="center"/>
    </xf>
    <xf numFmtId="165" fontId="2" fillId="4" borderId="3" xfId="1" applyFont="1" applyFill="1" applyBorder="1" applyAlignment="1">
      <alignment horizontal="center"/>
    </xf>
    <xf numFmtId="165" fontId="2" fillId="4" borderId="5" xfId="1" applyFont="1" applyFill="1" applyBorder="1" applyAlignment="1">
      <alignment horizontal="center"/>
    </xf>
    <xf numFmtId="166" fontId="5" fillId="4" borderId="0" xfId="1" applyNumberFormat="1" applyFont="1" applyFill="1" applyBorder="1" applyAlignment="1">
      <alignment horizontal="center"/>
    </xf>
    <xf numFmtId="166" fontId="5" fillId="4" borderId="4" xfId="1" applyNumberFormat="1" applyFont="1" applyFill="1" applyBorder="1" applyAlignment="1">
      <alignment horizontal="center"/>
    </xf>
    <xf numFmtId="0" fontId="1" fillId="3" borderId="0" xfId="0" applyFont="1" applyFill="1"/>
    <xf numFmtId="10" fontId="1" fillId="3" borderId="0" xfId="0" applyNumberFormat="1" applyFont="1" applyFill="1"/>
    <xf numFmtId="2" fontId="6" fillId="3" borderId="0" xfId="0" applyNumberFormat="1" applyFont="1" applyFill="1" applyAlignment="1"/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1" fillId="0" borderId="0" xfId="0" applyFont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164" fontId="7" fillId="0" borderId="0" xfId="1" applyNumberFormat="1" applyFont="1" applyBorder="1" applyAlignment="1">
      <alignment horizontal="left" vertical="center"/>
    </xf>
    <xf numFmtId="2" fontId="1" fillId="0" borderId="0" xfId="1" applyNumberFormat="1" applyFont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10" fontId="1" fillId="0" borderId="0" xfId="2" applyNumberFormat="1" applyFont="1" applyAlignment="1"/>
    <xf numFmtId="9" fontId="1" fillId="3" borderId="0" xfId="0" applyNumberFormat="1" applyFont="1" applyFill="1"/>
    <xf numFmtId="0" fontId="7" fillId="0" borderId="0" xfId="0" applyFont="1"/>
    <xf numFmtId="0" fontId="2" fillId="0" borderId="0" xfId="0" applyFont="1" applyAlignment="1">
      <alignment horizontal="left"/>
    </xf>
    <xf numFmtId="0" fontId="0" fillId="0" borderId="0" xfId="0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72"/>
  <sheetViews>
    <sheetView tabSelected="1" zoomScale="116" workbookViewId="0">
      <selection activeCell="D42" sqref="D42"/>
    </sheetView>
  </sheetViews>
  <sheetFormatPr baseColWidth="10" defaultColWidth="9" defaultRowHeight="15" x14ac:dyDescent="0.2"/>
  <cols>
    <col min="1" max="1" width="17" customWidth="1"/>
    <col min="3" max="3" width="9.33203125" bestFit="1" customWidth="1"/>
    <col min="4" max="5" width="16" customWidth="1"/>
    <col min="6" max="6" width="11" customWidth="1"/>
    <col min="7" max="8" width="12.5" customWidth="1"/>
    <col min="9" max="9" width="13" customWidth="1"/>
    <col min="10" max="10" width="15.6640625" customWidth="1"/>
    <col min="11" max="11" width="13.6640625" customWidth="1"/>
    <col min="12" max="12" width="9.5" customWidth="1"/>
    <col min="13" max="16" width="13" customWidth="1"/>
    <col min="17" max="17" width="9.33203125" customWidth="1"/>
    <col min="18" max="18" width="9.33203125" hidden="1" customWidth="1"/>
    <col min="19" max="19" width="9.33203125" customWidth="1"/>
    <col min="20" max="20" width="12.5" customWidth="1"/>
    <col min="21" max="22" width="9.33203125" customWidth="1"/>
    <col min="23" max="23" width="12.5" customWidth="1"/>
    <col min="24" max="24" width="13" customWidth="1"/>
    <col min="25" max="25" width="12.6640625" customWidth="1"/>
    <col min="26" max="26" width="17.33203125" customWidth="1"/>
    <col min="27" max="27" width="12.83203125" customWidth="1"/>
    <col min="28" max="28" width="14" style="8" bestFit="1" customWidth="1"/>
    <col min="29" max="30" width="12.83203125" bestFit="1" customWidth="1"/>
    <col min="32" max="32" width="9.1640625" bestFit="1" customWidth="1"/>
  </cols>
  <sheetData>
    <row r="1" spans="1:32" s="68" customFormat="1" ht="48" x14ac:dyDescent="0.2">
      <c r="B1" s="68" t="s">
        <v>21</v>
      </c>
      <c r="C1" s="68" t="s">
        <v>20</v>
      </c>
      <c r="D1" s="68" t="s">
        <v>0</v>
      </c>
      <c r="E1" s="68" t="s">
        <v>19</v>
      </c>
      <c r="F1" s="68" t="s">
        <v>1</v>
      </c>
      <c r="G1" s="68" t="s">
        <v>2</v>
      </c>
      <c r="H1" s="68" t="s">
        <v>3</v>
      </c>
      <c r="I1" s="68" t="s">
        <v>4</v>
      </c>
      <c r="J1" s="68" t="s">
        <v>5</v>
      </c>
      <c r="K1" s="68" t="s">
        <v>6</v>
      </c>
      <c r="L1" s="68" t="s">
        <v>7</v>
      </c>
      <c r="M1" s="68" t="s">
        <v>8</v>
      </c>
      <c r="N1" s="68" t="s">
        <v>9</v>
      </c>
      <c r="O1" s="68" t="s">
        <v>10</v>
      </c>
      <c r="P1" s="68" t="s">
        <v>11</v>
      </c>
      <c r="Q1" s="69" t="s">
        <v>22</v>
      </c>
      <c r="R1" s="69" t="s">
        <v>22</v>
      </c>
      <c r="S1" s="69" t="s">
        <v>23</v>
      </c>
      <c r="T1" s="68" t="s">
        <v>24</v>
      </c>
      <c r="U1" s="68" t="s">
        <v>12</v>
      </c>
      <c r="V1" s="68" t="s">
        <v>25</v>
      </c>
      <c r="W1" s="69" t="s">
        <v>26</v>
      </c>
      <c r="X1" s="70" t="s">
        <v>27</v>
      </c>
      <c r="Y1" s="70" t="s">
        <v>28</v>
      </c>
      <c r="Z1" s="70" t="s">
        <v>29</v>
      </c>
      <c r="AA1" s="70" t="s">
        <v>30</v>
      </c>
      <c r="AB1" s="71" t="s">
        <v>31</v>
      </c>
      <c r="AC1" s="69" t="s">
        <v>32</v>
      </c>
      <c r="AD1" s="69" t="s">
        <v>33</v>
      </c>
      <c r="AE1" s="72" t="s">
        <v>35</v>
      </c>
      <c r="AF1" s="68" t="s">
        <v>34</v>
      </c>
    </row>
    <row r="2" spans="1:32" x14ac:dyDescent="0.2">
      <c r="A2" t="str">
        <f>_xlfn.CONCAT(C2,D2,E2)</f>
        <v>300.54-0.580.1271</v>
      </c>
      <c r="B2" t="s">
        <v>15</v>
      </c>
      <c r="C2">
        <v>30</v>
      </c>
      <c r="D2" t="s">
        <v>16</v>
      </c>
      <c r="E2" s="18">
        <v>0.12709999999999999</v>
      </c>
      <c r="F2">
        <v>1430</v>
      </c>
      <c r="G2">
        <v>990900000</v>
      </c>
      <c r="H2">
        <v>470370479</v>
      </c>
      <c r="I2">
        <v>99090000</v>
      </c>
      <c r="J2">
        <v>54912392</v>
      </c>
      <c r="K2">
        <v>874274</v>
      </c>
      <c r="L2">
        <v>0</v>
      </c>
      <c r="M2">
        <v>175228921</v>
      </c>
      <c r="N2">
        <v>88308100</v>
      </c>
      <c r="O2">
        <v>86920821</v>
      </c>
      <c r="P2">
        <v>345300600</v>
      </c>
      <c r="Q2">
        <v>277</v>
      </c>
      <c r="R2">
        <v>277</v>
      </c>
      <c r="S2">
        <v>210</v>
      </c>
      <c r="T2">
        <v>229000000</v>
      </c>
      <c r="U2">
        <v>442</v>
      </c>
      <c r="V2">
        <v>155</v>
      </c>
      <c r="W2">
        <v>1275</v>
      </c>
      <c r="X2" s="1">
        <f t="shared" ref="X2:X37" si="0">J2+K2+H2*(I2/G2)</f>
        <v>102823713.90000001</v>
      </c>
      <c r="Y2" s="2">
        <f t="shared" ref="Y2:Y37" si="1">C2*$AF$2/360*SUM(O2:P2)*(15.5/30)</f>
        <v>4466288.0169999991</v>
      </c>
      <c r="Z2" s="2">
        <f>Y2</f>
        <v>4466288.0169999991</v>
      </c>
      <c r="AA2" s="1">
        <f t="shared" ref="AA2:AA37" si="2">X2-Z2-N2*0.9</f>
        <v>18880135.883000001</v>
      </c>
      <c r="AB2" s="7">
        <f t="shared" ref="AB2:AB37" si="3">AA2/F2/2100/6.5</f>
        <v>0.96724485171239027</v>
      </c>
      <c r="AC2" s="7">
        <f>(O2+P2)/W2/10000</f>
        <v>33.899719294117645</v>
      </c>
      <c r="AD2" s="7">
        <f>T2/S2/10000</f>
        <v>109.04761904761905</v>
      </c>
      <c r="AE2" s="13">
        <f>N2/G2</f>
        <v>8.9119083661317988E-2</v>
      </c>
      <c r="AF2" s="12">
        <v>0.24</v>
      </c>
    </row>
    <row r="3" spans="1:32" x14ac:dyDescent="0.2">
      <c r="A3" t="str">
        <f t="shared" ref="A3:A28" si="4">_xlfn.CONCAT(C3,D3,E3)</f>
        <v>600.54-0.580.1271</v>
      </c>
      <c r="B3" t="s">
        <v>15</v>
      </c>
      <c r="C3">
        <v>60</v>
      </c>
      <c r="D3" t="s">
        <v>16</v>
      </c>
      <c r="E3" s="18">
        <v>0.12709999999999999</v>
      </c>
      <c r="F3">
        <v>1430</v>
      </c>
      <c r="G3">
        <v>1627900000</v>
      </c>
      <c r="H3">
        <v>915165029</v>
      </c>
      <c r="I3">
        <v>162790000</v>
      </c>
      <c r="J3">
        <v>107341778</v>
      </c>
      <c r="K3">
        <v>2760148</v>
      </c>
      <c r="L3">
        <v>0</v>
      </c>
      <c r="M3">
        <v>208475471</v>
      </c>
      <c r="N3">
        <v>162609900</v>
      </c>
      <c r="O3">
        <v>45865571</v>
      </c>
      <c r="P3">
        <v>504259500</v>
      </c>
      <c r="Q3">
        <v>911</v>
      </c>
      <c r="R3">
        <v>911</v>
      </c>
      <c r="S3">
        <v>639</v>
      </c>
      <c r="T3">
        <v>866000000</v>
      </c>
      <c r="U3">
        <v>782</v>
      </c>
      <c r="V3">
        <v>355</v>
      </c>
      <c r="W3">
        <v>1075</v>
      </c>
      <c r="X3" s="1">
        <f t="shared" si="0"/>
        <v>201618428.90000001</v>
      </c>
      <c r="Y3" s="2">
        <f t="shared" si="1"/>
        <v>11369251.467333332</v>
      </c>
      <c r="Z3" s="2">
        <f>Y3+Z2</f>
        <v>15835539.484333331</v>
      </c>
      <c r="AA3" s="1">
        <f t="shared" si="2"/>
        <v>39433979.41566667</v>
      </c>
      <c r="AB3" s="7">
        <f t="shared" si="3"/>
        <v>2.0202351195300428</v>
      </c>
      <c r="AC3" s="7">
        <f t="shared" ref="AC3:AC37" si="5">(O3+P3)/W3/10000</f>
        <v>51.174425209302328</v>
      </c>
      <c r="AD3" s="7">
        <f t="shared" ref="AD3:AD37" si="6">T3/S3/10000</f>
        <v>135.5242566510172</v>
      </c>
      <c r="AE3" s="13">
        <f>N3/G3</f>
        <v>9.9889366668714299E-2</v>
      </c>
    </row>
    <row r="4" spans="1:32" s="77" customFormat="1" x14ac:dyDescent="0.2">
      <c r="A4" t="str">
        <f t="shared" si="4"/>
        <v>900.54-0.580.1271</v>
      </c>
      <c r="B4" t="s">
        <v>15</v>
      </c>
      <c r="C4">
        <v>90</v>
      </c>
      <c r="D4" t="s">
        <v>16</v>
      </c>
      <c r="E4" s="18">
        <v>0.12709999999999999</v>
      </c>
      <c r="F4">
        <v>1430</v>
      </c>
      <c r="G4">
        <v>2259500000</v>
      </c>
      <c r="H4">
        <v>1373722648</v>
      </c>
      <c r="I4">
        <v>225950000</v>
      </c>
      <c r="J4">
        <v>170474934</v>
      </c>
      <c r="K4">
        <v>4873366</v>
      </c>
      <c r="L4">
        <v>0</v>
      </c>
      <c r="M4">
        <v>317293100</v>
      </c>
      <c r="N4">
        <v>215593100</v>
      </c>
      <c r="O4">
        <v>101700000</v>
      </c>
      <c r="P4">
        <v>568484252</v>
      </c>
      <c r="Q4">
        <v>1516</v>
      </c>
      <c r="R4">
        <v>1516</v>
      </c>
      <c r="S4">
        <v>817</v>
      </c>
      <c r="T4">
        <v>1497600000</v>
      </c>
      <c r="U4">
        <v>925</v>
      </c>
      <c r="V4">
        <v>452</v>
      </c>
      <c r="W4">
        <v>978</v>
      </c>
      <c r="X4" s="1">
        <f t="shared" si="0"/>
        <v>312720564.80000001</v>
      </c>
      <c r="Y4" s="2">
        <f t="shared" si="1"/>
        <v>20775711.811999999</v>
      </c>
      <c r="Z4" s="2">
        <f t="shared" ref="Z4" si="7">Y4+Z3</f>
        <v>36611251.296333328</v>
      </c>
      <c r="AA4" s="1">
        <f t="shared" si="2"/>
        <v>82075523.503666699</v>
      </c>
      <c r="AB4" s="7">
        <f t="shared" si="3"/>
        <v>4.2047964089073337</v>
      </c>
      <c r="AC4" s="7">
        <f t="shared" si="5"/>
        <v>68.525997137014315</v>
      </c>
      <c r="AD4" s="7">
        <f t="shared" si="6"/>
        <v>183.30477356181152</v>
      </c>
      <c r="AE4" s="13">
        <f t="shared" ref="AE4:AE5" si="8">N4/G4</f>
        <v>9.5416286789112639E-2</v>
      </c>
    </row>
    <row r="5" spans="1:32" s="77" customFormat="1" x14ac:dyDescent="0.2">
      <c r="A5" t="str">
        <f t="shared" si="4"/>
        <v>1200.54-0.580.1271</v>
      </c>
      <c r="B5" t="s">
        <v>15</v>
      </c>
      <c r="C5">
        <v>120</v>
      </c>
      <c r="D5" t="s">
        <v>16</v>
      </c>
      <c r="E5" s="18">
        <v>0.12709999999999999</v>
      </c>
      <c r="F5">
        <v>1430</v>
      </c>
      <c r="G5">
        <v>2891400000</v>
      </c>
      <c r="H5">
        <v>1875501866</v>
      </c>
      <c r="I5">
        <v>289140000</v>
      </c>
      <c r="J5">
        <v>245127646</v>
      </c>
      <c r="K5">
        <v>7392296</v>
      </c>
      <c r="L5">
        <v>0</v>
      </c>
      <c r="M5">
        <v>397700100</v>
      </c>
      <c r="N5">
        <v>296237600</v>
      </c>
      <c r="O5">
        <v>101462500</v>
      </c>
      <c r="P5">
        <v>618198034</v>
      </c>
      <c r="Q5">
        <v>2013</v>
      </c>
      <c r="R5">
        <v>2013</v>
      </c>
      <c r="S5">
        <v>853</v>
      </c>
      <c r="T5">
        <v>2129500000</v>
      </c>
      <c r="U5">
        <v>1040</v>
      </c>
      <c r="V5">
        <v>571</v>
      </c>
      <c r="W5">
        <v>859</v>
      </c>
      <c r="X5" s="1">
        <f t="shared" si="0"/>
        <v>440070128.60000002</v>
      </c>
      <c r="Y5" s="2">
        <f t="shared" si="1"/>
        <v>29745968.738666665</v>
      </c>
      <c r="Z5" s="2">
        <f>Y5+Z4</f>
        <v>66357220.034999996</v>
      </c>
      <c r="AA5" s="1">
        <f t="shared" si="2"/>
        <v>107099068.56500006</v>
      </c>
      <c r="AB5" s="7">
        <f t="shared" si="3"/>
        <v>5.486773153257003</v>
      </c>
      <c r="AC5" s="7">
        <f t="shared" si="5"/>
        <v>83.778874738067515</v>
      </c>
      <c r="AD5" s="7">
        <f t="shared" si="6"/>
        <v>249.6483001172333</v>
      </c>
      <c r="AE5" s="13">
        <f t="shared" si="8"/>
        <v>0.10245472781351594</v>
      </c>
    </row>
    <row r="6" spans="1:32" s="77" customFormat="1" x14ac:dyDescent="0.2">
      <c r="A6" t="str">
        <f t="shared" si="4"/>
        <v>300.58-0.630.1615</v>
      </c>
      <c r="B6" s="3" t="s">
        <v>15</v>
      </c>
      <c r="C6" s="3">
        <v>30</v>
      </c>
      <c r="D6" s="3" t="s">
        <v>17</v>
      </c>
      <c r="E6" s="28">
        <v>0.1615</v>
      </c>
      <c r="F6" s="3">
        <v>513</v>
      </c>
      <c r="G6" s="3">
        <v>339700000</v>
      </c>
      <c r="H6" s="3">
        <v>144750000</v>
      </c>
      <c r="I6" s="3">
        <v>33970000</v>
      </c>
      <c r="J6" s="3">
        <v>16830796</v>
      </c>
      <c r="K6" s="3">
        <v>349919</v>
      </c>
      <c r="L6" s="3">
        <v>0</v>
      </c>
      <c r="M6" s="3">
        <v>75700000</v>
      </c>
      <c r="N6" s="3">
        <v>40775000</v>
      </c>
      <c r="O6" s="3">
        <v>34925000</v>
      </c>
      <c r="P6" s="3">
        <v>119250000</v>
      </c>
      <c r="Q6" s="3">
        <v>77</v>
      </c>
      <c r="R6" s="3">
        <v>77</v>
      </c>
      <c r="S6" s="3">
        <v>66</v>
      </c>
      <c r="T6" s="3">
        <v>64300000</v>
      </c>
      <c r="U6" s="3">
        <v>178</v>
      </c>
      <c r="V6" s="3">
        <v>76</v>
      </c>
      <c r="W6" s="3">
        <v>437</v>
      </c>
      <c r="X6" s="4">
        <f t="shared" si="0"/>
        <v>31655715</v>
      </c>
      <c r="Y6" s="4">
        <f t="shared" si="1"/>
        <v>1593141.6666666665</v>
      </c>
      <c r="Z6" s="4">
        <f>Y6</f>
        <v>1593141.6666666665</v>
      </c>
      <c r="AA6" s="4">
        <f t="shared" si="2"/>
        <v>-6634926.6666666679</v>
      </c>
      <c r="AB6" s="6">
        <f t="shared" si="3"/>
        <v>-0.94751503640392554</v>
      </c>
      <c r="AC6" s="7">
        <f t="shared" si="5"/>
        <v>35.280320366132727</v>
      </c>
      <c r="AD6" s="7">
        <f t="shared" si="6"/>
        <v>97.424242424242422</v>
      </c>
      <c r="AE6" s="13">
        <f t="shared" ref="AE6:AE28" si="9">N6/G6</f>
        <v>0.12003238151309979</v>
      </c>
    </row>
    <row r="7" spans="1:32" s="77" customFormat="1" x14ac:dyDescent="0.2">
      <c r="A7" t="str">
        <f t="shared" si="4"/>
        <v>600.58-0.630.1615</v>
      </c>
      <c r="B7" s="3" t="s">
        <v>15</v>
      </c>
      <c r="C7" s="3">
        <v>60</v>
      </c>
      <c r="D7" s="3" t="s">
        <v>17</v>
      </c>
      <c r="E7" s="28">
        <v>0.1615</v>
      </c>
      <c r="F7" s="3">
        <v>513</v>
      </c>
      <c r="G7" s="3">
        <v>541700000</v>
      </c>
      <c r="H7" s="3">
        <v>287566585</v>
      </c>
      <c r="I7" s="3">
        <v>54170000</v>
      </c>
      <c r="J7" s="3">
        <v>34425716</v>
      </c>
      <c r="K7" s="3">
        <v>1246354</v>
      </c>
      <c r="L7" s="3">
        <v>0</v>
      </c>
      <c r="M7" s="3">
        <v>77643915</v>
      </c>
      <c r="N7" s="3">
        <v>64118915</v>
      </c>
      <c r="O7" s="3">
        <v>13525000</v>
      </c>
      <c r="P7" s="3">
        <v>176489500</v>
      </c>
      <c r="Q7" s="3">
        <v>259</v>
      </c>
      <c r="R7" s="3">
        <v>259</v>
      </c>
      <c r="S7" s="3">
        <v>198</v>
      </c>
      <c r="T7" s="3">
        <v>266300000</v>
      </c>
      <c r="U7" s="3">
        <v>305</v>
      </c>
      <c r="V7" s="3">
        <v>149</v>
      </c>
      <c r="W7" s="3">
        <v>364</v>
      </c>
      <c r="X7" s="4">
        <f t="shared" si="0"/>
        <v>64428728.5</v>
      </c>
      <c r="Y7" s="4">
        <f t="shared" si="1"/>
        <v>3926966.333333333</v>
      </c>
      <c r="Z7" s="4">
        <f>Y7+Z6</f>
        <v>5520108</v>
      </c>
      <c r="AA7" s="4">
        <f t="shared" si="2"/>
        <v>1201597</v>
      </c>
      <c r="AB7" s="6">
        <f t="shared" si="3"/>
        <v>0.17159665545630456</v>
      </c>
      <c r="AC7" s="7">
        <f t="shared" si="5"/>
        <v>52.201785714285712</v>
      </c>
      <c r="AD7" s="7">
        <f t="shared" si="6"/>
        <v>134.49494949494951</v>
      </c>
      <c r="AE7" s="13">
        <f t="shared" si="9"/>
        <v>0.11836609747092487</v>
      </c>
    </row>
    <row r="8" spans="1:32" s="77" customFormat="1" x14ac:dyDescent="0.2">
      <c r="A8" t="str">
        <f t="shared" si="4"/>
        <v>900.58-0.630.1615</v>
      </c>
      <c r="B8" s="3" t="s">
        <v>15</v>
      </c>
      <c r="C8" s="3">
        <v>90</v>
      </c>
      <c r="D8" s="3" t="s">
        <v>17</v>
      </c>
      <c r="E8" s="28">
        <v>0.1615</v>
      </c>
      <c r="F8" s="3">
        <v>513</v>
      </c>
      <c r="G8" s="3">
        <v>758500000</v>
      </c>
      <c r="H8" s="3">
        <v>447142986</v>
      </c>
      <c r="I8" s="3">
        <v>75850000</v>
      </c>
      <c r="J8" s="3">
        <v>56079606</v>
      </c>
      <c r="K8" s="3">
        <v>2004516</v>
      </c>
      <c r="L8" s="3">
        <v>0</v>
      </c>
      <c r="M8" s="3">
        <v>114873082</v>
      </c>
      <c r="N8" s="3">
        <v>80318915</v>
      </c>
      <c r="O8" s="3">
        <v>34554167</v>
      </c>
      <c r="P8" s="3">
        <v>196483932</v>
      </c>
      <c r="Q8" s="3">
        <v>448</v>
      </c>
      <c r="R8" s="3">
        <v>448</v>
      </c>
      <c r="S8" s="3">
        <v>263</v>
      </c>
      <c r="T8" s="3">
        <v>483100000</v>
      </c>
      <c r="U8" s="3">
        <v>355</v>
      </c>
      <c r="V8" s="3">
        <v>186</v>
      </c>
      <c r="W8" s="3">
        <v>327</v>
      </c>
      <c r="X8" s="4">
        <f t="shared" si="0"/>
        <v>102798420.59999999</v>
      </c>
      <c r="Y8" s="4">
        <f t="shared" si="1"/>
        <v>7162181.0689999992</v>
      </c>
      <c r="Z8" s="4">
        <f t="shared" ref="Z8" si="10">Y8+Z7</f>
        <v>12682289.068999998</v>
      </c>
      <c r="AA8" s="4">
        <f t="shared" si="2"/>
        <v>17829108.030999988</v>
      </c>
      <c r="AB8" s="6">
        <f t="shared" si="3"/>
        <v>2.5461242894986738</v>
      </c>
      <c r="AC8" s="7">
        <f t="shared" si="5"/>
        <v>70.653852905198775</v>
      </c>
      <c r="AD8" s="7">
        <f t="shared" si="6"/>
        <v>183.68821292775664</v>
      </c>
      <c r="AE8" s="13">
        <f t="shared" si="9"/>
        <v>0.1058917798286091</v>
      </c>
    </row>
    <row r="9" spans="1:32" s="77" customFormat="1" x14ac:dyDescent="0.2">
      <c r="A9" t="str">
        <f t="shared" si="4"/>
        <v>1200.58-0.630.1615</v>
      </c>
      <c r="B9" s="3" t="s">
        <v>15</v>
      </c>
      <c r="C9" s="3">
        <v>120</v>
      </c>
      <c r="D9" s="3" t="s">
        <v>17</v>
      </c>
      <c r="E9" s="28">
        <v>0.1615</v>
      </c>
      <c r="F9" s="3">
        <v>513</v>
      </c>
      <c r="G9" s="3">
        <v>974700000</v>
      </c>
      <c r="H9" s="3">
        <v>621279833</v>
      </c>
      <c r="I9" s="3">
        <v>97470000</v>
      </c>
      <c r="J9" s="3">
        <v>81921933</v>
      </c>
      <c r="K9" s="3">
        <v>2480254</v>
      </c>
      <c r="L9" s="3">
        <v>0</v>
      </c>
      <c r="M9" s="3">
        <v>141923836</v>
      </c>
      <c r="N9" s="3">
        <v>113286335</v>
      </c>
      <c r="O9" s="3">
        <v>28637501</v>
      </c>
      <c r="P9" s="3">
        <v>211496331</v>
      </c>
      <c r="Q9" s="3">
        <v>620</v>
      </c>
      <c r="R9" s="3">
        <v>620</v>
      </c>
      <c r="S9" s="3">
        <v>272</v>
      </c>
      <c r="T9" s="3">
        <v>699300000</v>
      </c>
      <c r="U9" s="3">
        <v>389</v>
      </c>
      <c r="V9" s="3">
        <v>220</v>
      </c>
      <c r="W9" s="3">
        <v>293</v>
      </c>
      <c r="X9" s="4">
        <f t="shared" si="0"/>
        <v>146530170.30000001</v>
      </c>
      <c r="Y9" s="4">
        <f t="shared" si="1"/>
        <v>9925531.7226666678</v>
      </c>
      <c r="Z9" s="4">
        <f>Y9+Z8</f>
        <v>22607820.791666664</v>
      </c>
      <c r="AA9" s="4">
        <f t="shared" si="2"/>
        <v>21964648.008333355</v>
      </c>
      <c r="AB9" s="6">
        <f t="shared" si="3"/>
        <v>3.1367090101797737</v>
      </c>
      <c r="AC9" s="7">
        <f t="shared" si="5"/>
        <v>81.956939249146757</v>
      </c>
      <c r="AD9" s="7">
        <f t="shared" si="6"/>
        <v>257.09558823529414</v>
      </c>
      <c r="AE9" s="13">
        <f t="shared" si="9"/>
        <v>0.1162268749358777</v>
      </c>
    </row>
    <row r="10" spans="1:32" s="77" customFormat="1" x14ac:dyDescent="0.2">
      <c r="A10" t="str">
        <f t="shared" si="4"/>
        <v>300.54-0.580.1727</v>
      </c>
      <c r="B10" s="9" t="s">
        <v>13</v>
      </c>
      <c r="C10" s="9">
        <v>30</v>
      </c>
      <c r="D10" s="9" t="s">
        <v>16</v>
      </c>
      <c r="E10" s="29">
        <v>0.17269999999999999</v>
      </c>
      <c r="F10" s="9">
        <v>1243</v>
      </c>
      <c r="G10" s="9">
        <v>1069000000</v>
      </c>
      <c r="H10" s="9">
        <v>516436050</v>
      </c>
      <c r="I10" s="9">
        <v>106900000</v>
      </c>
      <c r="J10" s="9">
        <v>60443936</v>
      </c>
      <c r="K10" s="9">
        <v>923846</v>
      </c>
      <c r="L10" s="9">
        <v>0</v>
      </c>
      <c r="M10" s="9">
        <v>194846450</v>
      </c>
      <c r="N10" s="9">
        <v>120500000</v>
      </c>
      <c r="O10" s="9">
        <v>74346450</v>
      </c>
      <c r="P10" s="9">
        <v>357717500</v>
      </c>
      <c r="Q10" s="9">
        <v>279</v>
      </c>
      <c r="R10" s="9">
        <v>279</v>
      </c>
      <c r="S10" s="9">
        <v>209</v>
      </c>
      <c r="T10" s="9">
        <v>226900000</v>
      </c>
      <c r="U10" s="9">
        <v>367</v>
      </c>
      <c r="V10" s="9">
        <v>173</v>
      </c>
      <c r="W10" s="9">
        <v>1070</v>
      </c>
      <c r="X10" s="10">
        <f t="shared" si="0"/>
        <v>113011387</v>
      </c>
      <c r="Y10" s="10">
        <f t="shared" si="1"/>
        <v>4464660.8166666664</v>
      </c>
      <c r="Z10" s="10">
        <f>Y10</f>
        <v>4464660.8166666664</v>
      </c>
      <c r="AA10" s="10">
        <f t="shared" si="2"/>
        <v>96726.183333337307</v>
      </c>
      <c r="AB10" s="11">
        <f t="shared" si="3"/>
        <v>5.7008586300624038E-3</v>
      </c>
      <c r="AC10" s="7">
        <f t="shared" si="5"/>
        <v>40.379808411214952</v>
      </c>
      <c r="AD10" s="7">
        <f t="shared" si="6"/>
        <v>108.56459330143539</v>
      </c>
      <c r="AE10" s="13">
        <f t="shared" si="9"/>
        <v>0.1127221702525725</v>
      </c>
    </row>
    <row r="11" spans="1:32" s="77" customFormat="1" x14ac:dyDescent="0.2">
      <c r="A11" t="str">
        <f t="shared" si="4"/>
        <v>600.54-0.580.1727</v>
      </c>
      <c r="B11" s="9" t="s">
        <v>13</v>
      </c>
      <c r="C11" s="9">
        <v>60</v>
      </c>
      <c r="D11" s="9" t="s">
        <v>16</v>
      </c>
      <c r="E11" s="29">
        <v>0.17269999999999999</v>
      </c>
      <c r="F11" s="9">
        <v>1243</v>
      </c>
      <c r="G11" s="9">
        <v>1536500000</v>
      </c>
      <c r="H11" s="9">
        <v>940189400</v>
      </c>
      <c r="I11" s="9">
        <v>153650000</v>
      </c>
      <c r="J11" s="9">
        <v>110006424</v>
      </c>
      <c r="K11" s="9">
        <v>3655051</v>
      </c>
      <c r="L11" s="9">
        <v>0</v>
      </c>
      <c r="M11" s="9">
        <v>221975400</v>
      </c>
      <c r="N11" s="9">
        <v>178040400</v>
      </c>
      <c r="O11" s="9">
        <v>43935000</v>
      </c>
      <c r="P11" s="9">
        <v>374335200</v>
      </c>
      <c r="Q11" s="9">
        <v>739</v>
      </c>
      <c r="R11" s="9">
        <v>739</v>
      </c>
      <c r="S11" s="9">
        <v>517</v>
      </c>
      <c r="T11" s="9">
        <v>694400000</v>
      </c>
      <c r="U11" s="9">
        <v>639</v>
      </c>
      <c r="V11" s="9">
        <v>326</v>
      </c>
      <c r="W11" s="9">
        <v>917</v>
      </c>
      <c r="X11" s="10">
        <f t="shared" si="0"/>
        <v>207680415</v>
      </c>
      <c r="Y11" s="10">
        <f t="shared" si="1"/>
        <v>8644250.8000000007</v>
      </c>
      <c r="Z11" s="10">
        <f>Y11+Z10</f>
        <v>13108911.616666667</v>
      </c>
      <c r="AA11" s="10">
        <f t="shared" si="2"/>
        <v>34335143.383333325</v>
      </c>
      <c r="AB11" s="11">
        <f t="shared" si="3"/>
        <v>2.0236485274803857</v>
      </c>
      <c r="AC11" s="7">
        <f t="shared" si="5"/>
        <v>45.612889858233373</v>
      </c>
      <c r="AD11" s="7">
        <f t="shared" si="6"/>
        <v>134.31334622823985</v>
      </c>
      <c r="AE11" s="13">
        <f t="shared" si="9"/>
        <v>0.1158739993491702</v>
      </c>
    </row>
    <row r="12" spans="1:32" s="77" customFormat="1" x14ac:dyDescent="0.2">
      <c r="A12" t="str">
        <f t="shared" si="4"/>
        <v>900.54-0.580.1727</v>
      </c>
      <c r="B12" s="9" t="s">
        <v>13</v>
      </c>
      <c r="C12" s="9">
        <v>90</v>
      </c>
      <c r="D12" s="9" t="s">
        <v>16</v>
      </c>
      <c r="E12" s="29">
        <v>0.17269999999999999</v>
      </c>
      <c r="F12" s="9">
        <v>1243</v>
      </c>
      <c r="G12" s="9">
        <v>2080500000</v>
      </c>
      <c r="H12" s="9">
        <v>1342665816</v>
      </c>
      <c r="I12" s="9">
        <v>208050000</v>
      </c>
      <c r="J12" s="9">
        <v>158349003</v>
      </c>
      <c r="K12" s="9">
        <v>5879618</v>
      </c>
      <c r="L12" s="9">
        <v>0</v>
      </c>
      <c r="M12" s="9">
        <v>281642050</v>
      </c>
      <c r="N12" s="9">
        <v>213342050</v>
      </c>
      <c r="O12" s="9">
        <v>68300000</v>
      </c>
      <c r="P12" s="9">
        <v>456192134</v>
      </c>
      <c r="Q12" s="9">
        <v>1225</v>
      </c>
      <c r="R12" s="9">
        <v>1225</v>
      </c>
      <c r="S12" s="9">
        <v>672</v>
      </c>
      <c r="T12" s="9">
        <v>1238400000</v>
      </c>
      <c r="U12" s="9">
        <v>755</v>
      </c>
      <c r="V12" s="9">
        <v>405</v>
      </c>
      <c r="W12" s="9">
        <v>838</v>
      </c>
      <c r="X12" s="10">
        <f t="shared" si="0"/>
        <v>298495202.60000002</v>
      </c>
      <c r="Y12" s="10">
        <f t="shared" si="1"/>
        <v>16259256.153999999</v>
      </c>
      <c r="Z12" s="10">
        <f t="shared" ref="Z12" si="11">Y12+Z11</f>
        <v>29368167.770666666</v>
      </c>
      <c r="AA12" s="10">
        <f t="shared" si="2"/>
        <v>77119189.829333365</v>
      </c>
      <c r="AB12" s="11">
        <f t="shared" si="3"/>
        <v>4.5452594502449388</v>
      </c>
      <c r="AC12" s="7">
        <f t="shared" si="5"/>
        <v>62.588560143198094</v>
      </c>
      <c r="AD12" s="7">
        <f t="shared" si="6"/>
        <v>184.28571428571431</v>
      </c>
      <c r="AE12" s="13">
        <f t="shared" si="9"/>
        <v>0.10254364335496274</v>
      </c>
    </row>
    <row r="13" spans="1:32" s="77" customFormat="1" x14ac:dyDescent="0.2">
      <c r="A13" t="str">
        <f t="shared" si="4"/>
        <v>1200.54-0.580.1727</v>
      </c>
      <c r="B13" s="9" t="s">
        <v>13</v>
      </c>
      <c r="C13" s="9">
        <v>120</v>
      </c>
      <c r="D13" s="9" t="s">
        <v>16</v>
      </c>
      <c r="E13" s="29">
        <v>0.17269999999999999</v>
      </c>
      <c r="F13" s="9">
        <v>1243</v>
      </c>
      <c r="G13" s="9">
        <v>2685400000</v>
      </c>
      <c r="H13" s="9">
        <v>1779468951</v>
      </c>
      <c r="I13" s="9">
        <v>268540000</v>
      </c>
      <c r="J13" s="9">
        <v>213343758</v>
      </c>
      <c r="K13" s="9">
        <v>8998366</v>
      </c>
      <c r="L13" s="9">
        <v>0</v>
      </c>
      <c r="M13" s="9">
        <v>349154216</v>
      </c>
      <c r="N13" s="9">
        <v>271902650</v>
      </c>
      <c r="O13" s="9">
        <v>77251566</v>
      </c>
      <c r="P13" s="9">
        <v>556776833</v>
      </c>
      <c r="Q13" s="9">
        <v>1710</v>
      </c>
      <c r="R13" s="9">
        <v>1710</v>
      </c>
      <c r="S13" s="9">
        <v>715</v>
      </c>
      <c r="T13" s="9">
        <v>1843300000</v>
      </c>
      <c r="U13" s="9">
        <v>851</v>
      </c>
      <c r="V13" s="9">
        <v>484</v>
      </c>
      <c r="W13" s="9">
        <v>759</v>
      </c>
      <c r="X13" s="10">
        <f t="shared" si="0"/>
        <v>400289019.10000002</v>
      </c>
      <c r="Y13" s="10">
        <f t="shared" si="1"/>
        <v>26206507.158666667</v>
      </c>
      <c r="Z13" s="10">
        <f>Y13+Z12</f>
        <v>55574674.929333329</v>
      </c>
      <c r="AA13" s="10">
        <f t="shared" si="2"/>
        <v>100001959.17066669</v>
      </c>
      <c r="AB13" s="11">
        <f t="shared" si="3"/>
        <v>5.893926673365967</v>
      </c>
      <c r="AC13" s="7">
        <f t="shared" si="5"/>
        <v>83.534703425559954</v>
      </c>
      <c r="AD13" s="7">
        <f t="shared" si="6"/>
        <v>257.80419580419579</v>
      </c>
      <c r="AE13" s="13">
        <f t="shared" si="9"/>
        <v>0.10125219706561406</v>
      </c>
    </row>
    <row r="14" spans="1:32" s="77" customFormat="1" x14ac:dyDescent="0.2">
      <c r="A14" t="str">
        <f t="shared" si="4"/>
        <v>1500.54-0.580.1727</v>
      </c>
      <c r="B14" s="9" t="s">
        <v>13</v>
      </c>
      <c r="C14" s="9">
        <v>150</v>
      </c>
      <c r="D14" s="9" t="s">
        <v>16</v>
      </c>
      <c r="E14" s="29">
        <v>0.17269999999999999</v>
      </c>
      <c r="F14" s="9">
        <v>1243</v>
      </c>
      <c r="G14" s="9">
        <v>3247400000</v>
      </c>
      <c r="H14" s="9">
        <v>2253533604</v>
      </c>
      <c r="I14" s="9">
        <v>324740000</v>
      </c>
      <c r="J14" s="9">
        <v>281838037</v>
      </c>
      <c r="K14" s="9">
        <v>11394079</v>
      </c>
      <c r="L14" s="9">
        <v>0</v>
      </c>
      <c r="M14" s="9">
        <v>420338127</v>
      </c>
      <c r="N14" s="9">
        <v>336388128</v>
      </c>
      <c r="O14" s="9">
        <v>83949999</v>
      </c>
      <c r="P14" s="9">
        <v>573528269</v>
      </c>
      <c r="Q14" s="9">
        <v>2074</v>
      </c>
      <c r="R14" s="9">
        <v>2074</v>
      </c>
      <c r="S14" s="9">
        <v>730</v>
      </c>
      <c r="T14" s="9">
        <v>2405300000</v>
      </c>
      <c r="U14" s="9">
        <v>909</v>
      </c>
      <c r="V14" s="9">
        <v>556</v>
      </c>
      <c r="W14" s="9">
        <v>687</v>
      </c>
      <c r="X14" s="10">
        <f t="shared" si="0"/>
        <v>518585476.39999998</v>
      </c>
      <c r="Y14" s="10">
        <f t="shared" si="1"/>
        <v>33969710.513333336</v>
      </c>
      <c r="Z14" s="10">
        <f>Y14+Z13</f>
        <v>89544385.442666665</v>
      </c>
      <c r="AA14" s="10">
        <f t="shared" si="2"/>
        <v>126291775.75733334</v>
      </c>
      <c r="AB14" s="11">
        <f t="shared" si="3"/>
        <v>7.443398828742545</v>
      </c>
      <c r="AC14" s="7">
        <f t="shared" si="5"/>
        <v>95.702804657933044</v>
      </c>
      <c r="AD14" s="7">
        <f t="shared" si="6"/>
        <v>329.49315068493149</v>
      </c>
      <c r="AE14" s="13">
        <f t="shared" si="9"/>
        <v>0.10358690891174478</v>
      </c>
    </row>
    <row r="15" spans="1:32" s="77" customFormat="1" x14ac:dyDescent="0.2">
      <c r="A15" t="str">
        <f t="shared" si="4"/>
        <v>300.58-0.630.1964</v>
      </c>
      <c r="B15" t="s">
        <v>13</v>
      </c>
      <c r="C15">
        <v>30</v>
      </c>
      <c r="D15" t="s">
        <v>17</v>
      </c>
      <c r="E15" s="18">
        <v>0.19639999999999999</v>
      </c>
      <c r="F15">
        <v>694</v>
      </c>
      <c r="G15">
        <v>558500000</v>
      </c>
      <c r="H15">
        <v>261974200</v>
      </c>
      <c r="I15">
        <v>55850000</v>
      </c>
      <c r="J15">
        <v>30481100</v>
      </c>
      <c r="K15">
        <v>389016</v>
      </c>
      <c r="L15">
        <v>0</v>
      </c>
      <c r="M15">
        <v>109647500</v>
      </c>
      <c r="N15">
        <v>69700000</v>
      </c>
      <c r="O15">
        <v>39947500</v>
      </c>
      <c r="P15">
        <v>186878300</v>
      </c>
      <c r="Q15">
        <v>139</v>
      </c>
      <c r="R15">
        <v>139</v>
      </c>
      <c r="S15">
        <v>115</v>
      </c>
      <c r="T15">
        <v>116500000</v>
      </c>
      <c r="U15">
        <v>225</v>
      </c>
      <c r="V15">
        <v>106</v>
      </c>
      <c r="W15">
        <v>588</v>
      </c>
      <c r="X15" s="1">
        <f t="shared" si="0"/>
        <v>57067536</v>
      </c>
      <c r="Y15" s="2">
        <f t="shared" si="1"/>
        <v>2343866.5999999996</v>
      </c>
      <c r="Z15" s="2">
        <f>Y15</f>
        <v>2343866.5999999996</v>
      </c>
      <c r="AA15" s="1">
        <f t="shared" si="2"/>
        <v>-8006330.6000000015</v>
      </c>
      <c r="AB15" s="7">
        <f t="shared" si="3"/>
        <v>-0.84516479294000924</v>
      </c>
      <c r="AC15" s="7">
        <f t="shared" si="5"/>
        <v>38.575816326530607</v>
      </c>
      <c r="AD15" s="7">
        <f t="shared" si="6"/>
        <v>101.30434782608695</v>
      </c>
      <c r="AE15" s="13">
        <f t="shared" si="9"/>
        <v>0.12479856759176365</v>
      </c>
    </row>
    <row r="16" spans="1:32" s="77" customFormat="1" x14ac:dyDescent="0.2">
      <c r="A16" t="str">
        <f t="shared" si="4"/>
        <v>600.58-0.630.1964</v>
      </c>
      <c r="B16" t="s">
        <v>13</v>
      </c>
      <c r="C16">
        <v>60</v>
      </c>
      <c r="D16" t="s">
        <v>17</v>
      </c>
      <c r="E16" s="18">
        <v>0.19639999999999999</v>
      </c>
      <c r="F16">
        <v>694</v>
      </c>
      <c r="G16">
        <v>784800000</v>
      </c>
      <c r="H16">
        <v>472230200</v>
      </c>
      <c r="I16">
        <v>78480000</v>
      </c>
      <c r="J16">
        <v>54956806</v>
      </c>
      <c r="K16">
        <v>1192091</v>
      </c>
      <c r="L16">
        <v>0</v>
      </c>
      <c r="M16">
        <v>122410000</v>
      </c>
      <c r="N16">
        <v>95485000</v>
      </c>
      <c r="O16">
        <v>26925000</v>
      </c>
      <c r="P16">
        <v>190159800</v>
      </c>
      <c r="Q16">
        <v>369</v>
      </c>
      <c r="R16">
        <v>369</v>
      </c>
      <c r="S16">
        <v>291</v>
      </c>
      <c r="T16">
        <v>342800000</v>
      </c>
      <c r="U16">
        <v>376</v>
      </c>
      <c r="V16">
        <v>168</v>
      </c>
      <c r="W16">
        <v>526</v>
      </c>
      <c r="X16" s="1">
        <f t="shared" si="0"/>
        <v>103371917</v>
      </c>
      <c r="Y16" s="2">
        <f t="shared" si="1"/>
        <v>4486419.1999999993</v>
      </c>
      <c r="Z16" s="2">
        <f>Y16+Z15</f>
        <v>6830285.7999999989</v>
      </c>
      <c r="AA16" s="1">
        <f t="shared" si="2"/>
        <v>10605131.200000003</v>
      </c>
      <c r="AB16" s="7">
        <f t="shared" si="3"/>
        <v>1.1194995513612231</v>
      </c>
      <c r="AC16" s="7">
        <f t="shared" si="5"/>
        <v>41.270874524714827</v>
      </c>
      <c r="AD16" s="7">
        <f t="shared" si="6"/>
        <v>117.80068728522338</v>
      </c>
      <c r="AE16" s="13">
        <f t="shared" si="9"/>
        <v>0.12166794087665647</v>
      </c>
    </row>
    <row r="17" spans="1:31" s="77" customFormat="1" x14ac:dyDescent="0.2">
      <c r="A17" t="str">
        <f t="shared" si="4"/>
        <v>900.58-0.630.1964</v>
      </c>
      <c r="B17" t="s">
        <v>13</v>
      </c>
      <c r="C17">
        <v>90</v>
      </c>
      <c r="D17" t="s">
        <v>17</v>
      </c>
      <c r="E17" s="18">
        <v>0.19639999999999999</v>
      </c>
      <c r="F17">
        <v>694</v>
      </c>
      <c r="G17">
        <v>1043100000</v>
      </c>
      <c r="H17">
        <v>663432900</v>
      </c>
      <c r="I17">
        <v>104310000</v>
      </c>
      <c r="J17">
        <v>78252685</v>
      </c>
      <c r="K17">
        <v>2045165</v>
      </c>
      <c r="L17">
        <v>0</v>
      </c>
      <c r="M17">
        <v>158935000</v>
      </c>
      <c r="N17">
        <v>115585000</v>
      </c>
      <c r="O17">
        <v>43350000</v>
      </c>
      <c r="P17">
        <v>220732100</v>
      </c>
      <c r="Q17">
        <v>612</v>
      </c>
      <c r="R17">
        <v>612</v>
      </c>
      <c r="S17">
        <v>365</v>
      </c>
      <c r="T17">
        <v>601100000</v>
      </c>
      <c r="U17">
        <v>434</v>
      </c>
      <c r="V17">
        <v>217</v>
      </c>
      <c r="W17">
        <v>477</v>
      </c>
      <c r="X17" s="1">
        <f t="shared" si="0"/>
        <v>146641140</v>
      </c>
      <c r="Y17" s="2">
        <f t="shared" si="1"/>
        <v>8186545.0999999996</v>
      </c>
      <c r="Z17" s="2">
        <f t="shared" ref="Z17" si="12">Y17+Z16</f>
        <v>15016830.899999999</v>
      </c>
      <c r="AA17" s="1">
        <f t="shared" si="2"/>
        <v>27597809.099999994</v>
      </c>
      <c r="AB17" s="7">
        <f t="shared" si="3"/>
        <v>2.9132817240396487</v>
      </c>
      <c r="AC17" s="7">
        <f t="shared" si="5"/>
        <v>55.363123689727459</v>
      </c>
      <c r="AD17" s="7">
        <f t="shared" si="6"/>
        <v>164.68493150684932</v>
      </c>
      <c r="AE17" s="13">
        <f t="shared" si="9"/>
        <v>0.11080912664174096</v>
      </c>
    </row>
    <row r="18" spans="1:31" s="77" customFormat="1" x14ac:dyDescent="0.2">
      <c r="A18" t="str">
        <f t="shared" si="4"/>
        <v>1200.58-0.630.1964</v>
      </c>
      <c r="B18" t="s">
        <v>13</v>
      </c>
      <c r="C18">
        <v>120</v>
      </c>
      <c r="D18" t="s">
        <v>17</v>
      </c>
      <c r="E18" s="18">
        <v>0.19639999999999999</v>
      </c>
      <c r="F18">
        <v>694</v>
      </c>
      <c r="G18">
        <v>1355200000</v>
      </c>
      <c r="H18">
        <v>889107933</v>
      </c>
      <c r="I18">
        <v>135520000</v>
      </c>
      <c r="J18">
        <v>106754114</v>
      </c>
      <c r="K18">
        <v>2889645</v>
      </c>
      <c r="L18">
        <v>0</v>
      </c>
      <c r="M18">
        <v>188130833</v>
      </c>
      <c r="N18">
        <v>146960000</v>
      </c>
      <c r="O18">
        <v>41170833</v>
      </c>
      <c r="P18">
        <v>277961234</v>
      </c>
      <c r="Q18">
        <v>866</v>
      </c>
      <c r="R18">
        <v>866</v>
      </c>
      <c r="S18">
        <v>385</v>
      </c>
      <c r="T18">
        <v>913200000</v>
      </c>
      <c r="U18">
        <v>484</v>
      </c>
      <c r="V18">
        <v>262</v>
      </c>
      <c r="W18">
        <v>432</v>
      </c>
      <c r="X18" s="1">
        <f t="shared" si="0"/>
        <v>198554552.30000001</v>
      </c>
      <c r="Y18" s="2">
        <f t="shared" si="1"/>
        <v>13190792.102666665</v>
      </c>
      <c r="Z18" s="2">
        <f>Y18+Z17</f>
        <v>28207623.002666663</v>
      </c>
      <c r="AA18" s="1">
        <f t="shared" si="2"/>
        <v>38082929.29733336</v>
      </c>
      <c r="AB18" s="7">
        <f t="shared" si="3"/>
        <v>4.0201126661107089</v>
      </c>
      <c r="AC18" s="7">
        <f t="shared" si="5"/>
        <v>73.873163657407403</v>
      </c>
      <c r="AD18" s="7">
        <f t="shared" si="6"/>
        <v>237.19480519480518</v>
      </c>
      <c r="AE18" s="13">
        <f t="shared" si="9"/>
        <v>0.10844155844155844</v>
      </c>
    </row>
    <row r="19" spans="1:31" s="77" customFormat="1" x14ac:dyDescent="0.2">
      <c r="A19" t="str">
        <f t="shared" si="4"/>
        <v>1500.58-0.630.1964</v>
      </c>
      <c r="B19" t="s">
        <v>13</v>
      </c>
      <c r="C19">
        <v>150</v>
      </c>
      <c r="D19" t="s">
        <v>17</v>
      </c>
      <c r="E19" s="18">
        <v>0.19639999999999999</v>
      </c>
      <c r="F19">
        <v>694</v>
      </c>
      <c r="G19">
        <v>1671100000</v>
      </c>
      <c r="H19">
        <v>1144723866</v>
      </c>
      <c r="I19">
        <v>167110000</v>
      </c>
      <c r="J19">
        <v>143574967</v>
      </c>
      <c r="K19">
        <v>3858589</v>
      </c>
      <c r="L19">
        <v>0</v>
      </c>
      <c r="M19">
        <v>234122500</v>
      </c>
      <c r="N19">
        <v>180285001</v>
      </c>
      <c r="O19">
        <v>53837499</v>
      </c>
      <c r="P19">
        <v>292253634</v>
      </c>
      <c r="Q19">
        <v>1082</v>
      </c>
      <c r="R19">
        <v>1082</v>
      </c>
      <c r="S19">
        <v>391</v>
      </c>
      <c r="T19">
        <v>1229100000</v>
      </c>
      <c r="U19">
        <v>520</v>
      </c>
      <c r="V19">
        <v>301</v>
      </c>
      <c r="W19">
        <v>393</v>
      </c>
      <c r="X19" s="1">
        <f t="shared" si="0"/>
        <v>261905942.60000002</v>
      </c>
      <c r="Y19" s="2">
        <f t="shared" si="1"/>
        <v>17881375.205000006</v>
      </c>
      <c r="Z19" s="2">
        <f>Y19+Z18</f>
        <v>46088998.207666665</v>
      </c>
      <c r="AA19" s="1">
        <f t="shared" si="2"/>
        <v>53560443.492333353</v>
      </c>
      <c r="AB19" s="7">
        <f t="shared" si="3"/>
        <v>5.6539510289486392</v>
      </c>
      <c r="AC19" s="7">
        <f t="shared" si="5"/>
        <v>88.063901526717558</v>
      </c>
      <c r="AD19" s="7">
        <f t="shared" si="6"/>
        <v>314.34782608695656</v>
      </c>
      <c r="AE19" s="13">
        <f t="shared" si="9"/>
        <v>0.10788402908264018</v>
      </c>
    </row>
    <row r="20" spans="1:31" s="77" customFormat="1" x14ac:dyDescent="0.2">
      <c r="A20" t="str">
        <f t="shared" si="4"/>
        <v>300.63-0.670.2228</v>
      </c>
      <c r="B20" s="3" t="s">
        <v>15</v>
      </c>
      <c r="C20" s="3">
        <v>30</v>
      </c>
      <c r="D20" s="3" t="s">
        <v>18</v>
      </c>
      <c r="E20" s="28">
        <v>0.2228</v>
      </c>
      <c r="F20" s="3">
        <v>128</v>
      </c>
      <c r="G20" s="3">
        <v>84000000</v>
      </c>
      <c r="H20" s="3">
        <v>31700000</v>
      </c>
      <c r="I20" s="3">
        <v>8400000</v>
      </c>
      <c r="J20" s="3">
        <v>3683320</v>
      </c>
      <c r="K20" s="3">
        <v>77776</v>
      </c>
      <c r="L20" s="3">
        <v>0</v>
      </c>
      <c r="M20" s="3">
        <v>25450000</v>
      </c>
      <c r="N20" s="3">
        <v>15550000</v>
      </c>
      <c r="O20" s="3">
        <v>9900000</v>
      </c>
      <c r="P20" s="3">
        <v>26850000</v>
      </c>
      <c r="Q20" s="3">
        <v>12</v>
      </c>
      <c r="R20" s="3">
        <v>12</v>
      </c>
      <c r="S20" s="3">
        <v>10</v>
      </c>
      <c r="T20" s="3">
        <v>8400000</v>
      </c>
      <c r="U20" s="3">
        <v>53</v>
      </c>
      <c r="V20" s="3">
        <v>27</v>
      </c>
      <c r="W20" s="3">
        <v>101</v>
      </c>
      <c r="X20" s="4">
        <f t="shared" si="0"/>
        <v>6931096</v>
      </c>
      <c r="Y20" s="4">
        <f t="shared" si="1"/>
        <v>379750</v>
      </c>
      <c r="Z20" s="4">
        <f>Y20</f>
        <v>379750</v>
      </c>
      <c r="AA20" s="4">
        <f t="shared" si="2"/>
        <v>-7443654</v>
      </c>
      <c r="AB20" s="6">
        <f t="shared" si="3"/>
        <v>-4.2603331043956043</v>
      </c>
      <c r="AC20" s="7">
        <f t="shared" si="5"/>
        <v>36.386138613861384</v>
      </c>
      <c r="AD20" s="7">
        <f t="shared" si="6"/>
        <v>84</v>
      </c>
      <c r="AE20" s="13">
        <f t="shared" si="9"/>
        <v>0.18511904761904763</v>
      </c>
    </row>
    <row r="21" spans="1:31" s="77" customFormat="1" x14ac:dyDescent="0.2">
      <c r="A21" t="str">
        <f t="shared" si="4"/>
        <v>600.63-0.670.2228</v>
      </c>
      <c r="B21" s="3" t="s">
        <v>15</v>
      </c>
      <c r="C21" s="3">
        <v>60</v>
      </c>
      <c r="D21" s="3" t="s">
        <v>18</v>
      </c>
      <c r="E21" s="28">
        <v>0.2228</v>
      </c>
      <c r="F21" s="3">
        <v>128</v>
      </c>
      <c r="G21" s="3">
        <v>124700000</v>
      </c>
      <c r="H21" s="3">
        <v>60449960</v>
      </c>
      <c r="I21" s="3">
        <v>12470000</v>
      </c>
      <c r="J21" s="3">
        <v>7151490</v>
      </c>
      <c r="K21" s="3">
        <v>228282</v>
      </c>
      <c r="L21" s="3">
        <v>0</v>
      </c>
      <c r="M21" s="3">
        <v>32550040</v>
      </c>
      <c r="N21" s="3">
        <v>23750000</v>
      </c>
      <c r="O21" s="3">
        <v>8800040</v>
      </c>
      <c r="P21" s="3">
        <v>31700000</v>
      </c>
      <c r="Q21" s="3">
        <v>47</v>
      </c>
      <c r="R21" s="3">
        <v>47</v>
      </c>
      <c r="S21" s="3">
        <v>39</v>
      </c>
      <c r="T21" s="3">
        <v>49100000</v>
      </c>
      <c r="U21" s="3">
        <v>84</v>
      </c>
      <c r="V21" s="3">
        <v>46</v>
      </c>
      <c r="W21" s="3">
        <v>82</v>
      </c>
      <c r="X21" s="4">
        <f t="shared" si="0"/>
        <v>13424768</v>
      </c>
      <c r="Y21" s="4">
        <f t="shared" si="1"/>
        <v>837000.82666666666</v>
      </c>
      <c r="Z21" s="4">
        <f>Y21+Z20</f>
        <v>1216750.8266666667</v>
      </c>
      <c r="AA21" s="4">
        <f t="shared" si="2"/>
        <v>-9166982.8266666662</v>
      </c>
      <c r="AB21" s="6">
        <f t="shared" si="3"/>
        <v>-5.2466705738705741</v>
      </c>
      <c r="AC21" s="7">
        <f t="shared" si="5"/>
        <v>49.390292682926827</v>
      </c>
      <c r="AD21" s="7">
        <f t="shared" si="6"/>
        <v>125.8974358974359</v>
      </c>
      <c r="AE21" s="13">
        <f t="shared" si="9"/>
        <v>0.19045709703287891</v>
      </c>
    </row>
    <row r="22" spans="1:31" s="77" customFormat="1" x14ac:dyDescent="0.2">
      <c r="A22" t="str">
        <f t="shared" si="4"/>
        <v>900.63-0.670.2228</v>
      </c>
      <c r="B22" s="3" t="s">
        <v>15</v>
      </c>
      <c r="C22" s="3">
        <v>90</v>
      </c>
      <c r="D22" s="3" t="s">
        <v>18</v>
      </c>
      <c r="E22" s="28">
        <v>0.2228</v>
      </c>
      <c r="F22" s="3">
        <v>128</v>
      </c>
      <c r="G22" s="3">
        <v>163300000</v>
      </c>
      <c r="H22" s="3">
        <v>85429167</v>
      </c>
      <c r="I22" s="3">
        <v>16330000</v>
      </c>
      <c r="J22" s="3">
        <v>10866343</v>
      </c>
      <c r="K22" s="3">
        <v>385152</v>
      </c>
      <c r="L22" s="3">
        <v>0</v>
      </c>
      <c r="M22" s="3">
        <v>39475000</v>
      </c>
      <c r="N22" s="3">
        <v>31650000</v>
      </c>
      <c r="O22" s="3">
        <v>7825000</v>
      </c>
      <c r="P22" s="3">
        <v>38395833</v>
      </c>
      <c r="Q22" s="3">
        <v>86</v>
      </c>
      <c r="R22" s="3">
        <v>86</v>
      </c>
      <c r="S22" s="3">
        <v>58</v>
      </c>
      <c r="T22" s="3">
        <v>87700000</v>
      </c>
      <c r="U22" s="3">
        <v>95</v>
      </c>
      <c r="V22" s="3">
        <v>56</v>
      </c>
      <c r="W22" s="3">
        <v>72</v>
      </c>
      <c r="X22" s="4">
        <f t="shared" si="0"/>
        <v>19794411.700000003</v>
      </c>
      <c r="Y22" s="4">
        <f t="shared" si="1"/>
        <v>1432845.8229999999</v>
      </c>
      <c r="Z22" s="4">
        <f>Y22+Z21</f>
        <v>2649596.6496666665</v>
      </c>
      <c r="AA22" s="4">
        <f t="shared" si="2"/>
        <v>-11340184.949666664</v>
      </c>
      <c r="AB22" s="6">
        <f t="shared" si="3"/>
        <v>-6.4904904702762503</v>
      </c>
      <c r="AC22" s="7">
        <f t="shared" si="5"/>
        <v>64.195601388888889</v>
      </c>
      <c r="AD22" s="7">
        <f t="shared" si="6"/>
        <v>151.20689655172413</v>
      </c>
      <c r="AE22" s="13">
        <f t="shared" si="9"/>
        <v>0.19381506429883649</v>
      </c>
    </row>
    <row r="23" spans="1:31" s="77" customFormat="1" x14ac:dyDescent="0.2">
      <c r="A23" t="str">
        <f t="shared" si="4"/>
        <v>1200.63-0.670.2228</v>
      </c>
      <c r="B23" s="3" t="s">
        <v>15</v>
      </c>
      <c r="C23" s="3">
        <v>120</v>
      </c>
      <c r="D23" s="3" t="s">
        <v>18</v>
      </c>
      <c r="E23" s="28">
        <v>0.2228</v>
      </c>
      <c r="F23" s="3">
        <v>128</v>
      </c>
      <c r="G23" s="3">
        <v>193600000</v>
      </c>
      <c r="H23" s="3">
        <v>113608334</v>
      </c>
      <c r="I23" s="3">
        <v>19360000</v>
      </c>
      <c r="J23" s="3">
        <v>15085386</v>
      </c>
      <c r="K23" s="3">
        <v>515832</v>
      </c>
      <c r="L23" s="3">
        <v>0</v>
      </c>
      <c r="M23" s="3">
        <v>48825000</v>
      </c>
      <c r="N23" s="3">
        <v>38975000</v>
      </c>
      <c r="O23" s="3">
        <v>9850000</v>
      </c>
      <c r="P23" s="3">
        <v>31166666</v>
      </c>
      <c r="Q23" s="3">
        <v>112</v>
      </c>
      <c r="R23" s="3">
        <v>112</v>
      </c>
      <c r="S23" s="3">
        <v>61</v>
      </c>
      <c r="T23" s="3">
        <v>118000000</v>
      </c>
      <c r="U23" s="3">
        <v>103</v>
      </c>
      <c r="V23" s="3">
        <v>65</v>
      </c>
      <c r="W23" s="3">
        <v>63</v>
      </c>
      <c r="X23" s="4">
        <f t="shared" si="0"/>
        <v>26962051.399999999</v>
      </c>
      <c r="Y23" s="4">
        <f t="shared" si="1"/>
        <v>1695355.5279999999</v>
      </c>
      <c r="Z23" s="4">
        <f>Y23+Z22</f>
        <v>4344952.177666666</v>
      </c>
      <c r="AA23" s="4">
        <f t="shared" si="2"/>
        <v>-12460400.777666666</v>
      </c>
      <c r="AB23" s="6">
        <f t="shared" si="3"/>
        <v>-7.1316396392322945</v>
      </c>
      <c r="AC23" s="7">
        <f t="shared" si="5"/>
        <v>65.10581904761905</v>
      </c>
      <c r="AD23" s="7">
        <f t="shared" si="6"/>
        <v>193.44262295081967</v>
      </c>
      <c r="AE23" s="13">
        <f t="shared" si="9"/>
        <v>0.20131714876033058</v>
      </c>
    </row>
    <row r="24" spans="1:31" s="77" customFormat="1" x14ac:dyDescent="0.2">
      <c r="A24" t="str">
        <f t="shared" si="4"/>
        <v>300.63-0.670.3198</v>
      </c>
      <c r="B24" s="9" t="s">
        <v>13</v>
      </c>
      <c r="C24" s="9">
        <v>30</v>
      </c>
      <c r="D24" s="9" t="s">
        <v>18</v>
      </c>
      <c r="E24" s="29">
        <v>0.31979999999999997</v>
      </c>
      <c r="F24" s="9">
        <v>144</v>
      </c>
      <c r="G24" s="9">
        <v>100900000</v>
      </c>
      <c r="H24" s="9">
        <v>37500000</v>
      </c>
      <c r="I24" s="9">
        <v>10090000</v>
      </c>
      <c r="J24" s="9">
        <v>4582680</v>
      </c>
      <c r="K24" s="9">
        <v>122796</v>
      </c>
      <c r="L24" s="9">
        <v>0</v>
      </c>
      <c r="M24" s="9">
        <v>34770000</v>
      </c>
      <c r="N24" s="9">
        <v>27650000</v>
      </c>
      <c r="O24" s="9">
        <v>7120000</v>
      </c>
      <c r="P24" s="9">
        <v>28630000</v>
      </c>
      <c r="Q24" s="9">
        <v>16</v>
      </c>
      <c r="R24" s="9">
        <v>16</v>
      </c>
      <c r="S24" s="9">
        <v>13</v>
      </c>
      <c r="T24" s="9">
        <v>11200000</v>
      </c>
      <c r="U24" s="9">
        <v>71</v>
      </c>
      <c r="V24" s="9">
        <v>49</v>
      </c>
      <c r="W24" s="9">
        <v>95</v>
      </c>
      <c r="X24" s="10">
        <f t="shared" si="0"/>
        <v>8455476</v>
      </c>
      <c r="Y24" s="10">
        <f t="shared" si="1"/>
        <v>369416.66666666663</v>
      </c>
      <c r="Z24" s="10">
        <f>Y24</f>
        <v>369416.66666666663</v>
      </c>
      <c r="AA24" s="10">
        <f t="shared" si="2"/>
        <v>-16798940.666666668</v>
      </c>
      <c r="AB24" s="11">
        <f t="shared" si="3"/>
        <v>-8.5464696106362776</v>
      </c>
      <c r="AC24" s="7">
        <f t="shared" si="5"/>
        <v>37.631578947368425</v>
      </c>
      <c r="AD24" s="7">
        <f t="shared" si="6"/>
        <v>86.153846153846146</v>
      </c>
      <c r="AE24" s="13">
        <f t="shared" si="9"/>
        <v>0.27403369672943506</v>
      </c>
    </row>
    <row r="25" spans="1:31" s="77" customFormat="1" x14ac:dyDescent="0.2">
      <c r="A25" t="str">
        <f t="shared" si="4"/>
        <v>600.63-0.670.3198</v>
      </c>
      <c r="B25" s="9" t="s">
        <v>13</v>
      </c>
      <c r="C25" s="9">
        <v>60</v>
      </c>
      <c r="D25" s="9" t="s">
        <v>18</v>
      </c>
      <c r="E25" s="29">
        <v>0.31979999999999997</v>
      </c>
      <c r="F25" s="9">
        <v>144</v>
      </c>
      <c r="G25" s="9">
        <v>148200000</v>
      </c>
      <c r="H25" s="9">
        <v>70498333</v>
      </c>
      <c r="I25" s="9">
        <v>14820000</v>
      </c>
      <c r="J25" s="9">
        <v>8717307</v>
      </c>
      <c r="K25" s="9">
        <v>290362</v>
      </c>
      <c r="L25" s="9">
        <v>0</v>
      </c>
      <c r="M25" s="9">
        <v>37535000</v>
      </c>
      <c r="N25" s="9">
        <v>34985000</v>
      </c>
      <c r="O25" s="9">
        <v>2550000</v>
      </c>
      <c r="P25" s="9">
        <v>40166667</v>
      </c>
      <c r="Q25" s="9">
        <v>57</v>
      </c>
      <c r="R25" s="9">
        <v>57</v>
      </c>
      <c r="S25" s="9">
        <v>48</v>
      </c>
      <c r="T25" s="9">
        <v>58500000</v>
      </c>
      <c r="U25" s="9">
        <v>100</v>
      </c>
      <c r="V25" s="9">
        <v>69</v>
      </c>
      <c r="W25" s="9">
        <v>75</v>
      </c>
      <c r="X25" s="10">
        <f t="shared" si="0"/>
        <v>16057502.300000001</v>
      </c>
      <c r="Y25" s="10">
        <f t="shared" si="1"/>
        <v>882811.1179999999</v>
      </c>
      <c r="Z25" s="10">
        <f>Y25+Z24</f>
        <v>1252227.7846666665</v>
      </c>
      <c r="AA25" s="10">
        <f t="shared" si="2"/>
        <v>-16681225.484666666</v>
      </c>
      <c r="AB25" s="11">
        <f t="shared" si="3"/>
        <v>-8.4865819519061194</v>
      </c>
      <c r="AC25" s="7">
        <f t="shared" si="5"/>
        <v>56.955556000000009</v>
      </c>
      <c r="AD25" s="7">
        <f t="shared" si="6"/>
        <v>121.875</v>
      </c>
      <c r="AE25" s="13">
        <f t="shared" si="9"/>
        <v>0.23606612685560055</v>
      </c>
    </row>
    <row r="26" spans="1:31" s="77" customFormat="1" x14ac:dyDescent="0.2">
      <c r="A26" t="str">
        <f t="shared" si="4"/>
        <v>900.63-0.670.3198</v>
      </c>
      <c r="B26" s="9" t="s">
        <v>13</v>
      </c>
      <c r="C26" s="9">
        <v>90</v>
      </c>
      <c r="D26" s="9" t="s">
        <v>18</v>
      </c>
      <c r="E26" s="29">
        <v>0.31979999999999997</v>
      </c>
      <c r="F26" s="9">
        <v>144</v>
      </c>
      <c r="G26" s="9">
        <v>185100000</v>
      </c>
      <c r="H26" s="9">
        <v>102739999</v>
      </c>
      <c r="I26" s="9">
        <v>18510000</v>
      </c>
      <c r="J26" s="9">
        <v>12852041</v>
      </c>
      <c r="K26" s="9">
        <v>451012</v>
      </c>
      <c r="L26" s="9">
        <v>0</v>
      </c>
      <c r="M26" s="9">
        <v>46260000</v>
      </c>
      <c r="N26" s="9">
        <v>37235000</v>
      </c>
      <c r="O26" s="9">
        <v>9025000</v>
      </c>
      <c r="P26" s="9">
        <v>36100001</v>
      </c>
      <c r="Q26" s="9">
        <v>89</v>
      </c>
      <c r="R26" s="9">
        <v>89</v>
      </c>
      <c r="S26" s="9">
        <v>53</v>
      </c>
      <c r="T26" s="9">
        <v>95400000</v>
      </c>
      <c r="U26" s="9">
        <v>112</v>
      </c>
      <c r="V26" s="9">
        <v>74</v>
      </c>
      <c r="W26" s="9">
        <v>70</v>
      </c>
      <c r="X26" s="10">
        <f t="shared" si="0"/>
        <v>23577052.899999999</v>
      </c>
      <c r="Y26" s="10">
        <f t="shared" si="1"/>
        <v>1398875.031</v>
      </c>
      <c r="Z26" s="10">
        <f>Y26+Z25</f>
        <v>2651102.8156666663</v>
      </c>
      <c r="AA26" s="10">
        <f t="shared" si="2"/>
        <v>-12585549.91566667</v>
      </c>
      <c r="AB26" s="11">
        <f t="shared" si="3"/>
        <v>-6.4029049225003405</v>
      </c>
      <c r="AC26" s="7">
        <f t="shared" si="5"/>
        <v>64.464287142857145</v>
      </c>
      <c r="AD26" s="7">
        <f t="shared" si="6"/>
        <v>180</v>
      </c>
      <c r="AE26" s="13">
        <f t="shared" si="9"/>
        <v>0.20116153430578065</v>
      </c>
    </row>
    <row r="27" spans="1:31" s="77" customFormat="1" x14ac:dyDescent="0.2">
      <c r="A27" t="str">
        <f t="shared" si="4"/>
        <v>1200.63-0.670.3198</v>
      </c>
      <c r="B27" s="9" t="s">
        <v>13</v>
      </c>
      <c r="C27" s="9">
        <v>120</v>
      </c>
      <c r="D27" s="9" t="s">
        <v>18</v>
      </c>
      <c r="E27" s="29">
        <v>0.31979999999999997</v>
      </c>
      <c r="F27" s="9">
        <v>144</v>
      </c>
      <c r="G27" s="9">
        <v>234700000</v>
      </c>
      <c r="H27" s="9">
        <v>139222965</v>
      </c>
      <c r="I27" s="9">
        <v>23470000</v>
      </c>
      <c r="J27" s="9">
        <v>17462375</v>
      </c>
      <c r="K27" s="9">
        <v>638932</v>
      </c>
      <c r="L27" s="9">
        <v>0</v>
      </c>
      <c r="M27" s="9">
        <v>49910000</v>
      </c>
      <c r="N27" s="9">
        <v>44185000</v>
      </c>
      <c r="O27" s="9">
        <v>5725000</v>
      </c>
      <c r="P27" s="9">
        <v>45567035</v>
      </c>
      <c r="Q27" s="9">
        <v>124</v>
      </c>
      <c r="R27" s="9">
        <v>124</v>
      </c>
      <c r="S27" s="9">
        <v>53</v>
      </c>
      <c r="T27" s="9">
        <v>145000000</v>
      </c>
      <c r="U27" s="9">
        <v>122</v>
      </c>
      <c r="V27" s="9">
        <v>82</v>
      </c>
      <c r="W27" s="9">
        <v>62</v>
      </c>
      <c r="X27" s="10">
        <f t="shared" si="0"/>
        <v>32023603.5</v>
      </c>
      <c r="Y27" s="10">
        <f t="shared" si="1"/>
        <v>2120070.7799999998</v>
      </c>
      <c r="Z27" s="10">
        <f>Y27+Z26</f>
        <v>4771173.5956666656</v>
      </c>
      <c r="AA27" s="10">
        <f t="shared" si="2"/>
        <v>-12514070.095666666</v>
      </c>
      <c r="AB27" s="11">
        <f t="shared" si="3"/>
        <v>-6.3665395277099446</v>
      </c>
      <c r="AC27" s="7">
        <f t="shared" si="5"/>
        <v>82.729088709677413</v>
      </c>
      <c r="AD27" s="7">
        <f t="shared" si="6"/>
        <v>273.58490566037733</v>
      </c>
      <c r="AE27" s="13">
        <f t="shared" si="9"/>
        <v>0.18826161056668086</v>
      </c>
    </row>
    <row r="28" spans="1:31" s="77" customFormat="1" x14ac:dyDescent="0.2">
      <c r="A28" t="str">
        <f t="shared" si="4"/>
        <v>1500.63-0.670.3198</v>
      </c>
      <c r="B28" s="9" t="s">
        <v>13</v>
      </c>
      <c r="C28" s="9">
        <v>150</v>
      </c>
      <c r="D28" s="9" t="s">
        <v>18</v>
      </c>
      <c r="E28" s="29">
        <v>0.31979999999999997</v>
      </c>
      <c r="F28" s="9">
        <v>144</v>
      </c>
      <c r="G28" s="9">
        <v>294100000</v>
      </c>
      <c r="H28" s="9">
        <v>186873333</v>
      </c>
      <c r="I28" s="9">
        <v>29410000</v>
      </c>
      <c r="J28" s="9">
        <v>23453007</v>
      </c>
      <c r="K28" s="9">
        <v>1281856</v>
      </c>
      <c r="L28" s="9">
        <v>0</v>
      </c>
      <c r="M28" s="9">
        <v>50360000</v>
      </c>
      <c r="N28" s="9">
        <v>47560000</v>
      </c>
      <c r="O28" s="9">
        <v>2800000</v>
      </c>
      <c r="P28" s="9">
        <v>56866667</v>
      </c>
      <c r="Q28" s="9">
        <v>160</v>
      </c>
      <c r="R28" s="9">
        <v>160</v>
      </c>
      <c r="S28" s="9">
        <v>54</v>
      </c>
      <c r="T28" s="9">
        <v>204400000</v>
      </c>
      <c r="U28" s="9">
        <v>123</v>
      </c>
      <c r="V28" s="9">
        <v>87</v>
      </c>
      <c r="W28" s="9">
        <v>57</v>
      </c>
      <c r="X28" s="10">
        <f t="shared" si="0"/>
        <v>43422196.299999997</v>
      </c>
      <c r="Y28" s="10">
        <f t="shared" si="1"/>
        <v>3082777.7950000004</v>
      </c>
      <c r="Z28" s="10">
        <f>Y28+Z27</f>
        <v>7853951.3906666655</v>
      </c>
      <c r="AA28" s="10">
        <f t="shared" si="2"/>
        <v>-7235755.0906666666</v>
      </c>
      <c r="AB28" s="11">
        <f t="shared" si="3"/>
        <v>-3.6811940835707508</v>
      </c>
      <c r="AC28" s="7">
        <f t="shared" si="5"/>
        <v>104.67836315789474</v>
      </c>
      <c r="AD28" s="7">
        <f t="shared" si="6"/>
        <v>378.51851851851853</v>
      </c>
      <c r="AE28" s="13">
        <f t="shared" si="9"/>
        <v>0.16171370282216932</v>
      </c>
    </row>
    <row r="29" spans="1:31" s="77" customFormat="1" hidden="1" x14ac:dyDescent="0.2">
      <c r="A29" s="3"/>
      <c r="B29" s="3" t="s">
        <v>15</v>
      </c>
      <c r="C29" s="3">
        <v>30</v>
      </c>
      <c r="D29" s="3" t="s">
        <v>14</v>
      </c>
      <c r="E29" s="3"/>
      <c r="F29" s="3">
        <v>64810</v>
      </c>
      <c r="G29" s="3">
        <v>131187300000</v>
      </c>
      <c r="H29" s="3">
        <v>49620988698</v>
      </c>
      <c r="I29" s="3">
        <v>13099920000</v>
      </c>
      <c r="J29" s="3">
        <v>8056951773</v>
      </c>
      <c r="K29" s="3">
        <v>58709276</v>
      </c>
      <c r="L29" s="3">
        <v>0</v>
      </c>
      <c r="M29" s="3">
        <v>16491085491</v>
      </c>
      <c r="N29" s="3">
        <v>7739846885</v>
      </c>
      <c r="O29" s="3">
        <v>8751238606</v>
      </c>
      <c r="P29" s="3">
        <v>65075225811</v>
      </c>
      <c r="Q29" s="3">
        <v>17522</v>
      </c>
      <c r="R29" s="3">
        <v>17522</v>
      </c>
      <c r="S29" s="3">
        <v>13772</v>
      </c>
      <c r="T29" s="3">
        <v>26923700000</v>
      </c>
      <c r="U29" s="3">
        <v>14594</v>
      </c>
      <c r="V29" s="3">
        <v>5403</v>
      </c>
      <c r="W29" s="3">
        <v>59407</v>
      </c>
      <c r="X29" s="4">
        <f t="shared" si="0"/>
        <v>13070645123.408913</v>
      </c>
      <c r="Y29" s="4">
        <f t="shared" si="1"/>
        <v>762873465.64233327</v>
      </c>
      <c r="Z29" s="4">
        <f>Y29</f>
        <v>762873465.64233327</v>
      </c>
      <c r="AA29" s="4">
        <f t="shared" si="2"/>
        <v>5341909461.2665787</v>
      </c>
      <c r="AB29" s="6">
        <f t="shared" si="3"/>
        <v>6.0383996062500849</v>
      </c>
      <c r="AC29" s="7">
        <f t="shared" si="5"/>
        <v>124.27233224535829</v>
      </c>
      <c r="AD29" s="7">
        <f t="shared" si="6"/>
        <v>195.49593377868138</v>
      </c>
      <c r="AE29" s="13"/>
    </row>
    <row r="30" spans="1:31" s="77" customFormat="1" hidden="1" x14ac:dyDescent="0.2">
      <c r="A30" s="3"/>
      <c r="B30" s="3" t="s">
        <v>15</v>
      </c>
      <c r="C30" s="3">
        <v>60</v>
      </c>
      <c r="D30" s="3" t="s">
        <v>14</v>
      </c>
      <c r="E30" s="3"/>
      <c r="F30" s="3">
        <v>64810</v>
      </c>
      <c r="G30" s="3">
        <v>190118600000</v>
      </c>
      <c r="H30" s="3">
        <v>103137175802</v>
      </c>
      <c r="I30" s="3">
        <v>18990830000</v>
      </c>
      <c r="J30" s="3">
        <v>17037655397</v>
      </c>
      <c r="K30" s="3">
        <v>257023429</v>
      </c>
      <c r="L30" s="3">
        <v>0</v>
      </c>
      <c r="M30" s="3">
        <v>24183975976</v>
      </c>
      <c r="N30" s="3">
        <v>15170949938</v>
      </c>
      <c r="O30" s="3">
        <v>9013026038</v>
      </c>
      <c r="P30" s="3">
        <v>62797448222</v>
      </c>
      <c r="Q30" s="3">
        <v>54415</v>
      </c>
      <c r="R30" s="3">
        <v>54415</v>
      </c>
      <c r="S30" s="3">
        <v>35108</v>
      </c>
      <c r="T30" s="3">
        <v>85855000000</v>
      </c>
      <c r="U30" s="3">
        <v>29168</v>
      </c>
      <c r="V30" s="3">
        <v>12561</v>
      </c>
      <c r="W30" s="3">
        <v>52249</v>
      </c>
      <c r="X30" s="4">
        <f t="shared" si="0"/>
        <v>27596987870.648422</v>
      </c>
      <c r="Y30" s="4">
        <f t="shared" si="1"/>
        <v>1484083134.7066667</v>
      </c>
      <c r="Z30" s="4">
        <f>Y30+Z29</f>
        <v>2246956600.349</v>
      </c>
      <c r="AA30" s="4">
        <f t="shared" si="2"/>
        <v>11696176326.099422</v>
      </c>
      <c r="AB30" s="6">
        <f t="shared" si="3"/>
        <v>13.221150046486317</v>
      </c>
      <c r="AC30" s="7">
        <f t="shared" si="5"/>
        <v>137.43894478363222</v>
      </c>
      <c r="AD30" s="7">
        <f t="shared" si="6"/>
        <v>244.54540275720632</v>
      </c>
      <c r="AE30" s="13"/>
    </row>
    <row r="31" spans="1:31" s="77" customFormat="1" hidden="1" x14ac:dyDescent="0.2">
      <c r="A31" s="3"/>
      <c r="B31" s="3" t="s">
        <v>15</v>
      </c>
      <c r="C31" s="3">
        <v>90</v>
      </c>
      <c r="D31" s="3" t="s">
        <v>14</v>
      </c>
      <c r="E31" s="3"/>
      <c r="F31" s="3">
        <v>64810</v>
      </c>
      <c r="G31" s="3">
        <v>249761200000</v>
      </c>
      <c r="H31" s="3">
        <v>151786866894</v>
      </c>
      <c r="I31" s="3">
        <v>24949500000</v>
      </c>
      <c r="J31" s="3">
        <v>26111985282</v>
      </c>
      <c r="K31" s="3">
        <v>474155364</v>
      </c>
      <c r="L31" s="3">
        <v>0</v>
      </c>
      <c r="M31" s="3">
        <v>31886261877</v>
      </c>
      <c r="N31" s="3">
        <v>21673785835</v>
      </c>
      <c r="O31" s="3">
        <v>10212476042</v>
      </c>
      <c r="P31" s="3">
        <v>66088071229</v>
      </c>
      <c r="Q31" s="3">
        <v>88622</v>
      </c>
      <c r="R31" s="3">
        <v>88622</v>
      </c>
      <c r="S31" s="3">
        <v>41808</v>
      </c>
      <c r="T31" s="3">
        <v>145497600000</v>
      </c>
      <c r="U31" s="3">
        <v>36938</v>
      </c>
      <c r="V31" s="3">
        <v>17637</v>
      </c>
      <c r="W31" s="3">
        <v>47173</v>
      </c>
      <c r="X31" s="4">
        <f t="shared" si="0"/>
        <v>41748649616.856377</v>
      </c>
      <c r="Y31" s="4">
        <f t="shared" si="1"/>
        <v>2365316965.401</v>
      </c>
      <c r="Z31" s="4">
        <f t="shared" ref="Z31" si="13">Y31+Z30</f>
        <v>4612273565.75</v>
      </c>
      <c r="AA31" s="4">
        <f t="shared" si="2"/>
        <v>17629968799.606377</v>
      </c>
      <c r="AB31" s="6">
        <f t="shared" si="3"/>
        <v>19.928603700539561</v>
      </c>
      <c r="AC31" s="7">
        <f t="shared" si="5"/>
        <v>161.74622616963094</v>
      </c>
      <c r="AD31" s="7">
        <f t="shared" si="6"/>
        <v>348.0137772675086</v>
      </c>
      <c r="AE31" s="3"/>
    </row>
    <row r="32" spans="1:31" s="77" customFormat="1" hidden="1" x14ac:dyDescent="0.2">
      <c r="A32" s="3"/>
      <c r="B32" s="3" t="s">
        <v>15</v>
      </c>
      <c r="C32" s="3">
        <v>120</v>
      </c>
      <c r="D32" s="3" t="s">
        <v>14</v>
      </c>
      <c r="E32" s="3"/>
      <c r="F32" s="3">
        <v>64810</v>
      </c>
      <c r="G32" s="3">
        <v>307195800000</v>
      </c>
      <c r="H32" s="3">
        <v>201973978822</v>
      </c>
      <c r="I32" s="3">
        <v>30686770000</v>
      </c>
      <c r="J32" s="3">
        <v>35841880523</v>
      </c>
      <c r="K32" s="3">
        <v>724327616</v>
      </c>
      <c r="L32" s="3">
        <v>0</v>
      </c>
      <c r="M32" s="3">
        <v>38221809102</v>
      </c>
      <c r="N32" s="3">
        <v>28863614633</v>
      </c>
      <c r="O32" s="3">
        <v>9358194469</v>
      </c>
      <c r="P32" s="3">
        <v>67000012076</v>
      </c>
      <c r="Q32" s="3">
        <v>117142</v>
      </c>
      <c r="R32" s="3">
        <v>117142</v>
      </c>
      <c r="S32" s="3">
        <v>43325</v>
      </c>
      <c r="T32" s="3">
        <v>202932200000</v>
      </c>
      <c r="U32" s="3">
        <v>42230</v>
      </c>
      <c r="V32" s="3">
        <v>22487</v>
      </c>
      <c r="W32" s="3">
        <v>42323</v>
      </c>
      <c r="X32" s="4">
        <f t="shared" si="0"/>
        <v>56742034221.568787</v>
      </c>
      <c r="Y32" s="4">
        <f t="shared" si="1"/>
        <v>3156139203.8600001</v>
      </c>
      <c r="Z32" s="4">
        <f>Y32+Z31</f>
        <v>7768412769.6100006</v>
      </c>
      <c r="AA32" s="4">
        <f t="shared" si="2"/>
        <v>22996368282.258785</v>
      </c>
      <c r="AB32" s="6">
        <f t="shared" si="3"/>
        <v>25.99468639212936</v>
      </c>
      <c r="AC32" s="7">
        <f t="shared" si="5"/>
        <v>180.417755227654</v>
      </c>
      <c r="AD32" s="7">
        <f t="shared" si="6"/>
        <v>468.39515291402193</v>
      </c>
      <c r="AE32" s="3"/>
    </row>
    <row r="33" spans="1:31" s="77" customFormat="1" hidden="1" x14ac:dyDescent="0.2">
      <c r="A33"/>
      <c r="B33" t="s">
        <v>13</v>
      </c>
      <c r="C33">
        <v>30</v>
      </c>
      <c r="D33" t="s">
        <v>14</v>
      </c>
      <c r="E33"/>
      <c r="F33">
        <v>70454</v>
      </c>
      <c r="G33">
        <v>160489500000</v>
      </c>
      <c r="H33">
        <v>61030892514</v>
      </c>
      <c r="I33">
        <v>15721630000</v>
      </c>
      <c r="J33">
        <v>10496701801</v>
      </c>
      <c r="K33">
        <v>64365814</v>
      </c>
      <c r="L33">
        <v>0</v>
      </c>
      <c r="M33">
        <v>18306731931</v>
      </c>
      <c r="N33">
        <v>8827926119</v>
      </c>
      <c r="O33">
        <v>9478805812</v>
      </c>
      <c r="P33">
        <v>81151875555</v>
      </c>
      <c r="Q33">
        <v>19883</v>
      </c>
      <c r="R33">
        <v>19883</v>
      </c>
      <c r="S33">
        <v>15817</v>
      </c>
      <c r="T33">
        <v>33960400000</v>
      </c>
      <c r="U33">
        <v>14891</v>
      </c>
      <c r="V33">
        <v>5629</v>
      </c>
      <c r="W33">
        <v>64825</v>
      </c>
      <c r="X33" s="1">
        <f t="shared" si="0"/>
        <v>16539683728.047134</v>
      </c>
      <c r="Y33" s="2">
        <f t="shared" si="1"/>
        <v>936517040.79233325</v>
      </c>
      <c r="Z33" s="2">
        <f>Y33</f>
        <v>936517040.79233325</v>
      </c>
      <c r="AA33" s="1">
        <f t="shared" si="2"/>
        <v>7658033180.1548004</v>
      </c>
      <c r="AB33" s="7">
        <f t="shared" si="3"/>
        <v>7.9630407330486914</v>
      </c>
      <c r="AC33" s="7">
        <f t="shared" si="5"/>
        <v>139.80822424527574</v>
      </c>
      <c r="AD33" s="7">
        <f t="shared" si="6"/>
        <v>214.70822532717963</v>
      </c>
      <c r="AE33"/>
    </row>
    <row r="34" spans="1:31" s="77" customFormat="1" hidden="1" x14ac:dyDescent="0.2">
      <c r="A34"/>
      <c r="B34" t="s">
        <v>13</v>
      </c>
      <c r="C34">
        <v>60</v>
      </c>
      <c r="D34" t="s">
        <v>14</v>
      </c>
      <c r="E34"/>
      <c r="F34">
        <v>70454</v>
      </c>
      <c r="G34">
        <v>225069200000</v>
      </c>
      <c r="H34">
        <v>122516706077</v>
      </c>
      <c r="I34">
        <v>22130820000</v>
      </c>
      <c r="J34">
        <v>21484129562</v>
      </c>
      <c r="K34">
        <v>247957555</v>
      </c>
      <c r="L34">
        <v>0</v>
      </c>
      <c r="M34">
        <v>27157419862</v>
      </c>
      <c r="N34">
        <v>16718682012</v>
      </c>
      <c r="O34">
        <v>10438737850</v>
      </c>
      <c r="P34">
        <v>75395074061</v>
      </c>
      <c r="Q34">
        <v>55903</v>
      </c>
      <c r="R34">
        <v>55903</v>
      </c>
      <c r="S34">
        <v>37742</v>
      </c>
      <c r="T34">
        <v>98540100000</v>
      </c>
      <c r="U34">
        <v>28836</v>
      </c>
      <c r="V34">
        <v>12002</v>
      </c>
      <c r="W34">
        <v>58452</v>
      </c>
      <c r="X34" s="1">
        <f t="shared" si="0"/>
        <v>33779027210.015808</v>
      </c>
      <c r="Y34" s="2">
        <f t="shared" si="1"/>
        <v>1773898779.494</v>
      </c>
      <c r="Z34" s="2">
        <f>Y34+Z33</f>
        <v>2710415820.2863331</v>
      </c>
      <c r="AA34" s="1">
        <f t="shared" si="2"/>
        <v>16021797578.929476</v>
      </c>
      <c r="AB34" s="7">
        <f t="shared" si="3"/>
        <v>16.659920861703206</v>
      </c>
      <c r="AC34" s="7">
        <f t="shared" si="5"/>
        <v>146.84495297166904</v>
      </c>
      <c r="AD34" s="7">
        <f t="shared" si="6"/>
        <v>261.0887075406709</v>
      </c>
      <c r="AE34"/>
    </row>
    <row r="35" spans="1:31" s="77" customFormat="1" hidden="1" x14ac:dyDescent="0.2">
      <c r="A35"/>
      <c r="B35" t="s">
        <v>13</v>
      </c>
      <c r="C35">
        <v>90</v>
      </c>
      <c r="D35" t="s">
        <v>14</v>
      </c>
      <c r="E35"/>
      <c r="F35">
        <v>70454</v>
      </c>
      <c r="G35">
        <v>293595200000</v>
      </c>
      <c r="H35">
        <v>180790664224</v>
      </c>
      <c r="I35">
        <v>28919050000</v>
      </c>
      <c r="J35">
        <v>32867449932</v>
      </c>
      <c r="K35">
        <v>482670215</v>
      </c>
      <c r="L35">
        <v>0</v>
      </c>
      <c r="M35">
        <v>35450698391</v>
      </c>
      <c r="N35">
        <v>23649681338</v>
      </c>
      <c r="O35">
        <v>11801017053</v>
      </c>
      <c r="P35">
        <v>77353837385</v>
      </c>
      <c r="Q35">
        <v>91560</v>
      </c>
      <c r="R35">
        <v>91560</v>
      </c>
      <c r="S35">
        <v>45733</v>
      </c>
      <c r="T35">
        <v>167066100000</v>
      </c>
      <c r="U35">
        <v>37094</v>
      </c>
      <c r="V35">
        <v>16801</v>
      </c>
      <c r="W35">
        <v>53653</v>
      </c>
      <c r="X35" s="1">
        <f t="shared" si="0"/>
        <v>51157953034.687088</v>
      </c>
      <c r="Y35" s="2">
        <f t="shared" si="1"/>
        <v>2763800487.5779996</v>
      </c>
      <c r="Z35" s="2">
        <f t="shared" ref="Z35" si="14">Y35+Z34</f>
        <v>5474216307.8643322</v>
      </c>
      <c r="AA35" s="1">
        <f t="shared" si="2"/>
        <v>24399023522.622753</v>
      </c>
      <c r="AB35" s="7">
        <f t="shared" si="3"/>
        <v>25.370798687676974</v>
      </c>
      <c r="AC35" s="7">
        <f t="shared" si="5"/>
        <v>166.16937438353867</v>
      </c>
      <c r="AD35" s="7">
        <f t="shared" si="6"/>
        <v>365.30754597336716</v>
      </c>
      <c r="AE35"/>
    </row>
    <row r="36" spans="1:31" s="77" customFormat="1" hidden="1" x14ac:dyDescent="0.2">
      <c r="A36"/>
      <c r="B36" t="s">
        <v>13</v>
      </c>
      <c r="C36">
        <v>120</v>
      </c>
      <c r="D36" t="s">
        <v>14</v>
      </c>
      <c r="E36"/>
      <c r="F36">
        <v>70454</v>
      </c>
      <c r="G36">
        <v>365708600000</v>
      </c>
      <c r="H36">
        <v>241976109497</v>
      </c>
      <c r="I36">
        <v>36002310000</v>
      </c>
      <c r="J36">
        <v>44927268612</v>
      </c>
      <c r="K36">
        <v>722662607</v>
      </c>
      <c r="L36">
        <v>0</v>
      </c>
      <c r="M36">
        <v>41944490099</v>
      </c>
      <c r="N36">
        <v>31085543688</v>
      </c>
      <c r="O36">
        <v>10858946411</v>
      </c>
      <c r="P36">
        <v>81788000404</v>
      </c>
      <c r="Q36">
        <v>126140</v>
      </c>
      <c r="R36">
        <v>126140</v>
      </c>
      <c r="S36">
        <v>48203</v>
      </c>
      <c r="T36">
        <v>239179500000</v>
      </c>
      <c r="U36">
        <v>42883</v>
      </c>
      <c r="V36">
        <v>21357</v>
      </c>
      <c r="W36">
        <v>49097</v>
      </c>
      <c r="X36" s="1">
        <f t="shared" si="0"/>
        <v>69471353265.6922</v>
      </c>
      <c r="Y36" s="2">
        <f t="shared" si="1"/>
        <v>3829407135.02</v>
      </c>
      <c r="Z36" s="2">
        <f>Y36+Z35</f>
        <v>9303623442.8843327</v>
      </c>
      <c r="AA36" s="1">
        <f t="shared" si="2"/>
        <v>32190740503.607868</v>
      </c>
      <c r="AB36" s="7">
        <f t="shared" si="3"/>
        <v>33.472847639457235</v>
      </c>
      <c r="AC36" s="7">
        <f t="shared" si="5"/>
        <v>188.70184902336192</v>
      </c>
      <c r="AD36" s="7">
        <f t="shared" si="6"/>
        <v>496.19214571707158</v>
      </c>
      <c r="AE36"/>
    </row>
    <row r="37" spans="1:31" s="77" customFormat="1" hidden="1" x14ac:dyDescent="0.2">
      <c r="A37"/>
      <c r="B37" t="s">
        <v>13</v>
      </c>
      <c r="C37">
        <v>150</v>
      </c>
      <c r="D37" t="s">
        <v>14</v>
      </c>
      <c r="E37"/>
      <c r="F37">
        <v>70454</v>
      </c>
      <c r="G37">
        <v>431833700000</v>
      </c>
      <c r="H37">
        <v>297225823859</v>
      </c>
      <c r="I37">
        <v>42536210000</v>
      </c>
      <c r="J37">
        <v>56170764318</v>
      </c>
      <c r="K37">
        <v>999684396</v>
      </c>
      <c r="L37">
        <v>0</v>
      </c>
      <c r="M37">
        <v>50006738560</v>
      </c>
      <c r="N37">
        <v>38948459630</v>
      </c>
      <c r="O37">
        <v>11058278930</v>
      </c>
      <c r="P37">
        <v>84601137581</v>
      </c>
      <c r="Q37">
        <v>154609</v>
      </c>
      <c r="R37">
        <v>154609</v>
      </c>
      <c r="S37">
        <v>49234</v>
      </c>
      <c r="T37">
        <v>305304600000</v>
      </c>
      <c r="U37">
        <v>47127</v>
      </c>
      <c r="V37">
        <v>25708</v>
      </c>
      <c r="W37">
        <v>44746</v>
      </c>
      <c r="X37" s="1">
        <f t="shared" si="0"/>
        <v>86447598832.412323</v>
      </c>
      <c r="Y37" s="2">
        <f t="shared" si="1"/>
        <v>4942403186.4016676</v>
      </c>
      <c r="Z37" s="2">
        <f>Y37+Z36</f>
        <v>14246026629.285999</v>
      </c>
      <c r="AA37" s="1">
        <f t="shared" si="2"/>
        <v>37147958536.126328</v>
      </c>
      <c r="AB37" s="7">
        <f t="shared" si="3"/>
        <v>38.627503957458465</v>
      </c>
      <c r="AC37" s="7">
        <f t="shared" si="5"/>
        <v>213.78316835247841</v>
      </c>
      <c r="AD37" s="7">
        <f t="shared" si="6"/>
        <v>620.10927407888857</v>
      </c>
      <c r="AE37"/>
    </row>
    <row r="38" spans="1:31" s="77" customFormat="1" hidden="1" x14ac:dyDescent="0.2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 s="8"/>
      <c r="AC38" s="8"/>
      <c r="AD38"/>
      <c r="AE38"/>
    </row>
    <row r="39" spans="1:31" s="77" customFormat="1" hidden="1" x14ac:dyDescent="0.2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 s="8"/>
      <c r="AC39" s="8"/>
      <c r="AD39"/>
      <c r="AE39"/>
    </row>
    <row r="40" spans="1:31" s="77" customFormat="1" x14ac:dyDescent="0.2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 s="8"/>
      <c r="AC40" s="8"/>
      <c r="AD40"/>
      <c r="AE40"/>
    </row>
    <row r="41" spans="1:31" x14ac:dyDescent="0.2">
      <c r="AC41" s="8"/>
    </row>
    <row r="42" spans="1:31" x14ac:dyDescent="0.2">
      <c r="AC42" s="8"/>
    </row>
    <row r="66" spans="11:11" x14ac:dyDescent="0.2">
      <c r="K66" s="13"/>
    </row>
    <row r="67" spans="11:11" x14ac:dyDescent="0.2">
      <c r="K67" s="13"/>
    </row>
    <row r="68" spans="11:11" x14ac:dyDescent="0.2">
      <c r="K68" s="13"/>
    </row>
    <row r="69" spans="11:11" x14ac:dyDescent="0.2">
      <c r="K69" s="13"/>
    </row>
    <row r="70" spans="11:11" x14ac:dyDescent="0.2">
      <c r="K70" s="13"/>
    </row>
    <row r="71" spans="11:11" x14ac:dyDescent="0.2">
      <c r="K71" s="13"/>
    </row>
    <row r="72" spans="11:11" x14ac:dyDescent="0.2">
      <c r="K72" s="13"/>
    </row>
  </sheetData>
  <sortState xmlns:xlrd2="http://schemas.microsoft.com/office/spreadsheetml/2017/richdata2" ref="B6:AD37">
    <sortCondition ref="F6:F37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2DABC-F9AD-414D-A18A-2148F8DF9730}">
  <dimension ref="A1:AF10"/>
  <sheetViews>
    <sheetView topLeftCell="A2" zoomScale="125" workbookViewId="0">
      <selection activeCell="AG10" sqref="AG10"/>
    </sheetView>
  </sheetViews>
  <sheetFormatPr baseColWidth="10" defaultRowHeight="15" x14ac:dyDescent="0.2"/>
  <cols>
    <col min="1" max="1" width="11.1640625" bestFit="1" customWidth="1"/>
    <col min="2" max="2" width="8.6640625" bestFit="1" customWidth="1"/>
    <col min="3" max="3" width="11.33203125" customWidth="1"/>
    <col min="4" max="4" width="7" bestFit="1" customWidth="1"/>
    <col min="5" max="8" width="6.6640625" bestFit="1" customWidth="1"/>
    <col min="9" max="12" width="5.6640625" bestFit="1" customWidth="1"/>
    <col min="13" max="14" width="5.1640625" bestFit="1" customWidth="1"/>
    <col min="15" max="16" width="6.6640625" bestFit="1" customWidth="1"/>
    <col min="17" max="19" width="5.1640625" bestFit="1" customWidth="1"/>
    <col min="20" max="20" width="5.5" bestFit="1" customWidth="1"/>
    <col min="21" max="24" width="7.5" bestFit="1" customWidth="1"/>
    <col min="25" max="27" width="5.1640625" bestFit="1" customWidth="1"/>
    <col min="28" max="28" width="5.5" bestFit="1" customWidth="1"/>
    <col min="29" max="31" width="6" bestFit="1" customWidth="1"/>
    <col min="32" max="32" width="7.1640625" bestFit="1" customWidth="1"/>
  </cols>
  <sheetData>
    <row r="1" spans="1:32" hidden="1" x14ac:dyDescent="0.2">
      <c r="E1">
        <v>30</v>
      </c>
      <c r="F1">
        <v>60</v>
      </c>
      <c r="G1">
        <v>90</v>
      </c>
      <c r="H1">
        <v>120</v>
      </c>
      <c r="I1">
        <v>30</v>
      </c>
      <c r="J1">
        <v>60</v>
      </c>
      <c r="K1">
        <v>90</v>
      </c>
      <c r="L1">
        <v>120</v>
      </c>
      <c r="M1">
        <v>30</v>
      </c>
      <c r="N1">
        <v>60</v>
      </c>
      <c r="O1">
        <v>90</v>
      </c>
      <c r="P1">
        <v>120</v>
      </c>
      <c r="Q1">
        <v>30</v>
      </c>
      <c r="R1">
        <v>60</v>
      </c>
      <c r="S1">
        <v>90</v>
      </c>
      <c r="T1">
        <v>120</v>
      </c>
      <c r="U1">
        <v>30</v>
      </c>
      <c r="V1">
        <v>60</v>
      </c>
      <c r="W1">
        <v>90</v>
      </c>
      <c r="X1">
        <v>120</v>
      </c>
      <c r="Y1">
        <v>30</v>
      </c>
      <c r="Z1">
        <v>60</v>
      </c>
      <c r="AA1">
        <v>90</v>
      </c>
      <c r="AB1">
        <v>120</v>
      </c>
    </row>
    <row r="2" spans="1:32" s="15" customFormat="1" x14ac:dyDescent="0.2">
      <c r="A2" s="14"/>
      <c r="B2" s="14"/>
      <c r="C2" s="14"/>
      <c r="D2" s="14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 s="59" t="s">
        <v>61</v>
      </c>
      <c r="Z2" s="60"/>
      <c r="AA2" s="60"/>
      <c r="AB2" s="60"/>
      <c r="AC2" s="60"/>
      <c r="AD2" s="60"/>
      <c r="AE2" s="60"/>
      <c r="AF2" s="61"/>
    </row>
    <row r="3" spans="1:32" s="15" customFormat="1" ht="13" x14ac:dyDescent="0.15">
      <c r="A3" s="76" t="s">
        <v>46</v>
      </c>
      <c r="B3" s="14"/>
      <c r="C3" s="14"/>
      <c r="D3" s="14"/>
      <c r="E3" s="56" t="s">
        <v>59</v>
      </c>
      <c r="F3" s="57"/>
      <c r="G3" s="57"/>
      <c r="H3" s="58"/>
      <c r="I3" s="62" t="s">
        <v>31</v>
      </c>
      <c r="J3" s="63"/>
      <c r="K3" s="63"/>
      <c r="L3" s="64"/>
      <c r="M3" s="56" t="s">
        <v>22</v>
      </c>
      <c r="N3" s="57"/>
      <c r="O3" s="57"/>
      <c r="P3" s="58"/>
      <c r="Q3" s="65" t="s">
        <v>58</v>
      </c>
      <c r="R3" s="66"/>
      <c r="S3" s="66"/>
      <c r="T3" s="67"/>
      <c r="U3" s="56" t="s">
        <v>60</v>
      </c>
      <c r="V3" s="57"/>
      <c r="W3" s="57"/>
      <c r="X3" s="58"/>
      <c r="Y3" s="54" t="s">
        <v>26</v>
      </c>
      <c r="Z3" s="55"/>
      <c r="AA3" s="55"/>
      <c r="AB3" s="55"/>
      <c r="AC3" s="56" t="s">
        <v>62</v>
      </c>
      <c r="AD3" s="57"/>
      <c r="AE3" s="57"/>
      <c r="AF3" s="58"/>
    </row>
    <row r="4" spans="1:32" s="15" customFormat="1" ht="32" customHeight="1" x14ac:dyDescent="0.2">
      <c r="A4" s="16" t="s">
        <v>21</v>
      </c>
      <c r="B4" s="17" t="s">
        <v>0</v>
      </c>
      <c r="C4" s="30" t="s">
        <v>47</v>
      </c>
      <c r="D4" s="17" t="s">
        <v>48</v>
      </c>
      <c r="E4" s="31" t="s">
        <v>54</v>
      </c>
      <c r="F4" s="32" t="s">
        <v>55</v>
      </c>
      <c r="G4" s="33" t="s">
        <v>56</v>
      </c>
      <c r="H4" s="32" t="s">
        <v>57</v>
      </c>
      <c r="I4" s="31" t="s">
        <v>54</v>
      </c>
      <c r="J4" s="32" t="s">
        <v>55</v>
      </c>
      <c r="K4" s="33" t="s">
        <v>56</v>
      </c>
      <c r="L4" s="32" t="s">
        <v>57</v>
      </c>
      <c r="M4" s="31" t="s">
        <v>54</v>
      </c>
      <c r="N4" s="32" t="s">
        <v>55</v>
      </c>
      <c r="O4" s="33" t="s">
        <v>56</v>
      </c>
      <c r="P4" s="32" t="s">
        <v>57</v>
      </c>
      <c r="Q4" s="31" t="s">
        <v>54</v>
      </c>
      <c r="R4" s="32" t="s">
        <v>55</v>
      </c>
      <c r="S4" s="33" t="s">
        <v>56</v>
      </c>
      <c r="T4" s="32" t="s">
        <v>57</v>
      </c>
      <c r="U4" s="31" t="s">
        <v>54</v>
      </c>
      <c r="V4" s="32" t="s">
        <v>55</v>
      </c>
      <c r="W4" s="33" t="s">
        <v>56</v>
      </c>
      <c r="X4" s="32" t="s">
        <v>57</v>
      </c>
      <c r="Y4" s="31" t="s">
        <v>54</v>
      </c>
      <c r="Z4" s="32" t="s">
        <v>55</v>
      </c>
      <c r="AA4" s="33" t="s">
        <v>56</v>
      </c>
      <c r="AB4" s="32" t="s">
        <v>57</v>
      </c>
      <c r="AC4" s="31" t="s">
        <v>54</v>
      </c>
      <c r="AD4" s="32" t="s">
        <v>55</v>
      </c>
      <c r="AE4" s="33" t="s">
        <v>56</v>
      </c>
      <c r="AF4" s="34" t="s">
        <v>57</v>
      </c>
    </row>
    <row r="5" spans="1:32" s="15" customFormat="1" x14ac:dyDescent="0.15">
      <c r="A5" s="19" t="s">
        <v>15</v>
      </c>
      <c r="B5" s="20" t="s">
        <v>16</v>
      </c>
      <c r="C5" s="21">
        <v>0.12709999999999999</v>
      </c>
      <c r="D5" s="21">
        <v>0.682127149140343</v>
      </c>
      <c r="E5" s="44">
        <f>VLOOKUP(_xlfn.CONCAT(E$1,$B5,$C5),'pull data'!$A$1:$AK$28,29,FALSE)</f>
        <v>33.899719294117645</v>
      </c>
      <c r="F5" s="43">
        <f>VLOOKUP(_xlfn.CONCAT(F$1,$B5,$C5),'pull data'!$A$1:$AK$28,29,FALSE)</f>
        <v>51.174425209302328</v>
      </c>
      <c r="G5" s="43">
        <f>VLOOKUP(_xlfn.CONCAT(G$1,$B5,$C5),'pull data'!$A$1:$AK$28,29,FALSE)</f>
        <v>68.525997137014315</v>
      </c>
      <c r="H5" s="43">
        <f>VLOOKUP(_xlfn.CONCAT(H$1,$B5,$C5),'pull data'!$A$1:$AK$28,29,FALSE)</f>
        <v>83.778874738067515</v>
      </c>
      <c r="I5" s="44">
        <f>VLOOKUP(_xlfn.CONCAT(I$1,$B5,$C5),'pull data'!$A$1:$AK$28,28,FALSE)</f>
        <v>0.96724485171239027</v>
      </c>
      <c r="J5" s="43">
        <f>VLOOKUP(_xlfn.CONCAT(J$1,$B5,$C5),'pull data'!$A$1:$AK$28,28,FALSE)</f>
        <v>2.0202351195300428</v>
      </c>
      <c r="K5" s="43">
        <f>VLOOKUP(_xlfn.CONCAT(K$1,$B5,$C5),'pull data'!$A$1:$AK$28,28,FALSE)</f>
        <v>4.2047964089073337</v>
      </c>
      <c r="L5" s="45">
        <f>VLOOKUP(_xlfn.CONCAT(L$1,$B5,$C5),'pull data'!$A$1:$AK$28,28,FALSE)</f>
        <v>5.486773153257003</v>
      </c>
      <c r="M5" s="39">
        <f>VLOOKUP(_xlfn.CONCAT(M$1,$B5,$C5),'pull data'!$A$1:$AK$28,17,FALSE)</f>
        <v>277</v>
      </c>
      <c r="N5" s="39">
        <f>VLOOKUP(_xlfn.CONCAT(N$1,$B5,$C5),'pull data'!$A$1:$AK$28,17,FALSE)</f>
        <v>911</v>
      </c>
      <c r="O5" s="39">
        <f>VLOOKUP(_xlfn.CONCAT(O$1,$B5,$C5),'pull data'!$A$1:$AK$28,17,FALSE)</f>
        <v>1516</v>
      </c>
      <c r="P5" s="40">
        <f>VLOOKUP(_xlfn.CONCAT(P$1,$B5,$C5),'pull data'!$A$1:$AK$28,17,FALSE)</f>
        <v>2013</v>
      </c>
      <c r="Q5" s="39">
        <f>VLOOKUP(_xlfn.CONCAT(Q$1,$B5,$C5),'pull data'!$A$1:$AK$28,19,FALSE)</f>
        <v>210</v>
      </c>
      <c r="R5" s="39">
        <f>VLOOKUP(_xlfn.CONCAT(R$1,$B5,$C5),'pull data'!$A$1:$AK$28,19,FALSE)</f>
        <v>639</v>
      </c>
      <c r="S5" s="39">
        <f>VLOOKUP(_xlfn.CONCAT(S$1,$B5,$C5),'pull data'!$A$1:$AK$28,19,FALSE)</f>
        <v>817</v>
      </c>
      <c r="T5" s="40">
        <f>VLOOKUP(_xlfn.CONCAT(T$1,$B5,$C5),'pull data'!$A$1:$AK$28,19,FALSE)</f>
        <v>853</v>
      </c>
      <c r="U5" s="43">
        <f>VLOOKUP(_xlfn.CONCAT(U$1,$B5,$C5),'pull data'!$A$1:$AK$28,30,FALSE)</f>
        <v>109.04761904761905</v>
      </c>
      <c r="V5" s="43">
        <f>VLOOKUP(_xlfn.CONCAT(V$1,$B5,$C5),'pull data'!$A$1:$AK$28,30,FALSE)</f>
        <v>135.5242566510172</v>
      </c>
      <c r="W5" s="43">
        <f>VLOOKUP(_xlfn.CONCAT(W$1,$B5,$C5),'pull data'!$A$1:$AK$28,30,FALSE)</f>
        <v>183.30477356181152</v>
      </c>
      <c r="X5" s="45">
        <f>VLOOKUP(_xlfn.CONCAT(X$1,$B5,$C5),'pull data'!$A$1:$AK$28,30,FALSE)</f>
        <v>249.6483001172333</v>
      </c>
      <c r="Y5" s="39">
        <f>VLOOKUP(_xlfn.CONCAT(Y$1,$B5,$C5),'pull data'!$A$1:$AK$28,23,FALSE)/VLOOKUP(_xlfn.CONCAT(Y$1,$B5,$C5),'pull data'!$A$1:$AK$28,6,FALSE)*1000</f>
        <v>891.60839160839157</v>
      </c>
      <c r="Z5" s="39">
        <f>VLOOKUP(_xlfn.CONCAT(Z$1,$B5,$C5),'pull data'!$A$1:$AK$28,23,FALSE)/VLOOKUP(_xlfn.CONCAT(Z$1,$B5,$C5),'pull data'!$A$1:$AK$28,6,FALSE)*1000</f>
        <v>751.74825174825173</v>
      </c>
      <c r="AA5" s="39">
        <f>VLOOKUP(_xlfn.CONCAT(AA$1,$B5,$C5),'pull data'!$A$1:$AK$28,23,FALSE)/VLOOKUP(_xlfn.CONCAT(AA$1,$B5,$C5),'pull data'!$A$1:$AK$28,6,FALSE)*1000</f>
        <v>683.91608391608395</v>
      </c>
      <c r="AB5" s="40">
        <f>VLOOKUP(_xlfn.CONCAT(AB$1,$B5,$C5),'pull data'!$A$1:$AK$28,23,FALSE)/VLOOKUP(_xlfn.CONCAT(AB$1,$B5,$C5),'pull data'!$A$1:$AK$28,6,FALSE)*1000</f>
        <v>600.69930069930069</v>
      </c>
      <c r="AC5" s="35">
        <f>1000*I5*$D5/10000*6.5</f>
        <v>0.42885958259251028</v>
      </c>
      <c r="AD5" s="35">
        <f>1000*J5*$D5/10000*6.5</f>
        <v>0.89573719474084823</v>
      </c>
      <c r="AE5" s="35">
        <f t="shared" ref="AE5:AF5" si="0">1000*K5*$D5/10000*6.5</f>
        <v>1.8643337616302826</v>
      </c>
      <c r="AF5" s="36">
        <f t="shared" si="0"/>
        <v>2.4327400038571305</v>
      </c>
    </row>
    <row r="6" spans="1:32" s="15" customFormat="1" x14ac:dyDescent="0.15">
      <c r="A6" s="22" t="s">
        <v>15</v>
      </c>
      <c r="B6" s="23" t="s">
        <v>17</v>
      </c>
      <c r="C6" s="24">
        <v>0.1615</v>
      </c>
      <c r="D6" s="24">
        <v>0.66852522999721198</v>
      </c>
      <c r="E6" s="44">
        <f>VLOOKUP(_xlfn.CONCAT(E$1,$B6,$C6),'pull data'!$A$1:$AK$28,29,FALSE)</f>
        <v>35.280320366132727</v>
      </c>
      <c r="F6" s="43">
        <f>VLOOKUP(_xlfn.CONCAT(F$1,$B6,$C6),'pull data'!$A$1:$AK$28,29,FALSE)</f>
        <v>52.201785714285712</v>
      </c>
      <c r="G6" s="43">
        <f>VLOOKUP(_xlfn.CONCAT(G$1,$B6,$C6),'pull data'!$A$1:$AK$28,29,FALSE)</f>
        <v>70.653852905198775</v>
      </c>
      <c r="H6" s="43">
        <f>VLOOKUP(_xlfn.CONCAT(H$1,$B6,$C6),'pull data'!$A$1:$AK$28,29,FALSE)</f>
        <v>81.956939249146757</v>
      </c>
      <c r="I6" s="44">
        <f>VLOOKUP(_xlfn.CONCAT(I$1,$B6,$C6),'pull data'!$A$1:$AK$28,28,FALSE)</f>
        <v>-0.94751503640392554</v>
      </c>
      <c r="J6" s="43">
        <f>VLOOKUP(_xlfn.CONCAT(J$1,$B6,$C6),'pull data'!$A$1:$AK$28,28,FALSE)</f>
        <v>0.17159665545630456</v>
      </c>
      <c r="K6" s="43">
        <f>VLOOKUP(_xlfn.CONCAT(K$1,$B6,$C6),'pull data'!$A$1:$AK$28,28,FALSE)</f>
        <v>2.5461242894986738</v>
      </c>
      <c r="L6" s="45">
        <f>VLOOKUP(_xlfn.CONCAT(L$1,$B6,$C6),'pull data'!$A$1:$AK$28,28,FALSE)</f>
        <v>3.1367090101797737</v>
      </c>
      <c r="M6" s="39">
        <f>VLOOKUP(_xlfn.CONCAT(M$1,$B6,$C6),'pull data'!$A$1:$AK$28,17,FALSE)</f>
        <v>77</v>
      </c>
      <c r="N6" s="39">
        <f>VLOOKUP(_xlfn.CONCAT(N$1,$B6,$C6),'pull data'!$A$1:$AK$28,17,FALSE)</f>
        <v>259</v>
      </c>
      <c r="O6" s="39">
        <f>VLOOKUP(_xlfn.CONCAT(O$1,$B6,$C6),'pull data'!$A$1:$AK$28,17,FALSE)</f>
        <v>448</v>
      </c>
      <c r="P6" s="40">
        <f>VLOOKUP(_xlfn.CONCAT(P$1,$B6,$C6),'pull data'!$A$1:$AK$28,17,FALSE)</f>
        <v>620</v>
      </c>
      <c r="Q6" s="39">
        <f>VLOOKUP(_xlfn.CONCAT(Q$1,$B6,$C6),'pull data'!$A$1:$AK$28,19,FALSE)</f>
        <v>66</v>
      </c>
      <c r="R6" s="39">
        <f>VLOOKUP(_xlfn.CONCAT(R$1,$B6,$C6),'pull data'!$A$1:$AK$28,19,FALSE)</f>
        <v>198</v>
      </c>
      <c r="S6" s="39">
        <f>VLOOKUP(_xlfn.CONCAT(S$1,$B6,$C6),'pull data'!$A$1:$AK$28,19,FALSE)</f>
        <v>263</v>
      </c>
      <c r="T6" s="40">
        <f>VLOOKUP(_xlfn.CONCAT(T$1,$B6,$C6),'pull data'!$A$1:$AK$28,19,FALSE)</f>
        <v>272</v>
      </c>
      <c r="U6" s="43">
        <f>VLOOKUP(_xlfn.CONCAT(U$1,$B6,$C6),'pull data'!$A$1:$AK$28,30,FALSE)</f>
        <v>97.424242424242422</v>
      </c>
      <c r="V6" s="43">
        <f>VLOOKUP(_xlfn.CONCAT(V$1,$B6,$C6),'pull data'!$A$1:$AK$28,30,FALSE)</f>
        <v>134.49494949494951</v>
      </c>
      <c r="W6" s="43">
        <f>VLOOKUP(_xlfn.CONCAT(W$1,$B6,$C6),'pull data'!$A$1:$AK$28,30,FALSE)</f>
        <v>183.68821292775664</v>
      </c>
      <c r="X6" s="45">
        <f>VLOOKUP(_xlfn.CONCAT(X$1,$B6,$C6),'pull data'!$A$1:$AK$28,30,FALSE)</f>
        <v>257.09558823529414</v>
      </c>
      <c r="Y6" s="39">
        <f>VLOOKUP(_xlfn.CONCAT(Y$1,$B6,$C6),'pull data'!$A$1:$AK$28,23,FALSE)/VLOOKUP(_xlfn.CONCAT(Y$1,$B6,$C6),'pull data'!$A$1:$AK$28,6,FALSE)*1000</f>
        <v>851.85185185185185</v>
      </c>
      <c r="Z6" s="39">
        <f>VLOOKUP(_xlfn.CONCAT(Z$1,$B6,$C6),'pull data'!$A$1:$AK$28,23,FALSE)/VLOOKUP(_xlfn.CONCAT(Z$1,$B6,$C6),'pull data'!$A$1:$AK$28,6,FALSE)*1000</f>
        <v>709.5516569200779</v>
      </c>
      <c r="AA6" s="39">
        <f>VLOOKUP(_xlfn.CONCAT(AA$1,$B6,$C6),'pull data'!$A$1:$AK$28,23,FALSE)/VLOOKUP(_xlfn.CONCAT(AA$1,$B6,$C6),'pull data'!$A$1:$AK$28,6,FALSE)*1000</f>
        <v>637.42690058479536</v>
      </c>
      <c r="AB6" s="40">
        <f>VLOOKUP(_xlfn.CONCAT(AB$1,$B6,$C6),'pull data'!$A$1:$AK$28,23,FALSE)/VLOOKUP(_xlfn.CONCAT(AB$1,$B6,$C6),'pull data'!$A$1:$AK$28,6,FALSE)*1000</f>
        <v>571.15009746588692</v>
      </c>
      <c r="AC6" s="35">
        <f t="shared" ref="AC6:AC10" si="1">1000*I6*$D6/10000*6.5</f>
        <v>-0.4117345099645382</v>
      </c>
      <c r="AD6" s="35">
        <f>1000*J6*$D6/10000*6.5</f>
        <v>7.4565850811190937E-2</v>
      </c>
      <c r="AE6" s="35">
        <f t="shared" ref="AE6:AE10" si="2">1000*K6*$D6/10000*6.5</f>
        <v>1.1063964120550827</v>
      </c>
      <c r="AF6" s="36">
        <f t="shared" ref="AF6:AF10" si="3">1000*L6*$D6/10000*6.5</f>
        <v>1.3630299231020941</v>
      </c>
    </row>
    <row r="7" spans="1:32" s="15" customFormat="1" x14ac:dyDescent="0.15">
      <c r="A7" s="22" t="s">
        <v>13</v>
      </c>
      <c r="B7" s="23" t="s">
        <v>16</v>
      </c>
      <c r="C7" s="24">
        <v>0.17269999999999999</v>
      </c>
      <c r="D7" s="24">
        <v>0.682127149140343</v>
      </c>
      <c r="E7" s="44">
        <f>VLOOKUP(_xlfn.CONCAT(E$1,$B7,$C7),'pull data'!$A$1:$AK$28,29,FALSE)</f>
        <v>40.379808411214952</v>
      </c>
      <c r="F7" s="43">
        <f>VLOOKUP(_xlfn.CONCAT(F$1,$B7,$C7),'pull data'!$A$1:$AK$28,29,FALSE)</f>
        <v>45.612889858233373</v>
      </c>
      <c r="G7" s="43">
        <f>VLOOKUP(_xlfn.CONCAT(G$1,$B7,$C7),'pull data'!$A$1:$AK$28,29,FALSE)</f>
        <v>62.588560143198094</v>
      </c>
      <c r="H7" s="43">
        <f>VLOOKUP(_xlfn.CONCAT(H$1,$B7,$C7),'pull data'!$A$1:$AK$28,29,FALSE)</f>
        <v>83.534703425559954</v>
      </c>
      <c r="I7" s="44">
        <f>VLOOKUP(_xlfn.CONCAT(I$1,$B7,$C7),'pull data'!$A$1:$AK$28,28,FALSE)</f>
        <v>5.7008586300624038E-3</v>
      </c>
      <c r="J7" s="43">
        <f>VLOOKUP(_xlfn.CONCAT(J$1,$B7,$C7),'pull data'!$A$1:$AK$28,28,FALSE)</f>
        <v>2.0236485274803857</v>
      </c>
      <c r="K7" s="43">
        <f>VLOOKUP(_xlfn.CONCAT(K$1,$B7,$C7),'pull data'!$A$1:$AK$28,28,FALSE)</f>
        <v>4.5452594502449388</v>
      </c>
      <c r="L7" s="45">
        <f>VLOOKUP(_xlfn.CONCAT(L$1,$B7,$C7),'pull data'!$A$1:$AK$28,28,FALSE)</f>
        <v>5.893926673365967</v>
      </c>
      <c r="M7" s="39">
        <f>VLOOKUP(_xlfn.CONCAT(M$1,$B7,$C7),'pull data'!$A$1:$AK$28,17,FALSE)</f>
        <v>279</v>
      </c>
      <c r="N7" s="39">
        <f>VLOOKUP(_xlfn.CONCAT(N$1,$B7,$C7),'pull data'!$A$1:$AK$28,17,FALSE)</f>
        <v>739</v>
      </c>
      <c r="O7" s="39">
        <f>VLOOKUP(_xlfn.CONCAT(O$1,$B7,$C7),'pull data'!$A$1:$AK$28,17,FALSE)</f>
        <v>1225</v>
      </c>
      <c r="P7" s="40">
        <f>VLOOKUP(_xlfn.CONCAT(P$1,$B7,$C7),'pull data'!$A$1:$AK$28,17,FALSE)</f>
        <v>1710</v>
      </c>
      <c r="Q7" s="39">
        <f>VLOOKUP(_xlfn.CONCAT(Q$1,$B7,$C7),'pull data'!$A$1:$AK$28,19,FALSE)</f>
        <v>209</v>
      </c>
      <c r="R7" s="39">
        <f>VLOOKUP(_xlfn.CONCAT(R$1,$B7,$C7),'pull data'!$A$1:$AK$28,19,FALSE)</f>
        <v>517</v>
      </c>
      <c r="S7" s="39">
        <f>VLOOKUP(_xlfn.CONCAT(S$1,$B7,$C7),'pull data'!$A$1:$AK$28,19,FALSE)</f>
        <v>672</v>
      </c>
      <c r="T7" s="40">
        <f>VLOOKUP(_xlfn.CONCAT(T$1,$B7,$C7),'pull data'!$A$1:$AK$28,19,FALSE)</f>
        <v>715</v>
      </c>
      <c r="U7" s="43">
        <f>VLOOKUP(_xlfn.CONCAT(U$1,$B7,$C7),'pull data'!$A$1:$AK$28,30,FALSE)</f>
        <v>108.56459330143539</v>
      </c>
      <c r="V7" s="43">
        <f>VLOOKUP(_xlfn.CONCAT(V$1,$B7,$C7),'pull data'!$A$1:$AK$28,30,FALSE)</f>
        <v>134.31334622823985</v>
      </c>
      <c r="W7" s="43">
        <f>VLOOKUP(_xlfn.CONCAT(W$1,$B7,$C7),'pull data'!$A$1:$AK$28,30,FALSE)</f>
        <v>184.28571428571431</v>
      </c>
      <c r="X7" s="45">
        <f>VLOOKUP(_xlfn.CONCAT(X$1,$B7,$C7),'pull data'!$A$1:$AK$28,30,FALSE)</f>
        <v>257.80419580419579</v>
      </c>
      <c r="Y7" s="39">
        <f>VLOOKUP(_xlfn.CONCAT(Y$1,$B7,$C7),'pull data'!$A$1:$AK$28,23,FALSE)/VLOOKUP(_xlfn.CONCAT(Y$1,$B7,$C7),'pull data'!$A$1:$AK$28,6,FALSE)*1000</f>
        <v>860.82059533386973</v>
      </c>
      <c r="Z7" s="39">
        <f>VLOOKUP(_xlfn.CONCAT(Z$1,$B7,$C7),'pull data'!$A$1:$AK$28,23,FALSE)/VLOOKUP(_xlfn.CONCAT(Z$1,$B7,$C7),'pull data'!$A$1:$AK$28,6,FALSE)*1000</f>
        <v>737.73129525341915</v>
      </c>
      <c r="AA7" s="39">
        <f>VLOOKUP(_xlfn.CONCAT(AA$1,$B7,$C7),'pull data'!$A$1:$AK$28,23,FALSE)/VLOOKUP(_xlfn.CONCAT(AA$1,$B7,$C7),'pull data'!$A$1:$AK$28,6,FALSE)*1000</f>
        <v>674.17538213998398</v>
      </c>
      <c r="AB7" s="40">
        <f>VLOOKUP(_xlfn.CONCAT(AB$1,$B7,$C7),'pull data'!$A$1:$AK$28,23,FALSE)/VLOOKUP(_xlfn.CONCAT(AB$1,$B7,$C7),'pull data'!$A$1:$AK$28,6,FALSE)*1000</f>
        <v>610.61946902654859</v>
      </c>
      <c r="AC7" s="35">
        <f>1000*I7*$D7/10000*6.5</f>
        <v>2.5276617892347826E-3</v>
      </c>
      <c r="AD7" s="35">
        <f t="shared" ref="AD7:AD10" si="4">1000*J7*$D7/10000*6.5</f>
        <v>0.89725064059296145</v>
      </c>
      <c r="AE7" s="35">
        <f t="shared" si="2"/>
        <v>2.0152891660842092</v>
      </c>
      <c r="AF7" s="36">
        <f t="shared" si="3"/>
        <v>2.613264809314479</v>
      </c>
    </row>
    <row r="8" spans="1:32" s="15" customFormat="1" x14ac:dyDescent="0.15">
      <c r="A8" s="22" t="s">
        <v>13</v>
      </c>
      <c r="B8" s="23" t="s">
        <v>17</v>
      </c>
      <c r="C8" s="24">
        <v>0.19639999999999999</v>
      </c>
      <c r="D8" s="24">
        <v>0.66852522999721198</v>
      </c>
      <c r="E8" s="44">
        <f>VLOOKUP(_xlfn.CONCAT(E$1,$B8,$C8),'pull data'!$A$1:$AK$28,29,FALSE)</f>
        <v>38.575816326530607</v>
      </c>
      <c r="F8" s="43">
        <f>VLOOKUP(_xlfn.CONCAT(F$1,$B8,$C8),'pull data'!$A$1:$AK$28,29,FALSE)</f>
        <v>41.270874524714827</v>
      </c>
      <c r="G8" s="43">
        <f>VLOOKUP(_xlfn.CONCAT(G$1,$B8,$C8),'pull data'!$A$1:$AK$28,29,FALSE)</f>
        <v>55.363123689727459</v>
      </c>
      <c r="H8" s="43">
        <f>VLOOKUP(_xlfn.CONCAT(H$1,$B8,$C8),'pull data'!$A$1:$AK$28,29,FALSE)</f>
        <v>73.873163657407403</v>
      </c>
      <c r="I8" s="44">
        <f>VLOOKUP(_xlfn.CONCAT(I$1,$B8,$C8),'pull data'!$A$1:$AK$28,28,FALSE)</f>
        <v>-0.84516479294000924</v>
      </c>
      <c r="J8" s="43">
        <f>VLOOKUP(_xlfn.CONCAT(J$1,$B8,$C8),'pull data'!$A$1:$AK$28,28,FALSE)</f>
        <v>1.1194995513612231</v>
      </c>
      <c r="K8" s="43">
        <f>VLOOKUP(_xlfn.CONCAT(K$1,$B8,$C8),'pull data'!$A$1:$AK$28,28,FALSE)</f>
        <v>2.9132817240396487</v>
      </c>
      <c r="L8" s="45">
        <f>VLOOKUP(_xlfn.CONCAT(L$1,$B8,$C8),'pull data'!$A$1:$AK$28,28,FALSE)</f>
        <v>4.0201126661107089</v>
      </c>
      <c r="M8" s="39">
        <f>VLOOKUP(_xlfn.CONCAT(M$1,$B8,$C8),'pull data'!$A$1:$AK$28,17,FALSE)</f>
        <v>139</v>
      </c>
      <c r="N8" s="39">
        <f>VLOOKUP(_xlfn.CONCAT(N$1,$B8,$C8),'pull data'!$A$1:$AK$28,17,FALSE)</f>
        <v>369</v>
      </c>
      <c r="O8" s="39">
        <f>VLOOKUP(_xlfn.CONCAT(O$1,$B8,$C8),'pull data'!$A$1:$AK$28,17,FALSE)</f>
        <v>612</v>
      </c>
      <c r="P8" s="40">
        <f>VLOOKUP(_xlfn.CONCAT(P$1,$B8,$C8),'pull data'!$A$1:$AK$28,17,FALSE)</f>
        <v>866</v>
      </c>
      <c r="Q8" s="39">
        <f>VLOOKUP(_xlfn.CONCAT(Q$1,$B8,$C8),'pull data'!$A$1:$AK$28,19,FALSE)</f>
        <v>115</v>
      </c>
      <c r="R8" s="39">
        <f>VLOOKUP(_xlfn.CONCAT(R$1,$B8,$C8),'pull data'!$A$1:$AK$28,19,FALSE)</f>
        <v>291</v>
      </c>
      <c r="S8" s="39">
        <f>VLOOKUP(_xlfn.CONCAT(S$1,$B8,$C8),'pull data'!$A$1:$AK$28,19,FALSE)</f>
        <v>365</v>
      </c>
      <c r="T8" s="40">
        <f>VLOOKUP(_xlfn.CONCAT(T$1,$B8,$C8),'pull data'!$A$1:$AK$28,19,FALSE)</f>
        <v>385</v>
      </c>
      <c r="U8" s="43">
        <f>VLOOKUP(_xlfn.CONCAT(U$1,$B8,$C8),'pull data'!$A$1:$AK$28,30,FALSE)</f>
        <v>101.30434782608695</v>
      </c>
      <c r="V8" s="43">
        <f>VLOOKUP(_xlfn.CONCAT(V$1,$B8,$C8),'pull data'!$A$1:$AK$28,30,FALSE)</f>
        <v>117.80068728522338</v>
      </c>
      <c r="W8" s="43">
        <f>VLOOKUP(_xlfn.CONCAT(W$1,$B8,$C8),'pull data'!$A$1:$AK$28,30,FALSE)</f>
        <v>164.68493150684932</v>
      </c>
      <c r="X8" s="45">
        <f>VLOOKUP(_xlfn.CONCAT(X$1,$B8,$C8),'pull data'!$A$1:$AK$28,30,FALSE)</f>
        <v>237.19480519480518</v>
      </c>
      <c r="Y8" s="39">
        <f>VLOOKUP(_xlfn.CONCAT(Y$1,$B8,$C8),'pull data'!$A$1:$AK$28,23,FALSE)/VLOOKUP(_xlfn.CONCAT(Y$1,$B8,$C8),'pull data'!$A$1:$AK$28,6,FALSE)*1000</f>
        <v>847.26224783861664</v>
      </c>
      <c r="Z8" s="39">
        <f>VLOOKUP(_xlfn.CONCAT(Z$1,$B8,$C8),'pull data'!$A$1:$AK$28,23,FALSE)/VLOOKUP(_xlfn.CONCAT(Z$1,$B8,$C8),'pull data'!$A$1:$AK$28,6,FALSE)*1000</f>
        <v>757.92507204610945</v>
      </c>
      <c r="AA8" s="39">
        <f>VLOOKUP(_xlfn.CONCAT(AA$1,$B8,$C8),'pull data'!$A$1:$AK$28,23,FALSE)/VLOOKUP(_xlfn.CONCAT(AA$1,$B8,$C8),'pull data'!$A$1:$AK$28,6,FALSE)*1000</f>
        <v>687.3198847262247</v>
      </c>
      <c r="AB8" s="40">
        <f>VLOOKUP(_xlfn.CONCAT(AB$1,$B8,$C8),'pull data'!$A$1:$AK$28,23,FALSE)/VLOOKUP(_xlfn.CONCAT(AB$1,$B8,$C8),'pull data'!$A$1:$AK$28,6,FALSE)*1000</f>
        <v>622.47838616714705</v>
      </c>
      <c r="AC8" s="49">
        <f t="shared" si="1"/>
        <v>-0.36725909193074768</v>
      </c>
      <c r="AD8" s="49">
        <f t="shared" si="4"/>
        <v>0.48646890178609925</v>
      </c>
      <c r="AE8" s="49">
        <f t="shared" si="2"/>
        <v>1.2659415174966824</v>
      </c>
      <c r="AF8" s="50">
        <f t="shared" si="3"/>
        <v>1.7469053840721385</v>
      </c>
    </row>
    <row r="9" spans="1:32" s="15" customFormat="1" x14ac:dyDescent="0.15">
      <c r="A9" s="22" t="s">
        <v>15</v>
      </c>
      <c r="B9" s="23" t="s">
        <v>18</v>
      </c>
      <c r="C9" s="24">
        <v>0.2228</v>
      </c>
      <c r="D9" s="24">
        <v>0.60326086956521696</v>
      </c>
      <c r="E9" s="44">
        <f>VLOOKUP(_xlfn.CONCAT(E$1,$B9,$C9),'pull data'!$A$1:$AK$28,29,FALSE)</f>
        <v>36.386138613861384</v>
      </c>
      <c r="F9" s="43">
        <f>VLOOKUP(_xlfn.CONCAT(F$1,$B9,$C9),'pull data'!$A$1:$AK$28,29,FALSE)</f>
        <v>49.390292682926827</v>
      </c>
      <c r="G9" s="43">
        <f>VLOOKUP(_xlfn.CONCAT(G$1,$B9,$C9),'pull data'!$A$1:$AK$28,29,FALSE)</f>
        <v>64.195601388888889</v>
      </c>
      <c r="H9" s="43">
        <f>VLOOKUP(_xlfn.CONCAT(H$1,$B9,$C9),'pull data'!$A$1:$AK$28,29,FALSE)</f>
        <v>65.10581904761905</v>
      </c>
      <c r="I9" s="44">
        <f>VLOOKUP(_xlfn.CONCAT(I$1,$B9,$C9),'pull data'!$A$1:$AK$28,28,FALSE)</f>
        <v>-4.2603331043956043</v>
      </c>
      <c r="J9" s="43">
        <f>VLOOKUP(_xlfn.CONCAT(J$1,$B9,$C9),'pull data'!$A$1:$AK$28,28,FALSE)</f>
        <v>-5.2466705738705741</v>
      </c>
      <c r="K9" s="43">
        <f>VLOOKUP(_xlfn.CONCAT(K$1,$B9,$C9),'pull data'!$A$1:$AK$28,28,FALSE)</f>
        <v>-6.4904904702762503</v>
      </c>
      <c r="L9" s="45">
        <f>VLOOKUP(_xlfn.CONCAT(L$1,$B9,$C9),'pull data'!$A$1:$AK$28,28,FALSE)</f>
        <v>-7.1316396392322945</v>
      </c>
      <c r="M9" s="39">
        <f>VLOOKUP(_xlfn.CONCAT(M$1,$B9,$C9),'pull data'!$A$1:$AK$28,17,FALSE)</f>
        <v>12</v>
      </c>
      <c r="N9" s="39">
        <f>VLOOKUP(_xlfn.CONCAT(N$1,$B9,$C9),'pull data'!$A$1:$AK$28,17,FALSE)</f>
        <v>47</v>
      </c>
      <c r="O9" s="39">
        <f>VLOOKUP(_xlfn.CONCAT(O$1,$B9,$C9),'pull data'!$A$1:$AK$28,17,FALSE)</f>
        <v>86</v>
      </c>
      <c r="P9" s="40">
        <f>VLOOKUP(_xlfn.CONCAT(P$1,$B9,$C9),'pull data'!$A$1:$AK$28,17,FALSE)</f>
        <v>112</v>
      </c>
      <c r="Q9" s="39">
        <f>VLOOKUP(_xlfn.CONCAT(Q$1,$B9,$C9),'pull data'!$A$1:$AK$28,19,FALSE)</f>
        <v>10</v>
      </c>
      <c r="R9" s="39">
        <f>VLOOKUP(_xlfn.CONCAT(R$1,$B9,$C9),'pull data'!$A$1:$AK$28,19,FALSE)</f>
        <v>39</v>
      </c>
      <c r="S9" s="39">
        <f>VLOOKUP(_xlfn.CONCAT(S$1,$B9,$C9),'pull data'!$A$1:$AK$28,19,FALSE)</f>
        <v>58</v>
      </c>
      <c r="T9" s="40">
        <f>VLOOKUP(_xlfn.CONCAT(T$1,$B9,$C9),'pull data'!$A$1:$AK$28,19,FALSE)</f>
        <v>61</v>
      </c>
      <c r="U9" s="43">
        <f>VLOOKUP(_xlfn.CONCAT(U$1,$B9,$C9),'pull data'!$A$1:$AK$28,30,FALSE)</f>
        <v>84</v>
      </c>
      <c r="V9" s="43">
        <f>VLOOKUP(_xlfn.CONCAT(V$1,$B9,$C9),'pull data'!$A$1:$AK$28,30,FALSE)</f>
        <v>125.8974358974359</v>
      </c>
      <c r="W9" s="43">
        <f>VLOOKUP(_xlfn.CONCAT(W$1,$B9,$C9),'pull data'!$A$1:$AK$28,30,FALSE)</f>
        <v>151.20689655172413</v>
      </c>
      <c r="X9" s="45">
        <f>VLOOKUP(_xlfn.CONCAT(X$1,$B9,$C9),'pull data'!$A$1:$AK$28,30,FALSE)</f>
        <v>193.44262295081967</v>
      </c>
      <c r="Y9" s="39">
        <f>VLOOKUP(_xlfn.CONCAT(Y$1,$B9,$C9),'pull data'!$A$1:$AK$28,23,FALSE)/VLOOKUP(_xlfn.CONCAT(Y$1,$B9,$C9),'pull data'!$A$1:$AK$28,6,FALSE)*1000</f>
        <v>789.0625</v>
      </c>
      <c r="Z9" s="39">
        <f>VLOOKUP(_xlfn.CONCAT(Z$1,$B9,$C9),'pull data'!$A$1:$AK$28,23,FALSE)/VLOOKUP(_xlfn.CONCAT(Z$1,$B9,$C9),'pull data'!$A$1:$AK$28,6,FALSE)*1000</f>
        <v>640.625</v>
      </c>
      <c r="AA9" s="39">
        <f>VLOOKUP(_xlfn.CONCAT(AA$1,$B9,$C9),'pull data'!$A$1:$AK$28,23,FALSE)/VLOOKUP(_xlfn.CONCAT(AA$1,$B9,$C9),'pull data'!$A$1:$AK$28,6,FALSE)*1000</f>
        <v>562.5</v>
      </c>
      <c r="AB9" s="40">
        <f>VLOOKUP(_xlfn.CONCAT(AB$1,$B9,$C9),'pull data'!$A$1:$AK$28,23,FALSE)/VLOOKUP(_xlfn.CONCAT(AB$1,$B9,$C9),'pull data'!$A$1:$AK$28,6,FALSE)*1000</f>
        <v>492.1875</v>
      </c>
      <c r="AC9" s="35">
        <f t="shared" si="1"/>
        <v>-1.6705599645768621</v>
      </c>
      <c r="AD9" s="35">
        <f t="shared" si="4"/>
        <v>-2.0573221842650087</v>
      </c>
      <c r="AE9" s="35">
        <f t="shared" si="2"/>
        <v>-2.545048301252343</v>
      </c>
      <c r="AF9" s="36">
        <f t="shared" si="3"/>
        <v>-2.7964554346228794</v>
      </c>
    </row>
    <row r="10" spans="1:32" s="15" customFormat="1" x14ac:dyDescent="0.15">
      <c r="A10" s="25" t="s">
        <v>13</v>
      </c>
      <c r="B10" s="26" t="s">
        <v>18</v>
      </c>
      <c r="C10" s="27">
        <v>0.31979999999999997</v>
      </c>
      <c r="D10" s="27">
        <v>0.60326086956521696</v>
      </c>
      <c r="E10" s="46">
        <f>VLOOKUP(_xlfn.CONCAT(E$1,$B10,$C10),'pull data'!$A$1:$AK$28,29,FALSE)</f>
        <v>37.631578947368425</v>
      </c>
      <c r="F10" s="47">
        <f>VLOOKUP(_xlfn.CONCAT(F$1,$B10,$C10),'pull data'!$A$1:$AK$28,29,FALSE)</f>
        <v>56.955556000000009</v>
      </c>
      <c r="G10" s="47">
        <f>VLOOKUP(_xlfn.CONCAT(G$1,$B10,$C10),'pull data'!$A$1:$AK$28,29,FALSE)</f>
        <v>64.464287142857145</v>
      </c>
      <c r="H10" s="47">
        <f>VLOOKUP(_xlfn.CONCAT(H$1,$B10,$C10),'pull data'!$A$1:$AK$28,29,FALSE)</f>
        <v>82.729088709677413</v>
      </c>
      <c r="I10" s="46">
        <f>VLOOKUP(_xlfn.CONCAT(I$1,$B10,$C10),'pull data'!$A$1:$AK$28,28,FALSE)</f>
        <v>-8.5464696106362776</v>
      </c>
      <c r="J10" s="47">
        <f>VLOOKUP(_xlfn.CONCAT(J$1,$B10,$C10),'pull data'!$A$1:$AK$28,28,FALSE)</f>
        <v>-8.4865819519061194</v>
      </c>
      <c r="K10" s="47">
        <f>VLOOKUP(_xlfn.CONCAT(K$1,$B10,$C10),'pull data'!$A$1:$AK$28,28,FALSE)</f>
        <v>-6.4029049225003405</v>
      </c>
      <c r="L10" s="48">
        <f>VLOOKUP(_xlfn.CONCAT(L$1,$B10,$C10),'pull data'!$A$1:$AK$28,28,FALSE)</f>
        <v>-6.3665395277099446</v>
      </c>
      <c r="M10" s="41">
        <f>VLOOKUP(_xlfn.CONCAT(M$1,$B10,$C10),'pull data'!$A$1:$AK$28,17,FALSE)</f>
        <v>16</v>
      </c>
      <c r="N10" s="41">
        <f>VLOOKUP(_xlfn.CONCAT(N$1,$B10,$C10),'pull data'!$A$1:$AK$28,17,FALSE)</f>
        <v>57</v>
      </c>
      <c r="O10" s="41">
        <f>VLOOKUP(_xlfn.CONCAT(O$1,$B10,$C10),'pull data'!$A$1:$AK$28,17,FALSE)</f>
        <v>89</v>
      </c>
      <c r="P10" s="42">
        <f>VLOOKUP(_xlfn.CONCAT(P$1,$B10,$C10),'pull data'!$A$1:$AK$28,17,FALSE)</f>
        <v>124</v>
      </c>
      <c r="Q10" s="41">
        <f>VLOOKUP(_xlfn.CONCAT(Q$1,$B10,$C10),'pull data'!$A$1:$AK$28,19,FALSE)</f>
        <v>13</v>
      </c>
      <c r="R10" s="41">
        <f>VLOOKUP(_xlfn.CONCAT(R$1,$B10,$C10),'pull data'!$A$1:$AK$28,19,FALSE)</f>
        <v>48</v>
      </c>
      <c r="S10" s="41">
        <f>VLOOKUP(_xlfn.CONCAT(S$1,$B10,$C10),'pull data'!$A$1:$AK$28,19,FALSE)</f>
        <v>53</v>
      </c>
      <c r="T10" s="42">
        <f>VLOOKUP(_xlfn.CONCAT(T$1,$B10,$C10),'pull data'!$A$1:$AK$28,19,FALSE)</f>
        <v>53</v>
      </c>
      <c r="U10" s="47">
        <f>VLOOKUP(_xlfn.CONCAT(U$1,$B10,$C10),'pull data'!$A$1:$AK$28,30,FALSE)</f>
        <v>86.153846153846146</v>
      </c>
      <c r="V10" s="47">
        <f>VLOOKUP(_xlfn.CONCAT(V$1,$B10,$C10),'pull data'!$A$1:$AK$28,30,FALSE)</f>
        <v>121.875</v>
      </c>
      <c r="W10" s="47">
        <f>VLOOKUP(_xlfn.CONCAT(W$1,$B10,$C10),'pull data'!$A$1:$AK$28,30,FALSE)</f>
        <v>180</v>
      </c>
      <c r="X10" s="48">
        <f>VLOOKUP(_xlfn.CONCAT(X$1,$B10,$C10),'pull data'!$A$1:$AK$28,30,FALSE)</f>
        <v>273.58490566037733</v>
      </c>
      <c r="Y10" s="41">
        <f>VLOOKUP(_xlfn.CONCAT(Y$1,$B10,$C10),'pull data'!$A$1:$AK$28,23,FALSE)/VLOOKUP(_xlfn.CONCAT(Y$1,$B10,$C10),'pull data'!$A$1:$AK$28,6,FALSE)*1000</f>
        <v>659.72222222222217</v>
      </c>
      <c r="Z10" s="41">
        <f>VLOOKUP(_xlfn.CONCAT(Z$1,$B10,$C10),'pull data'!$A$1:$AK$28,23,FALSE)/VLOOKUP(_xlfn.CONCAT(Z$1,$B10,$C10),'pull data'!$A$1:$AK$28,6,FALSE)*1000</f>
        <v>520.83333333333337</v>
      </c>
      <c r="AA10" s="41">
        <f>VLOOKUP(_xlfn.CONCAT(AA$1,$B10,$C10),'pull data'!$A$1:$AK$28,23,FALSE)/VLOOKUP(_xlfn.CONCAT(AA$1,$B10,$C10),'pull data'!$A$1:$AK$28,6,FALSE)*1000</f>
        <v>486.11111111111109</v>
      </c>
      <c r="AB10" s="42">
        <f>VLOOKUP(_xlfn.CONCAT(AB$1,$B10,$C10),'pull data'!$A$1:$AK$28,23,FALSE)/VLOOKUP(_xlfn.CONCAT(AB$1,$B10,$C10),'pull data'!$A$1:$AK$28,6,FALSE)*1000</f>
        <v>430.5555555555556</v>
      </c>
      <c r="AC10" s="37">
        <f t="shared" si="1"/>
        <v>-3.3512379478663421</v>
      </c>
      <c r="AD10" s="37">
        <f t="shared" si="4"/>
        <v>-3.327754825163185</v>
      </c>
      <c r="AE10" s="37">
        <f t="shared" si="2"/>
        <v>-2.510704294339126</v>
      </c>
      <c r="AF10" s="38">
        <f t="shared" si="3"/>
        <v>-2.4964447115449571</v>
      </c>
    </row>
  </sheetData>
  <mergeCells count="8">
    <mergeCell ref="Y3:AB3"/>
    <mergeCell ref="AC3:AF3"/>
    <mergeCell ref="Y2:AF2"/>
    <mergeCell ref="E3:H3"/>
    <mergeCell ref="I3:L3"/>
    <mergeCell ref="M3:P3"/>
    <mergeCell ref="Q3:T3"/>
    <mergeCell ref="U3:X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94B033-7EBD-474C-ADCB-0734FA4EC08D}">
  <dimension ref="A1:AF20"/>
  <sheetViews>
    <sheetView topLeftCell="K14" zoomScale="86" workbookViewId="0">
      <selection activeCell="AA35" sqref="AA35"/>
    </sheetView>
  </sheetViews>
  <sheetFormatPr baseColWidth="10" defaultRowHeight="15" x14ac:dyDescent="0.2"/>
  <cols>
    <col min="1" max="1" width="19" style="5" customWidth="1"/>
    <col min="2" max="3" width="11" style="5" bestFit="1" customWidth="1"/>
    <col min="4" max="4" width="12.6640625" style="5" bestFit="1" customWidth="1"/>
    <col min="5" max="6" width="11" style="5" bestFit="1" customWidth="1"/>
    <col min="7" max="7" width="15" style="5" bestFit="1" customWidth="1"/>
    <col min="8" max="10" width="13.5" style="5" bestFit="1" customWidth="1"/>
    <col min="11" max="12" width="11" style="5" bestFit="1" customWidth="1"/>
    <col min="13" max="14" width="13.5" style="5" bestFit="1" customWidth="1"/>
    <col min="15" max="15" width="12.1640625" style="5" bestFit="1" customWidth="1"/>
    <col min="16" max="16" width="13.5" style="5" bestFit="1" customWidth="1"/>
    <col min="17" max="19" width="11" style="5" bestFit="1" customWidth="1"/>
    <col min="20" max="20" width="13.5" style="5" bestFit="1" customWidth="1"/>
    <col min="21" max="22" width="11" style="5" bestFit="1" customWidth="1"/>
    <col min="23" max="23" width="10.83203125" style="5"/>
    <col min="24" max="24" width="12.1640625" style="5" bestFit="1" customWidth="1"/>
    <col min="25" max="16384" width="10.83203125" style="5"/>
  </cols>
  <sheetData>
    <row r="1" spans="1:32" hidden="1" x14ac:dyDescent="0.2">
      <c r="B1" s="5" t="s">
        <v>41</v>
      </c>
      <c r="C1" s="5" t="s">
        <v>42</v>
      </c>
    </row>
    <row r="2" spans="1:32" s="68" customFormat="1" ht="48" hidden="1" x14ac:dyDescent="0.2">
      <c r="B2" s="68" t="s">
        <v>21</v>
      </c>
      <c r="C2" s="68" t="s">
        <v>20</v>
      </c>
      <c r="D2" s="68" t="s">
        <v>0</v>
      </c>
      <c r="E2" s="68" t="s">
        <v>19</v>
      </c>
      <c r="F2" s="68" t="s">
        <v>1</v>
      </c>
      <c r="G2" s="68" t="s">
        <v>2</v>
      </c>
      <c r="H2" s="68" t="s">
        <v>3</v>
      </c>
      <c r="I2" s="68" t="s">
        <v>4</v>
      </c>
      <c r="J2" s="68" t="s">
        <v>5</v>
      </c>
      <c r="K2" s="68" t="s">
        <v>6</v>
      </c>
      <c r="L2" s="68" t="s">
        <v>7</v>
      </c>
      <c r="M2" s="68" t="s">
        <v>8</v>
      </c>
      <c r="N2" s="68" t="s">
        <v>9</v>
      </c>
      <c r="O2" s="68" t="s">
        <v>10</v>
      </c>
      <c r="P2" s="68" t="s">
        <v>11</v>
      </c>
      <c r="Q2" s="69" t="s">
        <v>22</v>
      </c>
      <c r="R2" s="69" t="s">
        <v>22</v>
      </c>
      <c r="S2" s="69" t="s">
        <v>23</v>
      </c>
      <c r="T2" s="68" t="s">
        <v>24</v>
      </c>
      <c r="U2" s="68" t="s">
        <v>12</v>
      </c>
      <c r="V2" s="68" t="s">
        <v>25</v>
      </c>
      <c r="W2" s="69" t="s">
        <v>26</v>
      </c>
      <c r="X2" s="70" t="s">
        <v>27</v>
      </c>
      <c r="Y2" s="70" t="s">
        <v>28</v>
      </c>
      <c r="Z2" s="70" t="s">
        <v>29</v>
      </c>
      <c r="AA2" s="70" t="s">
        <v>30</v>
      </c>
      <c r="AB2" s="71" t="s">
        <v>31</v>
      </c>
      <c r="AC2" s="69" t="s">
        <v>32</v>
      </c>
      <c r="AD2" s="69" t="s">
        <v>33</v>
      </c>
      <c r="AE2" s="72" t="s">
        <v>35</v>
      </c>
      <c r="AF2" s="68" t="s">
        <v>34</v>
      </c>
    </row>
    <row r="3" spans="1:32" s="51" customFormat="1" hidden="1" x14ac:dyDescent="0.2">
      <c r="A3" s="5" t="s">
        <v>49</v>
      </c>
      <c r="B3" s="51" t="s">
        <v>13</v>
      </c>
      <c r="C3" s="51" t="s">
        <v>36</v>
      </c>
      <c r="D3" s="51" t="s">
        <v>17</v>
      </c>
      <c r="E3" s="52">
        <v>0.20630000000000001</v>
      </c>
      <c r="F3" s="51">
        <v>1243</v>
      </c>
      <c r="G3" s="51">
        <v>1069000000</v>
      </c>
      <c r="H3" s="51">
        <v>516436050</v>
      </c>
      <c r="I3" s="51">
        <v>106900000</v>
      </c>
      <c r="J3" s="51">
        <v>60443936</v>
      </c>
      <c r="K3" s="51">
        <v>923846</v>
      </c>
      <c r="L3" s="51">
        <v>0</v>
      </c>
      <c r="M3" s="51">
        <v>194846450</v>
      </c>
      <c r="N3" s="51">
        <v>120500000</v>
      </c>
      <c r="O3" s="51">
        <v>74346450</v>
      </c>
      <c r="P3" s="51">
        <v>357717500</v>
      </c>
      <c r="Q3" s="51">
        <v>279</v>
      </c>
      <c r="R3" s="51">
        <v>279</v>
      </c>
      <c r="S3" s="51">
        <v>209</v>
      </c>
      <c r="T3" s="51">
        <v>226900000</v>
      </c>
      <c r="U3" s="51">
        <v>367</v>
      </c>
      <c r="V3" s="51">
        <v>173</v>
      </c>
      <c r="W3" s="51">
        <v>1070</v>
      </c>
      <c r="X3" s="10">
        <f t="shared" ref="X3:X7" si="0">J3+K3+H3*(I3/G3)</f>
        <v>113011387</v>
      </c>
      <c r="Y3" s="10" t="e">
        <f>C3*$AF$4/360*SUM(O3:P3)*(15.5/30)</f>
        <v>#VALUE!</v>
      </c>
      <c r="Z3" s="10" t="e">
        <f>Y3</f>
        <v>#VALUE!</v>
      </c>
      <c r="AA3" s="10" t="e">
        <f t="shared" ref="AA3:AA7" si="1">X3-Z3-N3*0.9</f>
        <v>#VALUE!</v>
      </c>
      <c r="AB3" s="11" t="e">
        <f t="shared" ref="AB3:AB7" si="2">AA3/F3/2100/6.5</f>
        <v>#VALUE!</v>
      </c>
      <c r="AC3" s="7">
        <f t="shared" ref="AC3:AC7" si="3">(O3+P3)/W3/10000</f>
        <v>40.379808411214952</v>
      </c>
      <c r="AD3" s="7">
        <f t="shared" ref="AD3:AD7" si="4">T3/S3/10000</f>
        <v>108.56459330143539</v>
      </c>
      <c r="AE3" s="73">
        <f t="shared" ref="AE3:AE7" si="5">N3/G3</f>
        <v>0.1127221702525725</v>
      </c>
    </row>
    <row r="4" spans="1:32" s="51" customFormat="1" hidden="1" x14ac:dyDescent="0.2">
      <c r="A4" s="5" t="s">
        <v>50</v>
      </c>
      <c r="B4" s="51" t="s">
        <v>13</v>
      </c>
      <c r="C4" s="51" t="s">
        <v>37</v>
      </c>
      <c r="D4" s="51" t="s">
        <v>17</v>
      </c>
      <c r="E4" s="52">
        <v>0.20630000000000001</v>
      </c>
      <c r="F4" s="51">
        <v>1243</v>
      </c>
      <c r="G4" s="51">
        <v>1536500000</v>
      </c>
      <c r="H4" s="51">
        <v>940189400</v>
      </c>
      <c r="I4" s="51">
        <v>153650000</v>
      </c>
      <c r="J4" s="51">
        <v>110006424</v>
      </c>
      <c r="K4" s="51">
        <v>3655051</v>
      </c>
      <c r="L4" s="51">
        <v>0</v>
      </c>
      <c r="M4" s="51">
        <v>221975400</v>
      </c>
      <c r="N4" s="51">
        <v>178040400</v>
      </c>
      <c r="O4" s="51">
        <v>43935000</v>
      </c>
      <c r="P4" s="51">
        <v>374335200</v>
      </c>
      <c r="Q4" s="51">
        <v>739</v>
      </c>
      <c r="R4" s="51">
        <v>739</v>
      </c>
      <c r="S4" s="51">
        <v>517</v>
      </c>
      <c r="T4" s="51">
        <v>694400000</v>
      </c>
      <c r="U4" s="51">
        <v>639</v>
      </c>
      <c r="V4" s="51">
        <v>326</v>
      </c>
      <c r="W4" s="51">
        <v>917</v>
      </c>
      <c r="X4" s="10">
        <f t="shared" si="0"/>
        <v>207680415</v>
      </c>
      <c r="Y4" s="10" t="e">
        <f>C4*$AF$4/360*SUM(O4:P4)*(15.5/30)</f>
        <v>#VALUE!</v>
      </c>
      <c r="Z4" s="10" t="e">
        <f>Y4+Z3</f>
        <v>#VALUE!</v>
      </c>
      <c r="AA4" s="10" t="e">
        <f t="shared" si="1"/>
        <v>#VALUE!</v>
      </c>
      <c r="AB4" s="11" t="e">
        <f t="shared" si="2"/>
        <v>#VALUE!</v>
      </c>
      <c r="AC4" s="7">
        <f t="shared" si="3"/>
        <v>45.612889858233373</v>
      </c>
      <c r="AD4" s="7">
        <f t="shared" si="4"/>
        <v>134.31334622823985</v>
      </c>
      <c r="AE4" s="73">
        <f t="shared" si="5"/>
        <v>0.1158739993491702</v>
      </c>
      <c r="AF4" s="74">
        <v>0.24</v>
      </c>
    </row>
    <row r="5" spans="1:32" s="51" customFormat="1" hidden="1" x14ac:dyDescent="0.2">
      <c r="A5" s="5" t="s">
        <v>51</v>
      </c>
      <c r="B5" s="51" t="s">
        <v>13</v>
      </c>
      <c r="C5" s="51" t="s">
        <v>38</v>
      </c>
      <c r="D5" s="51" t="s">
        <v>17</v>
      </c>
      <c r="E5" s="52">
        <v>0.20630000000000001</v>
      </c>
      <c r="F5" s="51">
        <v>1243</v>
      </c>
      <c r="G5" s="51">
        <v>2080500000</v>
      </c>
      <c r="H5" s="51">
        <v>1342665816</v>
      </c>
      <c r="I5" s="51">
        <v>208050000</v>
      </c>
      <c r="J5" s="51">
        <v>158349003</v>
      </c>
      <c r="K5" s="51">
        <v>5879618</v>
      </c>
      <c r="L5" s="51">
        <v>0</v>
      </c>
      <c r="M5" s="51">
        <v>281642050</v>
      </c>
      <c r="N5" s="51">
        <v>213342050</v>
      </c>
      <c r="O5" s="51">
        <v>68300000</v>
      </c>
      <c r="P5" s="51">
        <v>456192134</v>
      </c>
      <c r="Q5" s="51">
        <v>1225</v>
      </c>
      <c r="R5" s="51">
        <v>1225</v>
      </c>
      <c r="S5" s="51">
        <v>672</v>
      </c>
      <c r="T5" s="51">
        <v>1238400000</v>
      </c>
      <c r="U5" s="51">
        <v>755</v>
      </c>
      <c r="V5" s="51">
        <v>405</v>
      </c>
      <c r="W5" s="51">
        <v>838</v>
      </c>
      <c r="X5" s="10">
        <f t="shared" si="0"/>
        <v>298495202.60000002</v>
      </c>
      <c r="Y5" s="10" t="e">
        <f t="shared" ref="Y5:Y7" si="6">C5*$AF$4/360*SUM(O5:P5)*(15.5/30)</f>
        <v>#VALUE!</v>
      </c>
      <c r="Z5" s="10" t="e">
        <f t="shared" ref="Z5" si="7">Y5+Z4</f>
        <v>#VALUE!</v>
      </c>
      <c r="AA5" s="10" t="e">
        <f t="shared" si="1"/>
        <v>#VALUE!</v>
      </c>
      <c r="AB5" s="11" t="e">
        <f t="shared" si="2"/>
        <v>#VALUE!</v>
      </c>
      <c r="AC5" s="7">
        <f t="shared" si="3"/>
        <v>62.588560143198094</v>
      </c>
      <c r="AD5" s="7">
        <f t="shared" si="4"/>
        <v>184.28571428571431</v>
      </c>
      <c r="AE5" s="73">
        <f t="shared" si="5"/>
        <v>0.10254364335496274</v>
      </c>
    </row>
    <row r="6" spans="1:32" s="51" customFormat="1" hidden="1" x14ac:dyDescent="0.2">
      <c r="A6" s="5" t="s">
        <v>52</v>
      </c>
      <c r="B6" s="51" t="s">
        <v>13</v>
      </c>
      <c r="C6" s="51" t="s">
        <v>39</v>
      </c>
      <c r="D6" s="51" t="s">
        <v>17</v>
      </c>
      <c r="E6" s="52">
        <v>0.20630000000000001</v>
      </c>
      <c r="F6" s="51">
        <v>1243</v>
      </c>
      <c r="G6" s="51">
        <v>2685400000</v>
      </c>
      <c r="H6" s="51">
        <v>1779468951</v>
      </c>
      <c r="I6" s="51">
        <v>268540000</v>
      </c>
      <c r="J6" s="51">
        <v>213343758</v>
      </c>
      <c r="K6" s="51">
        <v>8998366</v>
      </c>
      <c r="L6" s="51">
        <v>0</v>
      </c>
      <c r="M6" s="51">
        <v>349154216</v>
      </c>
      <c r="N6" s="51">
        <v>271902650</v>
      </c>
      <c r="O6" s="51">
        <v>77251566</v>
      </c>
      <c r="P6" s="51">
        <v>556776833</v>
      </c>
      <c r="Q6" s="51">
        <v>1710</v>
      </c>
      <c r="R6" s="51">
        <v>1710</v>
      </c>
      <c r="S6" s="51">
        <v>715</v>
      </c>
      <c r="T6" s="51">
        <v>1843300000</v>
      </c>
      <c r="U6" s="51">
        <v>851</v>
      </c>
      <c r="V6" s="51">
        <v>484</v>
      </c>
      <c r="W6" s="51">
        <v>759</v>
      </c>
      <c r="X6" s="10">
        <f t="shared" si="0"/>
        <v>400289019.10000002</v>
      </c>
      <c r="Y6" s="10" t="e">
        <f t="shared" si="6"/>
        <v>#VALUE!</v>
      </c>
      <c r="Z6" s="10" t="e">
        <f>Y6+Z5</f>
        <v>#VALUE!</v>
      </c>
      <c r="AA6" s="10" t="e">
        <f t="shared" si="1"/>
        <v>#VALUE!</v>
      </c>
      <c r="AB6" s="11" t="e">
        <f t="shared" si="2"/>
        <v>#VALUE!</v>
      </c>
      <c r="AC6" s="7">
        <f t="shared" si="3"/>
        <v>83.534703425559954</v>
      </c>
      <c r="AD6" s="7">
        <f t="shared" si="4"/>
        <v>257.80419580419579</v>
      </c>
      <c r="AE6" s="73">
        <f t="shared" si="5"/>
        <v>0.10125219706561406</v>
      </c>
    </row>
    <row r="7" spans="1:32" s="51" customFormat="1" hidden="1" x14ac:dyDescent="0.2">
      <c r="A7" s="5" t="s">
        <v>53</v>
      </c>
      <c r="B7" s="51" t="s">
        <v>13</v>
      </c>
      <c r="C7" s="51" t="s">
        <v>40</v>
      </c>
      <c r="D7" s="51" t="s">
        <v>17</v>
      </c>
      <c r="E7" s="52">
        <v>0.20630000000000001</v>
      </c>
      <c r="F7" s="51">
        <v>1243</v>
      </c>
      <c r="G7" s="51">
        <v>3247400000</v>
      </c>
      <c r="H7" s="51">
        <v>2253533604</v>
      </c>
      <c r="I7" s="51">
        <v>324740000</v>
      </c>
      <c r="J7" s="51">
        <v>281838037</v>
      </c>
      <c r="K7" s="51">
        <v>11394079</v>
      </c>
      <c r="L7" s="51">
        <v>0</v>
      </c>
      <c r="M7" s="51">
        <v>420338127</v>
      </c>
      <c r="N7" s="51">
        <v>336388128</v>
      </c>
      <c r="O7" s="51">
        <v>83949999</v>
      </c>
      <c r="P7" s="51">
        <v>573528269</v>
      </c>
      <c r="Q7" s="51">
        <v>2074</v>
      </c>
      <c r="R7" s="51">
        <v>2074</v>
      </c>
      <c r="S7" s="51">
        <v>730</v>
      </c>
      <c r="T7" s="51">
        <v>2405300000</v>
      </c>
      <c r="U7" s="51">
        <v>909</v>
      </c>
      <c r="V7" s="51">
        <v>556</v>
      </c>
      <c r="W7" s="51">
        <v>687</v>
      </c>
      <c r="X7" s="10">
        <f t="shared" si="0"/>
        <v>518585476.39999998</v>
      </c>
      <c r="Y7" s="10" t="e">
        <f t="shared" si="6"/>
        <v>#VALUE!</v>
      </c>
      <c r="Z7" s="10" t="e">
        <f>Y7+Z6</f>
        <v>#VALUE!</v>
      </c>
      <c r="AA7" s="10" t="e">
        <f t="shared" si="1"/>
        <v>#VALUE!</v>
      </c>
      <c r="AB7" s="11" t="e">
        <f t="shared" si="2"/>
        <v>#VALUE!</v>
      </c>
      <c r="AC7" s="7">
        <f t="shared" si="3"/>
        <v>95.702804657933044</v>
      </c>
      <c r="AD7" s="7">
        <f t="shared" si="4"/>
        <v>329.49315068493149</v>
      </c>
      <c r="AE7" s="73">
        <f t="shared" si="5"/>
        <v>0.10358690891174478</v>
      </c>
    </row>
    <row r="8" spans="1:32" hidden="1" x14ac:dyDescent="0.2"/>
    <row r="9" spans="1:32" hidden="1" x14ac:dyDescent="0.2"/>
    <row r="10" spans="1:32" hidden="1" x14ac:dyDescent="0.2"/>
    <row r="11" spans="1:32" hidden="1" x14ac:dyDescent="0.2"/>
    <row r="12" spans="1:32" hidden="1" x14ac:dyDescent="0.2"/>
    <row r="13" spans="1:32" hidden="1" x14ac:dyDescent="0.2"/>
    <row r="14" spans="1:32" x14ac:dyDescent="0.2">
      <c r="F14" s="5" t="s">
        <v>45</v>
      </c>
    </row>
    <row r="15" spans="1:32" x14ac:dyDescent="0.2">
      <c r="B15" s="5" t="s">
        <v>43</v>
      </c>
      <c r="C15" s="5" t="s">
        <v>44</v>
      </c>
    </row>
    <row r="16" spans="1:32" s="68" customFormat="1" ht="48" x14ac:dyDescent="0.2">
      <c r="B16" s="68" t="s">
        <v>21</v>
      </c>
      <c r="C16" s="68" t="s">
        <v>20</v>
      </c>
      <c r="D16" s="68" t="s">
        <v>0</v>
      </c>
      <c r="E16" s="68" t="s">
        <v>19</v>
      </c>
      <c r="F16" s="68" t="s">
        <v>1</v>
      </c>
      <c r="G16" s="68" t="s">
        <v>2</v>
      </c>
      <c r="H16" s="68" t="s">
        <v>3</v>
      </c>
      <c r="I16" s="68" t="s">
        <v>4</v>
      </c>
      <c r="J16" s="68" t="s">
        <v>5</v>
      </c>
      <c r="K16" s="68" t="s">
        <v>6</v>
      </c>
      <c r="L16" s="68" t="s">
        <v>7</v>
      </c>
      <c r="M16" s="68" t="s">
        <v>8</v>
      </c>
      <c r="N16" s="68" t="s">
        <v>9</v>
      </c>
      <c r="O16" s="68" t="s">
        <v>10</v>
      </c>
      <c r="P16" s="68" t="s">
        <v>11</v>
      </c>
      <c r="Q16" s="69" t="s">
        <v>22</v>
      </c>
      <c r="R16" s="69" t="s">
        <v>22</v>
      </c>
      <c r="S16" s="69" t="s">
        <v>23</v>
      </c>
      <c r="T16" s="68" t="s">
        <v>24</v>
      </c>
      <c r="U16" s="68" t="s">
        <v>12</v>
      </c>
      <c r="V16" s="68" t="s">
        <v>25</v>
      </c>
      <c r="W16" s="69" t="s">
        <v>26</v>
      </c>
      <c r="X16" s="70" t="s">
        <v>27</v>
      </c>
      <c r="Y16" s="70" t="s">
        <v>28</v>
      </c>
      <c r="Z16" s="70" t="s">
        <v>29</v>
      </c>
      <c r="AA16" s="70" t="s">
        <v>30</v>
      </c>
      <c r="AB16" s="71" t="s">
        <v>31</v>
      </c>
      <c r="AC16" s="69" t="s">
        <v>32</v>
      </c>
      <c r="AD16" s="69" t="s">
        <v>33</v>
      </c>
      <c r="AE16" s="72" t="s">
        <v>35</v>
      </c>
      <c r="AF16" s="68" t="s">
        <v>34</v>
      </c>
    </row>
    <row r="17" spans="2:31" x14ac:dyDescent="0.2">
      <c r="B17" s="75">
        <v>2203</v>
      </c>
      <c r="C17" s="75">
        <v>30</v>
      </c>
      <c r="D17" s="75" t="s">
        <v>17</v>
      </c>
      <c r="E17" s="52">
        <v>0.20630000000000001</v>
      </c>
      <c r="F17" s="75">
        <v>718</v>
      </c>
      <c r="G17" s="75">
        <v>589600000</v>
      </c>
      <c r="H17" s="75">
        <v>273474200</v>
      </c>
      <c r="I17" s="75">
        <v>58960000</v>
      </c>
      <c r="J17" s="75">
        <v>32244400</v>
      </c>
      <c r="K17" s="75">
        <v>401436</v>
      </c>
      <c r="L17" s="75">
        <v>0</v>
      </c>
      <c r="M17" s="75">
        <v>115897500</v>
      </c>
      <c r="N17" s="75">
        <v>73200000</v>
      </c>
      <c r="O17" s="75">
        <v>42697500</v>
      </c>
      <c r="P17" s="75">
        <v>200228300</v>
      </c>
      <c r="Q17" s="75">
        <v>140</v>
      </c>
      <c r="R17" s="75">
        <v>140</v>
      </c>
      <c r="S17" s="75">
        <v>116</v>
      </c>
      <c r="T17" s="75">
        <v>117100000</v>
      </c>
      <c r="U17" s="75">
        <v>233</v>
      </c>
      <c r="V17" s="75">
        <v>110</v>
      </c>
      <c r="W17" s="75">
        <v>608</v>
      </c>
      <c r="X17" s="10">
        <f>J17+K17+H17*(I17/G17)</f>
        <v>59993256</v>
      </c>
      <c r="Y17" s="10">
        <f>C17*$AF$4/360*SUM(O17:P17)*(15.5/30)</f>
        <v>2510233.2666666666</v>
      </c>
      <c r="Z17" s="10">
        <f>Y17</f>
        <v>2510233.2666666666</v>
      </c>
      <c r="AA17" s="10">
        <f>X17-Z17-N17*0.9</f>
        <v>-8396977.2666666657</v>
      </c>
      <c r="AB17" s="53">
        <f t="shared" ref="AB17:AB20" si="8">AA17/F17/2100/6.5</f>
        <v>-0.85677321687906638</v>
      </c>
      <c r="AC17" s="7">
        <f t="shared" ref="AC17:AC20" si="9">(O17+P17)/W17/10000</f>
        <v>39.954901315789471</v>
      </c>
      <c r="AD17" s="7">
        <f t="shared" ref="AD17:AD20" si="10">T17/S17/10000</f>
        <v>100.94827586206897</v>
      </c>
      <c r="AE17" s="73">
        <f t="shared" ref="AE17:AE20" si="11">N17/G17</f>
        <v>0.12415196743554953</v>
      </c>
    </row>
    <row r="18" spans="2:31" x14ac:dyDescent="0.2">
      <c r="B18" s="75">
        <v>2203</v>
      </c>
      <c r="C18" s="75">
        <v>60</v>
      </c>
      <c r="D18" s="75" t="s">
        <v>17</v>
      </c>
      <c r="E18" s="52">
        <v>0.20630000000000001</v>
      </c>
      <c r="F18" s="75">
        <v>718</v>
      </c>
      <c r="G18" s="75">
        <v>825100000</v>
      </c>
      <c r="H18" s="75">
        <v>493530200</v>
      </c>
      <c r="I18" s="75">
        <v>82510000</v>
      </c>
      <c r="J18" s="75">
        <v>58286206</v>
      </c>
      <c r="K18" s="75">
        <v>1222061</v>
      </c>
      <c r="L18" s="75">
        <v>0</v>
      </c>
      <c r="M18" s="75">
        <v>128660000</v>
      </c>
      <c r="N18" s="75">
        <v>100735000</v>
      </c>
      <c r="O18" s="75">
        <v>27925000</v>
      </c>
      <c r="P18" s="75">
        <v>202909800</v>
      </c>
      <c r="Q18" s="75">
        <v>377</v>
      </c>
      <c r="R18" s="75">
        <v>377</v>
      </c>
      <c r="S18" s="75">
        <v>298</v>
      </c>
      <c r="T18" s="75">
        <v>352600000</v>
      </c>
      <c r="U18" s="75">
        <v>388</v>
      </c>
      <c r="V18" s="75">
        <v>175</v>
      </c>
      <c r="W18" s="75">
        <v>543</v>
      </c>
      <c r="X18" s="10">
        <f>J18+K18+H18*(I18/G18)</f>
        <v>108861287</v>
      </c>
      <c r="Y18" s="10">
        <f>C18*$AF$4/360*SUM(O18:P18)*(15.5/30)</f>
        <v>4770585.8666666662</v>
      </c>
      <c r="Z18" s="10">
        <f>Y18</f>
        <v>4770585.8666666662</v>
      </c>
      <c r="AA18" s="10">
        <f>X18-Z18-N18*0.9</f>
        <v>13429201.13333334</v>
      </c>
      <c r="AB18" s="53">
        <f t="shared" ref="AB18" si="12">AA18/F18/2100/6.5</f>
        <v>1.3702287727747344</v>
      </c>
      <c r="AC18" s="7">
        <f t="shared" ref="AC18" si="13">(O18+P18)/W18/10000</f>
        <v>42.511012891344386</v>
      </c>
      <c r="AD18" s="7">
        <f t="shared" ref="AD18" si="14">T18/S18/10000</f>
        <v>118.3221476510067</v>
      </c>
      <c r="AE18" s="73">
        <f t="shared" ref="AE18" si="15">N18/G18</f>
        <v>0.12208823172948734</v>
      </c>
    </row>
    <row r="19" spans="2:31" x14ac:dyDescent="0.2">
      <c r="B19" s="75">
        <v>2203</v>
      </c>
      <c r="C19" s="75">
        <v>90</v>
      </c>
      <c r="D19" s="75" t="s">
        <v>17</v>
      </c>
      <c r="E19" s="52">
        <v>0.20630000000000001</v>
      </c>
      <c r="F19" s="75">
        <v>718</v>
      </c>
      <c r="G19" s="75">
        <v>1089700000</v>
      </c>
      <c r="H19" s="75">
        <v>691407900</v>
      </c>
      <c r="I19" s="75">
        <v>108970000</v>
      </c>
      <c r="J19" s="75">
        <v>82599385</v>
      </c>
      <c r="K19" s="75">
        <v>2126705</v>
      </c>
      <c r="L19" s="75">
        <v>0</v>
      </c>
      <c r="M19" s="75">
        <v>167635000</v>
      </c>
      <c r="N19" s="75">
        <v>123285000</v>
      </c>
      <c r="O19" s="75">
        <v>44350000</v>
      </c>
      <c r="P19" s="75">
        <v>230657100</v>
      </c>
      <c r="Q19" s="75">
        <v>624</v>
      </c>
      <c r="R19" s="75">
        <v>624</v>
      </c>
      <c r="S19" s="75">
        <v>375</v>
      </c>
      <c r="T19" s="75">
        <v>617200000</v>
      </c>
      <c r="U19" s="75">
        <v>449</v>
      </c>
      <c r="V19" s="75">
        <v>227</v>
      </c>
      <c r="W19" s="75">
        <v>491</v>
      </c>
      <c r="X19" s="10">
        <f>J19+K19+H19*(I19/G19)</f>
        <v>153866880</v>
      </c>
      <c r="Y19" s="10">
        <f>C19*$AF$4/360*SUM(O19:P19)*(15.5/30)</f>
        <v>8525220.0999999996</v>
      </c>
      <c r="Z19" s="10">
        <f>Y19</f>
        <v>8525220.0999999996</v>
      </c>
      <c r="AA19" s="10">
        <f>X19-Z19-N19*0.9</f>
        <v>34385159.900000006</v>
      </c>
      <c r="AB19" s="53">
        <f t="shared" ref="AB19" si="16">AA19/F19/2100/6.5</f>
        <v>3.5084391829155068</v>
      </c>
      <c r="AC19" s="7">
        <f t="shared" ref="AC19" si="17">(O19+P19)/W19/10000</f>
        <v>56.009592668024439</v>
      </c>
      <c r="AD19" s="7">
        <f t="shared" ref="AD19" si="18">T19/S19/10000</f>
        <v>164.58666666666667</v>
      </c>
      <c r="AE19" s="73">
        <f t="shared" ref="AE19" si="19">N19/G19</f>
        <v>0.11313664311278333</v>
      </c>
    </row>
    <row r="20" spans="2:31" x14ac:dyDescent="0.2">
      <c r="B20" s="75">
        <v>2203</v>
      </c>
      <c r="C20" s="75">
        <v>120</v>
      </c>
      <c r="D20" s="75" t="s">
        <v>17</v>
      </c>
      <c r="E20" s="52">
        <v>0.20630000000000001</v>
      </c>
      <c r="F20" s="75">
        <v>718</v>
      </c>
      <c r="G20" s="75">
        <v>1409100000</v>
      </c>
      <c r="H20" s="75">
        <v>923757933</v>
      </c>
      <c r="I20" s="75">
        <v>140910000</v>
      </c>
      <c r="J20" s="75">
        <v>112004714</v>
      </c>
      <c r="K20" s="75">
        <v>2998995</v>
      </c>
      <c r="L20" s="75">
        <v>0</v>
      </c>
      <c r="M20" s="75">
        <v>202030833</v>
      </c>
      <c r="N20" s="75">
        <v>158610000</v>
      </c>
      <c r="O20" s="75">
        <v>43420833</v>
      </c>
      <c r="P20" s="75">
        <v>283311234</v>
      </c>
      <c r="Q20" s="75">
        <v>885</v>
      </c>
      <c r="R20" s="75">
        <v>885</v>
      </c>
      <c r="S20" s="75">
        <v>396</v>
      </c>
      <c r="T20" s="75">
        <v>936600000</v>
      </c>
      <c r="U20" s="75">
        <v>503</v>
      </c>
      <c r="V20" s="75">
        <v>274</v>
      </c>
      <c r="W20" s="75">
        <v>444</v>
      </c>
      <c r="X20" s="10">
        <f>J20+K20+H20*(I20/G20)</f>
        <v>207379502.30000001</v>
      </c>
      <c r="Y20" s="10">
        <f>C20*$AF$4/360*SUM(O20:P20)*(15.5/30)</f>
        <v>13504925.435999999</v>
      </c>
      <c r="Z20" s="10">
        <f>Y20+Z17</f>
        <v>16015158.702666666</v>
      </c>
      <c r="AA20" s="10">
        <f t="shared" ref="AA20" si="20">X20-Z20-N20*0.9</f>
        <v>48615343.597333342</v>
      </c>
      <c r="AB20" s="53">
        <f t="shared" si="8"/>
        <v>4.9603950327357573</v>
      </c>
      <c r="AC20" s="7">
        <f t="shared" si="9"/>
        <v>73.588303378378384</v>
      </c>
      <c r="AD20" s="7">
        <f t="shared" si="10"/>
        <v>236.5151515151515</v>
      </c>
      <c r="AE20" s="73">
        <f t="shared" si="11"/>
        <v>0.11256120928252075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pull data</vt:lpstr>
      <vt:lpstr>ltv</vt:lpstr>
      <vt:lpstr>verification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2022-08-13T05:22:00Z</dcterms:created>
  <dcterms:modified xsi:type="dcterms:W3CDTF">2022-09-26T10:12:23Z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1033-4.6.0.7435</vt:lpwstr>
  </property>
  <property fmtid="{D5CDD505-2E9C-101B-9397-08002B2CF9AE}" pid="3" name="ICV">
    <vt:lpwstr>5AA66E406DDAE471A32C18635221474E</vt:lpwstr>
  </property>
</Properties>
</file>