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gabri\PycharmProjects\Klar\Embassador\"/>
    </mc:Choice>
  </mc:AlternateContent>
  <xr:revisionPtr revIDLastSave="0" documentId="13_ncr:1_{9D2795B6-8874-4935-A701-E6ABEC89E497}" xr6:coauthVersionLast="47" xr6:coauthVersionMax="47" xr10:uidLastSave="{00000000-0000-0000-0000-000000000000}"/>
  <bookViews>
    <workbookView xWindow="2985" yWindow="2985" windowWidth="38700" windowHeight="15375" xr2:uid="{00000000-000D-0000-FFFF-FFFF00000000}"/>
  </bookViews>
  <sheets>
    <sheet name="Main D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26" i="1" l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<sst xmlns="http://schemas.openxmlformats.org/spreadsheetml/2006/main" count="3964" uniqueCount="1942">
  <si>
    <t>Submission Date</t>
  </si>
  <si>
    <t>source</t>
  </si>
  <si>
    <t>uuid</t>
  </si>
  <si>
    <t>¿A quién te gustaría ver en una campaña representando a Klar? Selecciona de 3 a 5 opciones:</t>
  </si>
  <si>
    <t>¿Quién te transmite mayor CONFIANZA? Selecciona de 3 a 5 opciones:</t>
  </si>
  <si>
    <t>¿Quién te transmite mayor RESPETO? Selecciona de 3 a 5 opciones:</t>
  </si>
  <si>
    <t>¿Quién te parece más ACCESIBLE? Selecciona de 3 a 5 opciones:</t>
  </si>
  <si>
    <t>¿Quién te transmite mayor SENTIDO DE COMUNIDAD? Selecciona de 3 a 5 opciones:</t>
  </si>
  <si>
    <t>¿Quieres proponer alguna opción diferente?</t>
  </si>
  <si>
    <t>Submission ID</t>
  </si>
  <si>
    <t>Martha Higareda
Christian Nodal
Natalia Lafourcade</t>
  </si>
  <si>
    <t>Eugenio Derbéz
Luisito Comunica
Martha Higareda</t>
  </si>
  <si>
    <t>Eugenio Derbéz
Miguel Layun
Paola Rojas</t>
  </si>
  <si>
    <t>Luisito Comunica
Martha Higareda
Natalia Lafourcade</t>
  </si>
  <si>
    <t>Eugenio Derbéz
Natalia Lafourcade
Miguel Layun</t>
  </si>
  <si>
    <t>Chumel Torres
Martha Higareda
Danna Paola</t>
  </si>
  <si>
    <t>Luisito Comunica
Martha Higareda
José Eduardo Derbéz</t>
  </si>
  <si>
    <t>test</t>
  </si>
  <si>
    <t>Luisito Comunica
Chucky Lozano
Eugenio Derbéz</t>
  </si>
  <si>
    <t>Luisito Comunica
Paola Rojas
Chumel Torres</t>
  </si>
  <si>
    <t>Marco Antonio Solis
Christian Nodal
Danna Paola</t>
  </si>
  <si>
    <t>Luisito Comunica
Chucky Lozano
Marco Antonio Solis</t>
  </si>
  <si>
    <t>Eugenio Derbéz
Luisito Comunica
Danna Paola</t>
  </si>
  <si>
    <t>email1</t>
  </si>
  <si>
    <t>d0656686-69b2-4a0e-9d49-573e04771736</t>
  </si>
  <si>
    <t>Eugenio Derbéz
Luisito Comunica
José Eduardo Derbéz</t>
  </si>
  <si>
    <t>Eugenio Derbéz
Diego Luna
Chumel Torres</t>
  </si>
  <si>
    <t>Martha Higareda
Luisito Comunica
Paola Rojas</t>
  </si>
  <si>
    <t>Diego Luna
Luisito Comunica
Paola Rojas</t>
  </si>
  <si>
    <t>email2</t>
  </si>
  <si>
    <t>Luisito Comunica
Paola Rojas
Danna Paola</t>
  </si>
  <si>
    <t>Luisito Comunica
Chucky Lozano
José Eduardo Derbéz</t>
  </si>
  <si>
    <t>Christian Nodal
Kim Loaiza
Luisito Comunica</t>
  </si>
  <si>
    <t>Kim Loaiza
Paola Rojas
Natalia Lafourcade</t>
  </si>
  <si>
    <t>Luis Miguel
Luisito Comunica
Christian Nodal</t>
  </si>
  <si>
    <t>2e5a4f8d-89a5-4e32-bfc9-549bea4056d7</t>
  </si>
  <si>
    <t>Chumel Torres
Eugenio Derbéz
Luis Miguel</t>
  </si>
  <si>
    <t>Eugenio Derbéz
Paola Rojas
Martha Higareda</t>
  </si>
  <si>
    <t>Luisito Comunica
Martha Higareda
Chucky Lozano</t>
  </si>
  <si>
    <t>Luisito Comunica
Eugenio Derbéz
Chumel Torres</t>
  </si>
  <si>
    <t>bb0533ec-e9b7-4d7d-b60d-7bcbc5bd353f</t>
  </si>
  <si>
    <t>Luisito Comunica
José Eduardo Derbéz
Danna Paola</t>
  </si>
  <si>
    <t>José Eduardo Derbéz
Paola Rojas
Diego Luna</t>
  </si>
  <si>
    <t>Luis Miguel
Paola Rojas
Marco Antonio Solis</t>
  </si>
  <si>
    <t>Luisito Comunica
Martha Higareda
Miguel Layun</t>
  </si>
  <si>
    <t>Miguel Layun
Eugenio Derbéz
José Eduardo Derbéz</t>
  </si>
  <si>
    <t>No</t>
  </si>
  <si>
    <t>c77cd0fc-3a19-4eb4-b560-2c6084265cdc</t>
  </si>
  <si>
    <t>Christian Nodal
Kim Loaiza
Danna Paola</t>
  </si>
  <si>
    <t>Luisito Comunica
Eugenio Derbéz
Marco Antonio Solis</t>
  </si>
  <si>
    <t>Christian Nodal
Eugenio Derbéz
Marco Antonio Solis</t>
  </si>
  <si>
    <t>Danna Paola
Eugenio Derbéz
Marco Antonio Solis</t>
  </si>
  <si>
    <t>Luisito Comunica
Danna Paola
Kim Loaiza</t>
  </si>
  <si>
    <t>6558e56f-8a2a-4775-9085-3660b2b4b351</t>
  </si>
  <si>
    <t>Eugenio Derbéz
Chumel Torres
Luis Miguel</t>
  </si>
  <si>
    <t>Luis Miguel
Eugenio Derbéz
Chumel Torres</t>
  </si>
  <si>
    <t>Diego Luna
Eugenio Derbéz
Luis Miguel</t>
  </si>
  <si>
    <t>Eugenio Derbéz
Diego Luna
Luis Miguel</t>
  </si>
  <si>
    <t>462b143f-d9ec-42bc-a44b-ed3e3707e204</t>
  </si>
  <si>
    <t>Christian Nodal
Marco Antonio Solis
Capi Perez</t>
  </si>
  <si>
    <t>Christian Nodal
Miguel Layun
Capi Pérez</t>
  </si>
  <si>
    <t>Miguel Layun
Christian Nodal
Capi Pérez</t>
  </si>
  <si>
    <t>Eugenio Derbéz
Chucky Lozano
Christian Nodal</t>
  </si>
  <si>
    <t>Miguel Layun
Christian Nodal
Chucky Lozano</t>
  </si>
  <si>
    <t>Ninguno</t>
  </si>
  <si>
    <t>6a5b67d1-863a-4f01-92ec-4a2f702440fa</t>
  </si>
  <si>
    <t>Eugenio Derbéz
Luis Miguel
Marco Antonio Solis</t>
  </si>
  <si>
    <t>Luis Miguel
Eugenio Derbéz
Marco Antonio Solis</t>
  </si>
  <si>
    <t>Eugenio Derbéz
Luis Miguel
Paola Rojas
Marco Antonio Solis
Diego Luna</t>
  </si>
  <si>
    <t>Eugenio Derbéz
Diego Luna
Luis Miguel
José Eduardo Derbéz
Marco Antonio Solis</t>
  </si>
  <si>
    <t>Eugenio Derbéz
José Eduardo Derbéz
Luis Miguel
Marco Antonio Solis
Diego Luna</t>
  </si>
  <si>
    <t>b17c0947-37ee-4dbb-87b2-fbd3e5a6895e</t>
  </si>
  <si>
    <t>Luis Miguel
Eugenio Derbéz
Luisito Comunica</t>
  </si>
  <si>
    <t>Luis Miguel
Luisito Comunica
Eugenio Derbéz</t>
  </si>
  <si>
    <t>Marco Antonio Solis
Luis Miguel
Eugenio Derbéz</t>
  </si>
  <si>
    <t>Eugenio Derbéz
Luisito Comunica
Diego Luna</t>
  </si>
  <si>
    <t>18016e0a-cdff-4b85-b4eb-f3e3abde621d</t>
  </si>
  <si>
    <t>Luisito Comunica
Martha Higareda
Eugenio Derbéz</t>
  </si>
  <si>
    <t>Chumel Torres
José Eduardo Derbéz
Martha Higareda</t>
  </si>
  <si>
    <t>Chumel Torres
José Eduardo Derbéz
Luisito Comunica
Danna Paola</t>
  </si>
  <si>
    <t>8f099fa6-4d1e-4114-a08e-46560334226e</t>
  </si>
  <si>
    <t>Eugenio Derbéz
Marco Antonio Solis
Paola Rojas</t>
  </si>
  <si>
    <t>Eugenio Derbéz
Paola Rojas
Marco Antonio Solis</t>
  </si>
  <si>
    <t>Paola Rojas
Eugenio Derbéz
Marco Antonio Solis</t>
  </si>
  <si>
    <t>b32a3cd3-541a-4b04-b09a-bf97cd70bbf1</t>
  </si>
  <si>
    <t>Luisito Comunica
Kim Loaiza
Danna Paola</t>
  </si>
  <si>
    <t>Eugenio Derbéz
Luisito Comunica
Kim Loaiza</t>
  </si>
  <si>
    <t>Kim Loaiza
Danna Paola
Eugenio Derbéz</t>
  </si>
  <si>
    <t>Eugenio Derbéz
Danna Paola
Kim Loaiza</t>
  </si>
  <si>
    <t>a2e19299-6c29-4268-8b75-e81340e4ed83</t>
  </si>
  <si>
    <t>Kim Loaiza
Eugenio Derbéz
Paola Rojas</t>
  </si>
  <si>
    <t>Luisito Comunica
Danna Paola
Paola Rojas</t>
  </si>
  <si>
    <t>Luisito Comunica
Eugenio Derbéz
Paola Rojas</t>
  </si>
  <si>
    <t>Danna Paola
Eugenio Derbéz
Paola Rojas</t>
  </si>
  <si>
    <t>71eaf051-c8f4-4b98-a97c-7a109afbcca5</t>
  </si>
  <si>
    <t>Danna Paola
Eugenio Derbéz
Martha Higareda</t>
  </si>
  <si>
    <t>Marco Antonio Solis
Martha Higareda
Diego Luna</t>
  </si>
  <si>
    <t>Luis Miguel
Martha Higareda
Diego Luna</t>
  </si>
  <si>
    <t>Eugenio Derbéz
Natalia Lafourcade
Martha Higareda</t>
  </si>
  <si>
    <t>Eugenio Derbéz
Martha Higareda
Marco Antonio Solis</t>
  </si>
  <si>
    <t>Ninguna</t>
  </si>
  <si>
    <t>4e80ddc4-da8f-4eb3-8245-4ad4cdedf47a</t>
  </si>
  <si>
    <t>Eugenio Derbéz
Danna Paola
Christian Nodal</t>
  </si>
  <si>
    <t>Christian Nodal
Chucky Lozano
Danna Paola</t>
  </si>
  <si>
    <t>Eugenio Derbéz
Danna Paola
Chucky Lozano</t>
  </si>
  <si>
    <t>Eugenio Derbéz
Chucky Lozano
Diego Luna</t>
  </si>
  <si>
    <t>4d26319c-5d5a-43ca-a8cd-4f202a944dfd</t>
  </si>
  <si>
    <t>Natalia Lafourcade
Miguel Layun
Martha Higareda</t>
  </si>
  <si>
    <t>Natalia Lafourcade
Martha Higareda
Miguel Layun</t>
  </si>
  <si>
    <t>Eugenio Derbéz
Martha Higareda
Natalia Lafourcade</t>
  </si>
  <si>
    <t>Natalia Lafourcade
Martha Higareda
Eugenio Derbéz</t>
  </si>
  <si>
    <t>dddf3c28-192a-4bca-a9f3-3d5a149c9096</t>
  </si>
  <si>
    <t>Martha Higareda
Paola Rojas
Danna Paola</t>
  </si>
  <si>
    <t>Paola Rojas
Martha Higareda
Danna Paola</t>
  </si>
  <si>
    <t>Martha Higareda
Danna Paola
Paola Rojas</t>
  </si>
  <si>
    <t>a11f6aa9-9d48-44ff-8cd9-71c78fcf8391</t>
  </si>
  <si>
    <t>Eugenio Derbéz
Danna Paola
José Eduardo Derbéz</t>
  </si>
  <si>
    <t>Danna Paola
Eugenio Derbéz
José Eduardo Derbéz</t>
  </si>
  <si>
    <t>Danna Paola
José Eduardo Derbéz
Eugenio Derbéz</t>
  </si>
  <si>
    <t>c1b8596b-a469-497a-9641-4f2e44ce66df</t>
  </si>
  <si>
    <t>Eugenio Derbéz
José Eduardo Derbéz
Natalia Lafourcade</t>
  </si>
  <si>
    <t>Natalia Lafourcade
Eugenio Derbéz
José Eduardo Derbéz</t>
  </si>
  <si>
    <t>Natalia Lafourcade
José Eduardo Derbéz
Eugenio Derbéz</t>
  </si>
  <si>
    <t>José Eduardo Derbéz
Eugenio Derbéz
Natalia Lafourcade</t>
  </si>
  <si>
    <t>820ba193-b25f-4eae-8481-c82ba6aade09</t>
  </si>
  <si>
    <t>Luis Miguel
Paola Rojas
Diego Luna</t>
  </si>
  <si>
    <t>Paola Rojas
Luis Miguel
Diego Luna</t>
  </si>
  <si>
    <t>Luis Miguel
Diego Luna
Paola Rojas</t>
  </si>
  <si>
    <t>41af7301-48ac-437c-b1b3-deb34bbb9fd4</t>
  </si>
  <si>
    <t>Martha Higareda
Eugenio Derbéz
Paola Rojas</t>
  </si>
  <si>
    <t>Paola Rojas
Eugenio Derbéz
Martha Higareda</t>
  </si>
  <si>
    <t>Eugenio Derbéz
Martha Higareda
Paola Rojas</t>
  </si>
  <si>
    <t>Paola Rojas
Martha Higareda
Eugenio Derbéz</t>
  </si>
  <si>
    <t>0155d415-59f5-467d-99e1-6ab7cc0c35e1</t>
  </si>
  <si>
    <t>Chucky Lozano
Christian Nodal
Miguel Layun</t>
  </si>
  <si>
    <t>Kim Loaiza
Chucky Lozano
Miguel Layun</t>
  </si>
  <si>
    <t>Miguel Layun
Kim Loaiza
Christian Nodal
Chucky Lozano</t>
  </si>
  <si>
    <t>Jonathan rodriguez</t>
  </si>
  <si>
    <t>0955dfa8-bf03-49c0-9ee4-a8b0834dcffe</t>
  </si>
  <si>
    <t>Danna Paola
Natalia Lafourcade
Kim Loaiza
Luis Miguel
Luisito Comunica</t>
  </si>
  <si>
    <t>Luisito Comunica
Kim Loaiza
Natalia Lafourcade</t>
  </si>
  <si>
    <t>Natalia Lafourcade
Luis Miguel
Luisito Comunica</t>
  </si>
  <si>
    <t>NO</t>
  </si>
  <si>
    <t>9bc27d94-3d38-45fe-98db-a1c7bda609e1</t>
  </si>
  <si>
    <t>Luisito Comunica
Eugenio Derbéz
Martha Higareda
Christian Nodal
Danna Paola</t>
  </si>
  <si>
    <t>Martha Higareda
Eugenio Derbéz
Luisito Comunica</t>
  </si>
  <si>
    <t>Luisito Comunica
Eugenio Derbéz
Martha Higareda</t>
  </si>
  <si>
    <t>Luisito Comunica
Kim Loaiza
Paola Rojas</t>
  </si>
  <si>
    <t>3c3f54e8-00c4-4db0-a997-aa75d1aa8db6</t>
  </si>
  <si>
    <t>Paola Rojas
Diego Luna
Danny Kino</t>
  </si>
  <si>
    <t>Paola Rojas
Marco Antonio Solis
Diego Luna
Danny Kino</t>
  </si>
  <si>
    <t>Paola Rojas
Diego Luna
Marco Antonio Solis
Danny Kino</t>
  </si>
  <si>
    <t>Martha Higareda
Paola Rojas
José Eduardo Derbéz
Diego Luna
Danny Kino</t>
  </si>
  <si>
    <t>Paola Rojas
Natalia Lafourcade
Luisito Comunica
Diego Luna
Danny Kino</t>
  </si>
  <si>
    <t>Danny Kino</t>
  </si>
  <si>
    <t>7687ca2e-dbcf-4e95-b6a7-cdba88bafaec</t>
  </si>
  <si>
    <t>Eugenio Derbéz
Paola Rojas
Diego Luna</t>
  </si>
  <si>
    <t>Martha Higareda
Eugenio Derbéz
Diego Luna</t>
  </si>
  <si>
    <t>000bfab1-229e-41c9-8e0f-51a0667bd89c</t>
  </si>
  <si>
    <t>Kim Loaiza
José Eduardo Derbéz
Chucky Lozano</t>
  </si>
  <si>
    <t>Chucky Lozano
José Eduardo Derbéz
Kim Loaiza</t>
  </si>
  <si>
    <t>Luisito Comunica
Eugenio Derbéz
Chucky Lozano</t>
  </si>
  <si>
    <t>Eugenio Derbéz
Miguel Layun
Chucky Lozano</t>
  </si>
  <si>
    <t>Eugenio Derbéz
José Eduardo Derbéz
Chucky Lozano</t>
  </si>
  <si>
    <t>Ok</t>
  </si>
  <si>
    <t>7efb151d-9961-4de6-b5ec-4ac13bbac13a</t>
  </si>
  <si>
    <t>Miguel Layun
Luisito Comunica
Eugenio Derbéz
Paola Rojas</t>
  </si>
  <si>
    <t>Eugenio Derbéz
Luisito Comunica
Paola Rojas</t>
  </si>
  <si>
    <t>Luisito Comunica
José Eduardo Derbéz
Paola Rojas</t>
  </si>
  <si>
    <t>Carlos Rivera</t>
  </si>
  <si>
    <t>f4cfdd35-39ef-4a2b-8e1e-8d68e05c8b87</t>
  </si>
  <si>
    <t>Martha Higareda
Luis Miguel
Chucky Lozano</t>
  </si>
  <si>
    <t>Chucky Lozano
Luis Miguel
Martha Higareda</t>
  </si>
  <si>
    <t>Martha Higareda
Chucky Lozano
Luis Miguel</t>
  </si>
  <si>
    <t>Christian Nodal
Luisito Comunica
Diego Luna</t>
  </si>
  <si>
    <t>Diego Luna
Martha Higareda
Chucky Lozano</t>
  </si>
  <si>
    <t>3dabfb85-cd85-46ae-ac2b-d1018338ea80</t>
  </si>
  <si>
    <t>Natalia Lafourcade
Christian Nodal
Marco Antonio Solis</t>
  </si>
  <si>
    <t>Martha Higareda
Diego Luna
Marco Antonio Solis</t>
  </si>
  <si>
    <t>Christian Nodal
Eugenio Derbéz
Martha Higareda</t>
  </si>
  <si>
    <t>Natalia Lafourcade
Danna Paola
Martha Higareda</t>
  </si>
  <si>
    <t>Chucky Lozano
Luisito Comunica
Marco Antonio Solis</t>
  </si>
  <si>
    <t>fed78e88-a191-4e1e-a459-eaf58039b47d</t>
  </si>
  <si>
    <t>Marco Antonio Solis
Eugenio Derbéz
Paola Rojas</t>
  </si>
  <si>
    <t>Eugenio Derbéz
José Eduardo Derbéz
Marco Antonio Solis
Paola Rojas
Christian Nodal</t>
  </si>
  <si>
    <t>Eugenio Derbéz
Marco Antonio Solis
Paola Rojas
Christian Nodal
Martha Higareda</t>
  </si>
  <si>
    <t>1c100309-dbef-4335-8a6b-2ed1dfb3bed5</t>
  </si>
  <si>
    <t>Martha Higareda
Miguel Layun
Luis Miguel</t>
  </si>
  <si>
    <t>Paola Rojas
Marco Antonio Solis
Martha Higareda</t>
  </si>
  <si>
    <t>Eugenio Derbéz
Martha Higareda
Diego Luna</t>
  </si>
  <si>
    <t>Christian Nodal
Eugenio Derbéz
Marco Antonio Solis
Martha Higareda
Paola Rojas</t>
  </si>
  <si>
    <t>5b4966b5-fa51-4d57-88c1-48a3bf6c2358</t>
  </si>
  <si>
    <t>Danna Paola
Luisito Comunica
Paola Rojas</t>
  </si>
  <si>
    <t>Luisito Comunica
Paola Rojas
Diego Luna</t>
  </si>
  <si>
    <t>Luisito Comunica
Chumel Torres
Paola Rojas</t>
  </si>
  <si>
    <t>68427d23-19e1-4680-941d-7ba3b9390ba8</t>
  </si>
  <si>
    <t>Paola Rojas
Luisito Comunica
Martha Higareda</t>
  </si>
  <si>
    <t>Luisito Comunica
Miguel Layun
Paola Rojas</t>
  </si>
  <si>
    <t>Luisito Comunica
Paola Rojas
Miguel Layun</t>
  </si>
  <si>
    <t>Luisito Comunica
Paola Rojas
Martha Higareda</t>
  </si>
  <si>
    <t>94d3445e-4c80-4eaf-a0df-3f3c59854ba9</t>
  </si>
  <si>
    <t>Eugenio Derbéz
Danna Paola
Natalia Lafourcade
Martha Higareda
Chucky Lozano</t>
  </si>
  <si>
    <t>Eugenio Derbéz
Natalia Lafourcade
Chucky Lozano
Martha Higareda
Diego Luna</t>
  </si>
  <si>
    <t>Miguel Layun
Martha Higareda
Eugenio Derbéz
Natalia Lafourcade
Chucky Lozano</t>
  </si>
  <si>
    <t>Eugenio Derbéz
Martha Higareda
Diego Luna
Miguel Layun
Chucky Lozano</t>
  </si>
  <si>
    <t>Eugenio Derbéz
Martha Higareda
Natalia Lafourcade
Miguel Layun
Chucky Lozano</t>
  </si>
  <si>
    <t>7a67d9f4-e28a-4ad6-bbd3-8dd4e27fe892</t>
  </si>
  <si>
    <t>Eugenio Derbéz
Danna Paola
Chumel Torres</t>
  </si>
  <si>
    <t>Danna Paola
Eugenio Derbéz
Chumel Torres</t>
  </si>
  <si>
    <t>Luisito Comunica
Eugenio Derbéz
Danna Paola</t>
  </si>
  <si>
    <t>Eugenio Derbéz
Chumel Torres
Paola Rojas</t>
  </si>
  <si>
    <t>513120fa-0bdf-421c-9b3f-1a14099c6e28</t>
  </si>
  <si>
    <t>Luis Miguel
Kim Loaiza
Diego Luna</t>
  </si>
  <si>
    <t>Kim Loaiza
Luis Miguel
Marco Antonio Solis</t>
  </si>
  <si>
    <t>Eugenio Derbéz
José Eduardo Derbéz
Diego Luna</t>
  </si>
  <si>
    <t>Eugenio Derbéz
Kim Loaiza
Chucky Lozano</t>
  </si>
  <si>
    <t>Kim Loaiza
Luisito Comunica
Chucky Lozano</t>
  </si>
  <si>
    <t>Batman</t>
  </si>
  <si>
    <t>76d338f7-3ce1-4872-bda8-12b0c8bc5540</t>
  </si>
  <si>
    <t>Eugenio Derbéz
Luisito Comunica
Danna Paola
Christian Nodal
Kim Loaiza</t>
  </si>
  <si>
    <t>Martha Higareda
Luisito Comunica
Christian Nodal
Eugenio Derbéz</t>
  </si>
  <si>
    <t>Christian Nodal
Martha Higareda
José Eduardo Derbéz</t>
  </si>
  <si>
    <t>Luisito Comunica
Eugenio Derbéz
Diego Luna
Martha Higareda</t>
  </si>
  <si>
    <t>20160fa5-76ab-4976-8f71-ebfdca17e6f8</t>
  </si>
  <si>
    <t>José Eduardo Derbéz
Luisito Comunica
Eugenio Derbéz</t>
  </si>
  <si>
    <t>Luisito Comunica
Chumel Torres
Chucky Lozano</t>
  </si>
  <si>
    <t>Luisito Comunica
Eugenio Derbéz
Chumel Torres
Luis Miguel
Marco Antonio Solis</t>
  </si>
  <si>
    <t>Luisito Comunica
Eugenio Derbéz
José Eduardo Derbéz</t>
  </si>
  <si>
    <t>dbb8cb76-32df-4db1-8c60-21cb06012fda</t>
  </si>
  <si>
    <t>Eugenio Derbéz
José Eduardo Derbéz
Martha Higareda</t>
  </si>
  <si>
    <t>Diego Luna
Eugenio Derbéz
Martha Higareda</t>
  </si>
  <si>
    <t>8b947733-e011-4e5f-a3d4-02e92b62ac51</t>
  </si>
  <si>
    <t>Chucky Lozano
Martha Higareda
Diego Luna</t>
  </si>
  <si>
    <t>Marco Antonio Solis
Martha Higareda
Chucky Lozano</t>
  </si>
  <si>
    <t>Chucky Lozano
Paola Rojas
Diego Luna</t>
  </si>
  <si>
    <t>Diego Luna
Chucky Lozano
Martha Higareda</t>
  </si>
  <si>
    <t>Paola Rojas
Chucky Lozano
Diego Luna</t>
  </si>
  <si>
    <t>81481c62-4adf-45b0-ab8b-71ac1c7d6691</t>
  </si>
  <si>
    <t>Diego Luna
Luis Miguel
Marco Antonio Solis</t>
  </si>
  <si>
    <t>Marco Antonio Solis
Luis Miguel
Diego Luna</t>
  </si>
  <si>
    <t>Luis Miguel
Marco Antonio Solis
Diego Luna</t>
  </si>
  <si>
    <t>Diego Luna
Marco Antonio Solis
Luis Miguel</t>
  </si>
  <si>
    <t>74ffa536-e244-4339-a4a7-16f74e0baf78</t>
  </si>
  <si>
    <t>Luis Miguel
Natalia Lafourcade
Diego Luna</t>
  </si>
  <si>
    <t>Martha Higareda
Luis Miguel
Diego Luna</t>
  </si>
  <si>
    <t>Luisito Comunica
Chumel Torres
José Eduardo Derbéz</t>
  </si>
  <si>
    <t>Luisito Comunica
Chumel Torres
Martha Higareda
ni idea</t>
  </si>
  <si>
    <t>Creo deberian hacer campaña con mas youtubers que solo unos cuantos. luisito tendra muchos pero esa cantidad podria ser con mas youtuber de otro tipo de contenido.</t>
  </si>
  <si>
    <t>d286a7a3-c3f1-4029-a707-32aacd9557d6</t>
  </si>
  <si>
    <t>Luisito Comunica
Eugenio Derbéz
Miguel Layun</t>
  </si>
  <si>
    <t>Miguel Layun
Luisito Comunica
Eugenio Derbéz</t>
  </si>
  <si>
    <t>3dbfabe1-2c9b-4e6e-a9cb-4e630f5ff798</t>
  </si>
  <si>
    <t>Eugenio Derbéz
Christian Nodal
Danna Paola</t>
  </si>
  <si>
    <t>Danna Paola
Eugenio Derbéz
Christian Nodal</t>
  </si>
  <si>
    <t>3f761cde-5aab-4731-b7df-7076f8949377</t>
  </si>
  <si>
    <t>Luisito Comunica
Diego Luna
Natalia Lafourcade</t>
  </si>
  <si>
    <t>Luisito Comunica
Luis Miguel
Diego Luna</t>
  </si>
  <si>
    <t>Luisito Comunica
Eugenio Derbéz
Diego Luna</t>
  </si>
  <si>
    <t>Luisito Comunica
Christian Nodal
Diego Luna</t>
  </si>
  <si>
    <t>NOELIA</t>
  </si>
  <si>
    <t>b4adf4fc-ea29-43c3-a14b-9d639c714310</t>
  </si>
  <si>
    <t>Martha Higareda
Natalia Lafourcade
Diego Luna</t>
  </si>
  <si>
    <t>Natalia Lafourcade
Martha Higareda
Diego Luna</t>
  </si>
  <si>
    <t>Paola Rojas
Natalia Lafourcade
Martha Higareda</t>
  </si>
  <si>
    <t>Natalia Lafourcade
Paola Rojas
Martha Higareda</t>
  </si>
  <si>
    <t>44f476b1-020f-4f16-bfd1-d04fe08504fb</t>
  </si>
  <si>
    <t>Eugenio Derbéz
Danna Paola
Marco Antonio Solis</t>
  </si>
  <si>
    <t>65c5dd79-077c-4c59-95a2-2d338b82a868</t>
  </si>
  <si>
    <t>Eugenio Derbéz
Chumel Torres
mia khalifa</t>
  </si>
  <si>
    <t>Martha Higareda
Chumel Torres
mia khalifa</t>
  </si>
  <si>
    <t>Eugenio Derbéz
Chumel Torres
Danna Paola</t>
  </si>
  <si>
    <t>Eugenio Derbéz
Martha Higareda
mia khalifa</t>
  </si>
  <si>
    <t>mia khalifa</t>
  </si>
  <si>
    <t>7d4cb186-6f26-42a8-b7d3-ede3a126c229</t>
  </si>
  <si>
    <t>Eugenio Derbéz
Luisito Comunica
José Eduardo Derbéz
Martha Higareda
Christian Nodal</t>
  </si>
  <si>
    <t>Eugenio Derbéz
Luisito Comunica
Christian Nodal
José Eduardo Derbéz
Martha Higareda</t>
  </si>
  <si>
    <t>Luisito Comunica
Eugenio Derbéz
Martha Higareda
Christian Nodal
José Eduardo Derbéz</t>
  </si>
  <si>
    <t>Luisito Comunica
Eugenio Derbéz
Martha Higareda
José Eduardo Derbéz
Chumel Torres</t>
  </si>
  <si>
    <t>Eugenio Derbéz
Luisito Comunica
José Eduardo Derbéz
Christian Nodal
Martha Higareda</t>
  </si>
  <si>
    <t>666b6bfe-a2da-4d33-85f7-8a4eedff7dca</t>
  </si>
  <si>
    <t>Marco Antonio Solis
Martha Higareda
Luis Miguel</t>
  </si>
  <si>
    <t>Marco Antonio Solis
Diego Luna
Luis Miguel</t>
  </si>
  <si>
    <t>Martha Higareda
Marco Antonio Solis
Diego Luna</t>
  </si>
  <si>
    <t>Guillermo Ochoa</t>
  </si>
  <si>
    <t>80d373be-703a-4c83-b83f-d64b157c935e</t>
  </si>
  <si>
    <t>Marco Antonio Solis
Martha Higareda
Paola Rojas
Luis Miguel
Danna Paola</t>
  </si>
  <si>
    <t>Danna Paola
Paola Rojas
Marco Antonio Solis</t>
  </si>
  <si>
    <t>Paola Rojas
Danna Paola
Marco Antonio Solis</t>
  </si>
  <si>
    <t>Diego Luna
Martha Higareda
Paola Rojas
Marco Antonio Solis
Danna Paola</t>
  </si>
  <si>
    <t>Marco Antonio Solis
Danna Paola
Paola Rojas</t>
  </si>
  <si>
    <t>MANUEL MIJARES</t>
  </si>
  <si>
    <t>6c59f6df-5ec3-43cf-8694-3837c5a5a213</t>
  </si>
  <si>
    <t>Eugenio Derbéz
Christian Nodal
José Eduardo Derbéz</t>
  </si>
  <si>
    <t>José Eduardo Derbéz
Eugenio Derbéz
Christian Nodal</t>
  </si>
  <si>
    <t>Eugenio Derbéz
José Eduardo Derbéz
Christian Nodal</t>
  </si>
  <si>
    <t>José Eduardo Derbéz
Christian Nodal
Eugenio Derbéz</t>
  </si>
  <si>
    <t>Voto por Eugenio Derbes</t>
  </si>
  <si>
    <t>1416b901-fa3b-490f-9f3a-1adee547f6c7</t>
  </si>
  <si>
    <t>Natalia Lafourcade
José Eduardo Derbéz
Luis Miguel
Danna Paola
Diego Luna</t>
  </si>
  <si>
    <t>Danna Paola
Natalia Lafourcade
Diego Luna</t>
  </si>
  <si>
    <t>Marco Antonio Solis
Natalia Lafourcade
Diego Luna</t>
  </si>
  <si>
    <t>Danna Paola
José Eduardo Derbéz
Diego Luna</t>
  </si>
  <si>
    <t>55592936-4654-4281-bcb2-f829b8386601</t>
  </si>
  <si>
    <t>Paola Rojas
Eugenio Derbéz
Christian Nodal</t>
  </si>
  <si>
    <t>Eugenio Derbéz
Christian Nodal
Paola Rojas</t>
  </si>
  <si>
    <t>Eugenio Derbéz
Paola Rojas
Christian Nodal</t>
  </si>
  <si>
    <t>Paola Rojas
Christian Nodal
Eugenio Derbéz</t>
  </si>
  <si>
    <t>24512e41-5b1f-46ef-8c67-5c585eabfcde</t>
  </si>
  <si>
    <t>Paola Rojas
Eugenio Derbéz
Martha Higareda
Miguel Layun
Chucky Lozano</t>
  </si>
  <si>
    <t>Eugenio Derbéz
Chucky Lozano
Paola Rojas
Martha Higareda
Miguel Layun</t>
  </si>
  <si>
    <t>Eugenio Derbéz
Martha Higareda
Miguel Layun
Chucky Lozano
Paola Rojas</t>
  </si>
  <si>
    <t>Eugenio Derbéz
Martha Higareda
Paola Rojas
Miguel Layun
Chucky Lozano</t>
  </si>
  <si>
    <t>Eugenio Derbéz
Paola Rojas
Martha Higareda
Miguel Layun
Chucky Lozano</t>
  </si>
  <si>
    <t>Erika Buenfil</t>
  </si>
  <si>
    <t>bc8675bb-9c5a-436a-9dc8-4b09b88234f5</t>
  </si>
  <si>
    <t>Natalia Lafourcade
Martha Higareda
Paola Rojas</t>
  </si>
  <si>
    <t>Martha Higareda
Natalia Lafourcade
Paola Rojas</t>
  </si>
  <si>
    <t>Martha Higareda
Paola Rojas
Natalia Lafourcade</t>
  </si>
  <si>
    <t>48e6f218-ad45-4ebd-bf1d-980540cabfe3</t>
  </si>
  <si>
    <t>Martha Higareda
Luisito Comunica
José Eduardo Derbéz</t>
  </si>
  <si>
    <t>Eugenio Derbéz
Martha Higareda
José Eduardo Derbéz</t>
  </si>
  <si>
    <t>af08604a-ec81-4fb0-9ccf-dba430869d88</t>
  </si>
  <si>
    <t>Danna Paola
Marco Antonio Solis
Eugenio Derbéz</t>
  </si>
  <si>
    <t>Eugenio Derbéz
Danna Paola
Diego Luna</t>
  </si>
  <si>
    <t>Danna Paola
Eugenio Derbéz
Diego Luna</t>
  </si>
  <si>
    <t>Eugenio Derbéz
Diego Luna
Danna Paola</t>
  </si>
  <si>
    <t>Andrea legarreta</t>
  </si>
  <si>
    <t>da406fbe-bd70-4379-9483-8389eba3d36f</t>
  </si>
  <si>
    <t>Luisito Comunica
Eugenio Derbéz
Christian Nodal
Missasinfonia</t>
  </si>
  <si>
    <t>Eugenio Derbéz
Luisito Comunica
Christian Nodal
El Ded</t>
  </si>
  <si>
    <t>Luisito Comunica
Eugenio Derbéz
Christian Nodal
El Ded</t>
  </si>
  <si>
    <t>Luisito Comunica
Danna Paola
Eugenio Derbéz
El Ded</t>
  </si>
  <si>
    <t>Luisito Comunica
Marco Antonio Solis
Luis Miguel
Eugenio Derbéz</t>
  </si>
  <si>
    <t>42d17a2c-d276-44d5-8f84-d9c34c7db8e9</t>
  </si>
  <si>
    <t>Yordi Rosado</t>
  </si>
  <si>
    <t>7b533f49-5e4c-4893-975b-abf7e9165a0b</t>
  </si>
  <si>
    <t>Martha Higareda
Kim Loaiza
Danna Paola</t>
  </si>
  <si>
    <t>Danna Paola
Kim Loaiza
Martha Higareda</t>
  </si>
  <si>
    <t>Martha Higareda
Paola Rojas
Kim Loaiza</t>
  </si>
  <si>
    <t>Martha Higareda
Kim Loaiza
Paola Rojas</t>
  </si>
  <si>
    <t>Paola Rojas
Kim Loaiza
Martha Higareda</t>
  </si>
  <si>
    <t>Belinda Pelegrin</t>
  </si>
  <si>
    <t>1ec05135-2efe-44d3-8e1a-f11c890166b4</t>
  </si>
  <si>
    <t>Martha Higareda
Christian Nodal
Paola Rojas</t>
  </si>
  <si>
    <t>Paola Rojas
Martha Higareda
Christian Nodal</t>
  </si>
  <si>
    <t>Luisito Comunica
Paola Rojas
Christian Nodal</t>
  </si>
  <si>
    <t>Marco Antonio Solis
Christian Nodal
Paola Rojas</t>
  </si>
  <si>
    <t>Paola Castillo</t>
  </si>
  <si>
    <t>814b1783-6144-425c-9600-bfefad8e15ef</t>
  </si>
  <si>
    <t>Luisito Comunica
Martha Higareda
Danna Paola</t>
  </si>
  <si>
    <t>Luisito Comunica
Christian Nodal
Danna Paola</t>
  </si>
  <si>
    <t>Danna Paola
Christian Nodal
Luisito Comunica</t>
  </si>
  <si>
    <t>Eugenio Derbéz
Luisito Comunica
Natalia Lafourcade</t>
  </si>
  <si>
    <t>Eder hernandes team costeño</t>
  </si>
  <si>
    <t>c561497f-a960-4fa5-b3d1-cb834894f647</t>
  </si>
  <si>
    <t>Danna Paola
Christian Nodal
Luis Miguel</t>
  </si>
  <si>
    <t>Luis Miguel
Danna Paola
Christian Nodal</t>
  </si>
  <si>
    <t>Christian Nodal
Luis Miguel
Danna Paola</t>
  </si>
  <si>
    <t>Luis Miguel
Christian Nodal
Danna Paola</t>
  </si>
  <si>
    <t>ff771933-b824-4d6f-8314-a107ea987fb8</t>
  </si>
  <si>
    <t>Luisito Comunica
Kim Loaiza
José Eduardo Derbéz</t>
  </si>
  <si>
    <t>Luisito Comunica
José Eduardo Derbéz
Kim Loaiza</t>
  </si>
  <si>
    <t>41182d1c-7dc0-4c14-811e-27008b9ce4e0</t>
  </si>
  <si>
    <t>Diego Luna
Danna Paola
Natalia Lafourcade</t>
  </si>
  <si>
    <t>Natalia Lafourcade
Paola Rojas
Danna Paola</t>
  </si>
  <si>
    <t>Danna Paola
Paola Rojas
Natalia Lafourcade</t>
  </si>
  <si>
    <t>Diego Luna
Natalia Lafourcade
Paola Rojas</t>
  </si>
  <si>
    <t>Luisito Comunica
Natalia Lafourcade
Diego Luna</t>
  </si>
  <si>
    <t>bc17514b-d47a-4ccd-9e2b-c7e992b164c7</t>
  </si>
  <si>
    <t>Luisito Comunica
Eugenio Derbéz
Kim Loaiza</t>
  </si>
  <si>
    <t>Natalia Lafourcade
Luisito Comunica
Eugenio Derbéz</t>
  </si>
  <si>
    <t>Eugenio Derbéz
Luisito Comunica
Luis Miguel</t>
  </si>
  <si>
    <t>Luisito Comunica
Marco Antonio Solis
Eugenio Derbéz</t>
  </si>
  <si>
    <t>e257b249-c14a-4e27-834c-ad9a2d03c7b4</t>
  </si>
  <si>
    <t>Paola Rojas
Diego Luna
ALEX MONTIEL GUTIERREZ (ESCORPION DORADO)</t>
  </si>
  <si>
    <t>Paola Rojas
Diego Luna
Alex Montiel Gutiérrez (Escorpión Dorado)</t>
  </si>
  <si>
    <t>ALEX MONTIEL GUTIERREZ (ESCORPION DORADO)</t>
  </si>
  <si>
    <t>c8a669f3-d9cb-4a07-8ade-3820b0ffba49</t>
  </si>
  <si>
    <t>Luisito Comunica
Marco Antonio Solis
Christian Nodal
Chucky Lozano</t>
  </si>
  <si>
    <t>Luisito Comunica
Eugenio Derbéz
Christian Nodal</t>
  </si>
  <si>
    <t>e95d3fb8-4025-4e60-a2b9-de714271088b</t>
  </si>
  <si>
    <t>Luisito Comunica
Eugenio Derbéz
EL FEDELOBO</t>
  </si>
  <si>
    <t>cfc74dce-d931-466c-aa7c-e697835a5854</t>
  </si>
  <si>
    <t>Eugenio Derbéz
Diego Luna
Marco Antonio Solis</t>
  </si>
  <si>
    <t>Diego Luna
Luisito Comunica
Natalia Lafourcade</t>
  </si>
  <si>
    <t>Luisito Comunica
José Eduardo Derbéz
Miguel Layun</t>
  </si>
  <si>
    <t>8f627cda-4b2b-4a1c-a12b-74b5e1d86216</t>
  </si>
  <si>
    <t>Luisito Comunica
Martha Higareda
Kim Loaiza
Natalia Lafourcade</t>
  </si>
  <si>
    <t>Paola Rojas
Luisito Comunica
Natalia Lafourcade</t>
  </si>
  <si>
    <t>Eugenio Derbéz
Paola Rojas
Natalia Lafourcade</t>
  </si>
  <si>
    <t>José Eduardo Derbéz
Eugenio Derbéz
Martha Higareda</t>
  </si>
  <si>
    <t>ba94979a-882f-4fab-85f2-00e5f266b8b3</t>
  </si>
  <si>
    <t>Christian Nodal
Natalia Lafourcade
Luisito Comunica
Kim Loaiza
Martha Higareda</t>
  </si>
  <si>
    <t>Luisito Comunica
Martha Higareda
Kim Loaiza</t>
  </si>
  <si>
    <t>Luisito Comunica
Martha Higareda
Marco Antonio Solis</t>
  </si>
  <si>
    <t>Luisito Comunica
Kim Loaiza
Martha Higareda</t>
  </si>
  <si>
    <t>24224e3d-8954-4e9a-af30-071cf8567935</t>
  </si>
  <si>
    <t>Luisito Comunica
Eugenio Derbéz
Martha Higareda
Chucky Lozano</t>
  </si>
  <si>
    <t>Chucky Lozano
Eugenio Derbéz
Luisito Comunica</t>
  </si>
  <si>
    <t>Luisito Comunica
Chucky Lozano
Miguel Layun</t>
  </si>
  <si>
    <t>Chucky Lozano
Luisito Comunica
Martha Higareda</t>
  </si>
  <si>
    <t>8d406cdd-5542-4690-a7c9-cdf65d989da7</t>
  </si>
  <si>
    <t>Martha Higareda
Miguel Layun
Kim Loaiza
Natalia Lafourcade
Diego Luna</t>
  </si>
  <si>
    <t>Danna Paola
Miguel Layun
Natalia Lafourcade</t>
  </si>
  <si>
    <t>Diego Luna
Natalia Lafourcade
Miguel Layun</t>
  </si>
  <si>
    <t>89e32542-9f69-4d05-a755-730ba7557ef2</t>
  </si>
  <si>
    <t>Eugenio Derbéz
Martha Higareda
Danna Paola</t>
  </si>
  <si>
    <t>Eugenio Derbéz
Danna Paola
Martha Higareda</t>
  </si>
  <si>
    <t>Martha Higareda
Eugenio Derbéz
Danna Paola</t>
  </si>
  <si>
    <t>b6646cba-e152-4f5f-9470-40ff0d6346a9</t>
  </si>
  <si>
    <t>Luisito Comunica
José Eduardo Derbéz
Eugenio Derbéz</t>
  </si>
  <si>
    <t>Eugenio Derbéz
Paola Rojas
Marco Antonio Solis
José Eduardo Derbéz</t>
  </si>
  <si>
    <t>No. Así están bien</t>
  </si>
  <si>
    <t>ba8d622c-c199-437a-afbe-888ae6001a80</t>
  </si>
  <si>
    <t>José Eduardo Derbéz
Martha Higareda
Danna Paola</t>
  </si>
  <si>
    <t>Danna Paola
Martha Higareda
Natalia Lafourcade
Marco Antonio Solis</t>
  </si>
  <si>
    <t>José Eduardo Derbéz
Marco Antonio Solis
Martha Higareda</t>
  </si>
  <si>
    <t>Danna Paola
Marco Antonio Solis
Martha Higareda</t>
  </si>
  <si>
    <t>f50c1983-1cb6-4646-b435-fe3978911759</t>
  </si>
  <si>
    <t>Luisito Comunica
José Eduardo Derbéz
Christian Nodal</t>
  </si>
  <si>
    <t>Luisito Comunica
José Eduardo Derbéz
Martha Higareda</t>
  </si>
  <si>
    <t>Paola Rojas
Luisito Comunica
José Eduardo Derbéz</t>
  </si>
  <si>
    <t>d8c15048-32ce-4c92-b7d2-a2f719065632</t>
  </si>
  <si>
    <t>Danna Paola
Christian Nodal
Marco Antonio Solis</t>
  </si>
  <si>
    <t>Christian Nodal
Paola Rojas
Martha Higareda</t>
  </si>
  <si>
    <t>Diego Luna
Marco Antonio Solis
Eugenio Derbéz</t>
  </si>
  <si>
    <t>3fc258bf-7886-4261-b6ff-d134093fe63d</t>
  </si>
  <si>
    <t>Martha Higareda
Paola Rojas
Diego Luna</t>
  </si>
  <si>
    <t>Paola Rojas
Martha Higareda
Diego Luna</t>
  </si>
  <si>
    <t>Martha de baile</t>
  </si>
  <si>
    <t>ac6ecae4-cb16-4252-87c6-c0122832b392</t>
  </si>
  <si>
    <t>Martha Higareda
José Eduardo Derbéz
Eugenio Derbéz</t>
  </si>
  <si>
    <t>Alexandra rosado</t>
  </si>
  <si>
    <t>72957b7e-d2f1-4790-bd0e-82240a8cccf8</t>
  </si>
  <si>
    <t>Eugenio Derbéz
Christian Nodal
Martha Higareda</t>
  </si>
  <si>
    <t>José Eduardo Derbéz
Eugenio Derbéz
Danna Paola</t>
  </si>
  <si>
    <t>89dcc8e9-2af8-495e-a101-ce24f5b2e5d6</t>
  </si>
  <si>
    <t>Eugenio Derbéz
Christian Nodal
Luis Miguel</t>
  </si>
  <si>
    <t>Eugenio Derbéz
Luisito Comunica
Chumel Torres</t>
  </si>
  <si>
    <t>Martha Higareda
Chumel Torres
Christian Nodal</t>
  </si>
  <si>
    <t>a8623940-19b4-426d-8e35-427b02babae5</t>
  </si>
  <si>
    <t>Martha Higareda
Eugenio Derbéz
Christian Nodal</t>
  </si>
  <si>
    <t>NATANAEL CANO</t>
  </si>
  <si>
    <t>12b47323-2026-4dc8-bd10-5a5ec0cac7f3</t>
  </si>
  <si>
    <t>Christian Nodal
Marco Antonio Solis
Eugenio Derbéz
Natalia Lafourcade
Luisito Comunica</t>
  </si>
  <si>
    <t>Natalia Lafourcade
Luisito Comunica
Christian Nodal
Eugenio Derbéz
Marco Antonio Solis</t>
  </si>
  <si>
    <t>Luisito Comunica
Natalia Lafourcade
Marco Antonio Solis
Christian Nodal</t>
  </si>
  <si>
    <t>Eugenio Derbéz
Luisito Comunica
Christian Nodal</t>
  </si>
  <si>
    <t>Luisito Comunica
Eugenio Derbéz
Marco Antonio Solis
Natalia Lafourcade</t>
  </si>
  <si>
    <t>04c44bce-d98f-48a2-8773-92f4d5cc00e0</t>
  </si>
  <si>
    <t>Eugenio Derbéz
Paola Rojas
José Eduardo Derbéz</t>
  </si>
  <si>
    <t>José Eduardo Derbéz
Paola Rojas
Eugenio Derbéz</t>
  </si>
  <si>
    <t>Eugenio Derbéz
José Eduardo Derbéz
Paola Rojas</t>
  </si>
  <si>
    <t>cf070d26-087f-4dca-a631-49922244e9fa</t>
  </si>
  <si>
    <t>Martha Higareda
Miguel Layun
Christian Nodal
Paola Rojas</t>
  </si>
  <si>
    <t>Paola Rojas
Martha Higareda
Miguel Layun</t>
  </si>
  <si>
    <t>Chucky Lozano
Martha Higareda
Paola Rojas</t>
  </si>
  <si>
    <t>Christian Nodal
Chucky Lozano
Martha Higareda</t>
  </si>
  <si>
    <t>Miguel Layun
Paola Rojas
Martha Higareda</t>
  </si>
  <si>
    <t>Nou</t>
  </si>
  <si>
    <t>1f7489f3-0ba8-4888-9509-8027e3e0e581</t>
  </si>
  <si>
    <t>Luisito Comunica
Eugenio Derbéz
Danna Paola
Martha Higareda
Diego Luna</t>
  </si>
  <si>
    <t>Luisito Comunica
Danna Paola
Martha Higareda
Diego Luna
Eugenio Derbéz</t>
  </si>
  <si>
    <t>Eugenio Derbéz
Luisito Comunica
Martha Higareda
Danna Paola
Diego Luna</t>
  </si>
  <si>
    <t>Luisito Comunica
Martha Higareda
Diego Luna
Eugenio Derbéz</t>
  </si>
  <si>
    <t>7f631d90-93d0-4018-a53c-857d0805ab0e</t>
  </si>
  <si>
    <t>Eugenio Derbéz
Danna Paola
Christian Nodal
Diego Luna</t>
  </si>
  <si>
    <t>Eugenio Derbéz
Christian Nodal
Diego Luna</t>
  </si>
  <si>
    <t>Eugenio Derbéz
Marco Antonio Solis
Diego Luna</t>
  </si>
  <si>
    <t>7ca9080f-f685-4592-9750-901b19745f56</t>
  </si>
  <si>
    <t>Luisito Comunica
Eugenio Derbéz
Chucky Lozano
Martha Higareda</t>
  </si>
  <si>
    <t>Martha Higareda
Luisito Comunica
Chucky Lozano</t>
  </si>
  <si>
    <t>No me parecen bien los candidatos</t>
  </si>
  <si>
    <t>7d90f5ea-ca3f-432b-ae9e-62b47a1d340b</t>
  </si>
  <si>
    <t>Paola Rojas
José Eduardo Derbéz
Natalia Lafourcade
Diego Luna</t>
  </si>
  <si>
    <t>Paola Rojas
Natalia Lafourcade
Diego Luna</t>
  </si>
  <si>
    <t>Danna Paola
Paola Rojas
Diego Luna</t>
  </si>
  <si>
    <t>Joaquin Lopez Dorigan</t>
  </si>
  <si>
    <t>eb6d3cbc-0739-45c1-88d4-8100523e8a90</t>
  </si>
  <si>
    <t>Danna Paola
Martha Higareda
Angela Aguilar</t>
  </si>
  <si>
    <t>Christian Nodal
Martha Higareda
Chucky Lozano</t>
  </si>
  <si>
    <t>Christian Nodal
Danna Paola
Martha Higareda</t>
  </si>
  <si>
    <t>Chucky Lozano
Martha Higareda
Danna Paola</t>
  </si>
  <si>
    <t>Martha Higareda
Danna Paola
Chucky Lozano</t>
  </si>
  <si>
    <t>Angela Aguilar</t>
  </si>
  <si>
    <t>ccae2c9a-24a5-4127-8e6f-80854a165dec</t>
  </si>
  <si>
    <t>Martha Higareda
Luisito Comunica
Danna Paola</t>
  </si>
  <si>
    <t>Luisito Comunica
Danna Paola
Martha Higareda</t>
  </si>
  <si>
    <t>José Eduardo Derbéz
Natalia Lafourcade
Marco Antonio Solis</t>
  </si>
  <si>
    <t>Kim Loaiza
Eugenio Derbéz
Danna Paola</t>
  </si>
  <si>
    <t>3c3a7a24-aa3a-4d47-af35-98b099b02995</t>
  </si>
  <si>
    <t>Luisito Comunica
Eugenio Derbéz
Danna Paola
Kim Loaiza</t>
  </si>
  <si>
    <t>c4cb37de-4c32-449a-b92b-85add60eb764</t>
  </si>
  <si>
    <t>Eugenio Derbéz
Diego Luna
Paola Rojas</t>
  </si>
  <si>
    <t>fc50fced-c6d8-4f3c-b55e-a21f1875978e</t>
  </si>
  <si>
    <t>Eugenio Derbéz
José Eduardo Derbéz
Danna Paola</t>
  </si>
  <si>
    <t>5b832a90-5c7b-4149-aa93-1758df2ec8f9</t>
  </si>
  <si>
    <t>Danna Paola
Natalia Lafourcade
Christian Nodal</t>
  </si>
  <si>
    <t>Natalia Lafourcade
Danna Paola
Christian Nodal</t>
  </si>
  <si>
    <t>Marco Antonio Solis
Christian Nodal
Natalia Lafourcade</t>
  </si>
  <si>
    <t>Christian Nodal
Marco Antonio Solis
Diego Luna</t>
  </si>
  <si>
    <t>Marco Antonio Solis
Eugenio Derbéz
Diego Luna</t>
  </si>
  <si>
    <t>?</t>
  </si>
  <si>
    <t>c438271e-2d05-4080-9054-4071015dc34c</t>
  </si>
  <si>
    <t>José Eduardo Derbéz
Miguel Layun
Eugenio Derbéz</t>
  </si>
  <si>
    <t>01dc65b1-8619-4ea0-9660-fc5571d08626</t>
  </si>
  <si>
    <t>Natalia Lafourcade
Danna Paola
Marco Antonio Solis</t>
  </si>
  <si>
    <t>Eugenio Derbéz
Natalia Lafourcade
Marco Antonio Solis</t>
  </si>
  <si>
    <t>Christian Nodal
Luisito Comunica
Danna Paola</t>
  </si>
  <si>
    <t>d49fcdd5-8413-4534-827f-1f17c2b8e9ac</t>
  </si>
  <si>
    <t>Kim Loaiza
Natalia Lafourcade
Paola Rojas</t>
  </si>
  <si>
    <t>Paola Rojas
Martha Higareda
Natalia Lafourcade</t>
  </si>
  <si>
    <t>61fc1638-3d0d-494a-8ae8-496e4fd1afc8</t>
  </si>
  <si>
    <t>Natalia Lafourcade
Marco Antonio Solis
Chumel Torres</t>
  </si>
  <si>
    <t>Paola Rojas
Natalia Lafourcade
Marco Antonio Solis</t>
  </si>
  <si>
    <t>Natalia Lafourcade
Marco Antonio Solis
Paola Rojas</t>
  </si>
  <si>
    <t>Martha Higareda
Paola Rojas
Chumel Torres</t>
  </si>
  <si>
    <t>3af31afc-c330-4983-80b4-f0909cd1a167</t>
  </si>
  <si>
    <t>Eugenio Derbéz
Luisito Comunica
Marco Antonio Solis</t>
  </si>
  <si>
    <t>Luisito Comunica
Danna Paola
Eugenio Derbéz</t>
  </si>
  <si>
    <t>Marco Antonio Solis
Danna Paola
José Eduardo Derbéz</t>
  </si>
  <si>
    <t>dfb66763-3649-4ce1-a299-4918accfe395</t>
  </si>
  <si>
    <t>Martha Higareda
José Eduardo Derbéz
Natalia Lafourcade</t>
  </si>
  <si>
    <t>Natalia Lafourcade
Eugenio Derbéz
Luis Miguel</t>
  </si>
  <si>
    <t>Martha Higareda
José Eduardo Derbéz
Christian Nodal</t>
  </si>
  <si>
    <t>Juanpa  zurita</t>
  </si>
  <si>
    <t>5579e19d-3193-4def-86e1-dddc1c0c71ea</t>
  </si>
  <si>
    <t>Chumel Torres
Luisito Comunica
Martha Higareda</t>
  </si>
  <si>
    <t>Martha Higareda
Luisito Comunica
Paola Rojas
Chumel Torres</t>
  </si>
  <si>
    <t>Paola Rojas
Luisito Comunica
Chumel Torres
Martha Higareda</t>
  </si>
  <si>
    <t>Checo Pérez</t>
  </si>
  <si>
    <t>67d93c55-71f7-4a9d-8bf4-79fcfe2db4c8</t>
  </si>
  <si>
    <t>José Eduardo Derbéz
Martha Higareda
Miguel Layun</t>
  </si>
  <si>
    <t>Martha Higareda
Eugenio Derbéz
José Eduardo Derbéz</t>
  </si>
  <si>
    <t>Maria zel</t>
  </si>
  <si>
    <t>c24eb1a2-c18b-474f-a705-8f4b658a3e86</t>
  </si>
  <si>
    <t>Chucky Lozano
Eugenio Derbéz
Danna Paola</t>
  </si>
  <si>
    <t>Danna Paola
Christian Nodal
Chucky Lozano
Luis Miguel</t>
  </si>
  <si>
    <t>Danna Paola
Chucky Lozano
Natalia Lafourcade</t>
  </si>
  <si>
    <t>José Eduardo Derbéz
Luis Miguel
Christian Nodal</t>
  </si>
  <si>
    <t>Luis Miguel</t>
  </si>
  <si>
    <t>b82b3924-bcbc-4721-a8f0-8be05a9a662f</t>
  </si>
  <si>
    <t>Diego Luna
Luis Miguel
Eugenio Derbéz</t>
  </si>
  <si>
    <t>José Eduardo Derbéz
Eugenio Derbéz
Luisito Comunica</t>
  </si>
  <si>
    <t>José Eduardo Derbéz
Kim Loaiza
Diego Luna</t>
  </si>
  <si>
    <t>32549e07-354a-4dab-b1fa-c5878ace2b6a</t>
  </si>
  <si>
    <t>Danna Paola
José Eduardo Derbéz
Chumel Torres</t>
  </si>
  <si>
    <t>Christian Nodal
Diego Luna
Miguel Layun</t>
  </si>
  <si>
    <t>Marco Antonio Solis
Eugenio Derbéz
Chucky Lozano</t>
  </si>
  <si>
    <t>Christian Nodal
Diego Luna
Eugenio Derbéz</t>
  </si>
  <si>
    <t>1ba727ce-0f85-496a-a5da-fa3bdbeaf002</t>
  </si>
  <si>
    <t>Eugenio Derbéz
Martha Higareda
Miguel Layun</t>
  </si>
  <si>
    <t>Danna Paola
Chucky Lozano
Martha Higareda</t>
  </si>
  <si>
    <t>Luisito Comunica
Danna Paola
Diego Luna</t>
  </si>
  <si>
    <t>Martha Higareda
Kim Loaiza
Paola Rojas
Eugenio Derbéz</t>
  </si>
  <si>
    <t>Chumel Torres
Martha Higareda
Eugenio Derbéz</t>
  </si>
  <si>
    <t>c27c557e-c703-4c36-a32c-9bd2b19798df</t>
  </si>
  <si>
    <t>Eugenio Derbéz
Danna Paola
Chumel Torres
José Eduardo Derbéz</t>
  </si>
  <si>
    <t>Danna Paola
Luis Miguel
Chumel Torres
Chucky Lozano</t>
  </si>
  <si>
    <t>Eugenio Derbéz
Martha Higareda
Christian Nodal</t>
  </si>
  <si>
    <t>Chumel Torres
Paola Rojas
Chucky Lozano</t>
  </si>
  <si>
    <t>Kim Loaiza
Christian Nodal
Martha Higareda</t>
  </si>
  <si>
    <t>ba29a23a-535f-4506-8145-ff0aff32bd4c</t>
  </si>
  <si>
    <t>Danna Paola
Luisito Comunica
Chumel Torres</t>
  </si>
  <si>
    <t>Luisito Comunica
Danna Paola
Chumel Torres</t>
  </si>
  <si>
    <t>Luisito Comunica
Danna Paola
Slobosky</t>
  </si>
  <si>
    <t>Luisito Comunica
Chumel Torres
Slobosky</t>
  </si>
  <si>
    <t>Slobosky</t>
  </si>
  <si>
    <t>5e6df146-7326-45a5-93a3-7d5d9ef8bc43</t>
  </si>
  <si>
    <t>Christian Nodal
Danna Paola
Marco Antonio Solis</t>
  </si>
  <si>
    <t>Eugenio Derbéz
Christian Nodal
Marco Antonio Solis
Danna Paola</t>
  </si>
  <si>
    <t>Christian Nodal
Diego Luna
Danna Paola</t>
  </si>
  <si>
    <t>Eugenio Derbéz
Marco Antonio Solis
Danna Paola</t>
  </si>
  <si>
    <t>d13f5d9f-d2dc-4890-b29a-0e87324bf1e3</t>
  </si>
  <si>
    <t>Christian Nodal
Natalia Lafourcade
Marco Antonio Solis</t>
  </si>
  <si>
    <t>b106046b-0409-4d8c-9ca2-7dc57f3bcbe4</t>
  </si>
  <si>
    <t>Luisito Comunica
Marco Antonio Solis
Eugenio Derbéz
Miguel Layun</t>
  </si>
  <si>
    <t>José Eduardo Derbéz
Miguel Layun
Luis Miguel
Marco Antonio Solis
Diego Luna</t>
  </si>
  <si>
    <t>Miguel Layun
Paola Rojas
Martha Higareda
Marco Antonio Solis
Diego Luna</t>
  </si>
  <si>
    <t>Miguel Layun
Paola Rojas
Luis Miguel
Diego Luna</t>
  </si>
  <si>
    <t>e4836049-e48e-4468-a198-be2d78d9e2c5</t>
  </si>
  <si>
    <t>Marco Antonio Solis
Eugenio Derbéz
Martha Higareda</t>
  </si>
  <si>
    <t>Eugenio Derbéz
Marco Antonio Solis
Luis Miguel</t>
  </si>
  <si>
    <t>Eugenio Derbéz
Chucky Lozano
Miguel Layun</t>
  </si>
  <si>
    <t>62a310a0-f7ce-40d1-8cfc-5867b97529ff</t>
  </si>
  <si>
    <t>Kim Loaiza
Danna Paola
Natalia Lafourcade</t>
  </si>
  <si>
    <t>Danna Paola
Natalia Lafourcade
Kim Loaiza</t>
  </si>
  <si>
    <t>Eugenio Derbéz
Christian Nodal
Marco Antonio Solis</t>
  </si>
  <si>
    <t>213dd728-98b9-47e1-911b-79cbfd67be03</t>
  </si>
  <si>
    <t>Danna Paola
Martha Higareda
Diego Luna</t>
  </si>
  <si>
    <t>Martha Higareda
Diego Luna
Danna Paola</t>
  </si>
  <si>
    <t>Diego Luna
Martha Higareda
Danna Paola</t>
  </si>
  <si>
    <t>Martha Higareda
José Eduardo Derbéz
Diego Luna</t>
  </si>
  <si>
    <t>Martha Higareda
Danna Paola
Diego Luna</t>
  </si>
  <si>
    <t>7b6c3e90-24ab-4a31-8ab2-a7d78969bc30</t>
  </si>
  <si>
    <t>cc09c3aa-ee1c-49fd-99ce-3715192c5ac7</t>
  </si>
  <si>
    <t>Miguel Layun
Natalia Lafourcade
Eugenio Derbéz</t>
  </si>
  <si>
    <t>428eacec-6daf-454e-b23c-7eaef9bdd4a0</t>
  </si>
  <si>
    <t>b86a1e63-2c6c-444d-92bd-d6b2e1bf398d</t>
  </si>
  <si>
    <t>Chumel Torres
Eugenio Derbéz
Danna Paola</t>
  </si>
  <si>
    <t>Danna Paola
Paola Rojas
Martha Higareda</t>
  </si>
  <si>
    <t>Chumel Torres
Martha Higareda
Paola Rojas</t>
  </si>
  <si>
    <t>d56be516-2fff-4bfe-926c-b047ec8d23cc</t>
  </si>
  <si>
    <t>Paola Rojas
Eugenio Derbéz
Natalia Lafourcade</t>
  </si>
  <si>
    <t>0d7e1f30-d7a9-4991-b0ec-d840ca888d3a</t>
  </si>
  <si>
    <t>Danna Paola
Martha Higareda
Natalia Lafourcade</t>
  </si>
  <si>
    <t>Danna Paola
Natalia Lafourcade
Martha Higareda</t>
  </si>
  <si>
    <t>Natalia Lafourcade
Martha Higareda
Danna Paola</t>
  </si>
  <si>
    <t>49d76565-d42f-45cb-a2d4-1aae73655053</t>
  </si>
  <si>
    <t>Luisito Comunica
Miguel Layun
Eugenio Derbéz</t>
  </si>
  <si>
    <t>Kim Loaiza
Luisito Comunica
Martha Higareda</t>
  </si>
  <si>
    <t>cd01857c-d894-4c1c-9da5-7c8086326058</t>
  </si>
  <si>
    <t>Luisito Comunica
Chumel Torres
Martha Higareda</t>
  </si>
  <si>
    <t>Martha Higareda
Luisito Comunica
Chumel Torres</t>
  </si>
  <si>
    <t>Luisito Comunica
Martha Higareda
Chumel Torres</t>
  </si>
  <si>
    <t>8e40a27c-aec5-4a1e-a171-923b74908f67</t>
  </si>
  <si>
    <t>Luis Miguel
Danna Paola
Martha Higareda
Pepe y Teo</t>
  </si>
  <si>
    <t>Danna Paola
Martha Higareda
Pepe y Teo</t>
  </si>
  <si>
    <t>Martha Higareda
Danna Paola
Pepe y Teo</t>
  </si>
  <si>
    <t>Pepe y Teo</t>
  </si>
  <si>
    <t>4a5a329f-ce7a-46e4-8e1a-b4757c68d7e2</t>
  </si>
  <si>
    <t>Diego Luna
Martha Higareda
Natalia Lafourcade</t>
  </si>
  <si>
    <t>Natalia Lafourcade
Luis Miguel
Diego Luna</t>
  </si>
  <si>
    <t>Natalia Lafourcade
Eugenio Derbéz
Diego Luna</t>
  </si>
  <si>
    <t>63af35ed-e4fa-4d1b-8307-d0091ce5a001</t>
  </si>
  <si>
    <t>Luisito Comunica
Martha Higareda
Paola Rojas
Chumel Torres
Danna Paola</t>
  </si>
  <si>
    <t>Paola Rojas
Luisito Comunica
Danna Paola</t>
  </si>
  <si>
    <t>Brozo</t>
  </si>
  <si>
    <t>429a1141-4f47-4a0b-be8b-b86627c53df8</t>
  </si>
  <si>
    <t>Danna Paola
José Eduardo Derbéz
Natalia Lafourcade</t>
  </si>
  <si>
    <t>Eugenio Derbéz
Danna Paola
Natalia Lafourcade</t>
  </si>
  <si>
    <t>Eugenio Derbéz
Natalia Lafourcade
Chumel Torres</t>
  </si>
  <si>
    <t>Danna Paola
Natalia Lafourcade
Eugenio Derbéz</t>
  </si>
  <si>
    <t>580c6899-b1bb-4cf6-859c-a6690b5611de</t>
  </si>
  <si>
    <t>Eugenio Derbéz
Natalia Lafourcade
Christian Nodal</t>
  </si>
  <si>
    <t>No ninguna</t>
  </si>
  <si>
    <t>ca3b116d-9c23-4793-b5c9-954c7de61d64</t>
  </si>
  <si>
    <t>Danna Paola
Luisito Comunica
Eugenio Derbéz</t>
  </si>
  <si>
    <t>745865f8-d6fd-47d1-9c05-3c8193711540</t>
  </si>
  <si>
    <t>Chucky Lozano
Natalia Lafourcade
Christian Nodal
Danna Paola</t>
  </si>
  <si>
    <t>Danna Paola
Natalia Lafourcade
Christian Nodal
Chucky Lozano</t>
  </si>
  <si>
    <t>Danna Paola
Natalia Lafourcade
Chucky Lozano</t>
  </si>
  <si>
    <t>Natalia Lafourcade
Danna Paola
Chucky Lozano</t>
  </si>
  <si>
    <t>09e499d4-e252-4659-b417-56d0a6998d61</t>
  </si>
  <si>
    <t>Martha Higareda
Luisito Comunica
Natalia Lafourcade</t>
  </si>
  <si>
    <t>53be5c92-5d92-41da-804b-7c384e156b59</t>
  </si>
  <si>
    <t>Martha Higareda
Luisito Comunica
Luis Miguel</t>
  </si>
  <si>
    <t>Luisito Comunica
Martha Higareda
Luis Miguel</t>
  </si>
  <si>
    <t>Luisito Comunica
Luis Miguel
Martha Higareda</t>
  </si>
  <si>
    <t>73070043-e27b-4be4-84ee-8ff25471bf5b</t>
  </si>
  <si>
    <t>Eugenio Derbéz
Marco Antonio Solis
José Eduardo Derbéz</t>
  </si>
  <si>
    <t>b20a5b34-6fd7-4e6c-a3e5-7256568efa69</t>
  </si>
  <si>
    <t>Chumel Torres
Paola Rojas
Danna Paola</t>
  </si>
  <si>
    <t>Paola Rojas
Natalia Lafourcade
Danna Paola</t>
  </si>
  <si>
    <t>Paola Rojas
Danna Paola
Natalia Lafourcade</t>
  </si>
  <si>
    <t>c66fcd4a-f125-4b1a-a3cc-9ece1c3db68b</t>
  </si>
  <si>
    <t>Marco Antonio Solis
Martha Higareda
Paola Rojas</t>
  </si>
  <si>
    <t>Eugenio Derbéz
Luis Miguel
Diego Luna</t>
  </si>
  <si>
    <t>Luisito Comunica
José Eduardo Derbéz
Diego Luna</t>
  </si>
  <si>
    <t>d3ae2393-3f3c-4c31-b448-af4e6d91ef07</t>
  </si>
  <si>
    <t>Luis Miguel
Eugenio Derbéz
Danna Paola</t>
  </si>
  <si>
    <t>Miguel Layun
Luisito Comunica
Chumel Torres</t>
  </si>
  <si>
    <t>046dabec-7a85-47c9-9312-7ee2ff589e47</t>
  </si>
  <si>
    <t>Luisito Comunica
Chucky Lozano
Diego Luna</t>
  </si>
  <si>
    <t>Diego Luna
Luisito Comunica
Chucky Lozano</t>
  </si>
  <si>
    <t>Paola Rojas
Eugenio Derbéz
Danna Paola</t>
  </si>
  <si>
    <t>Luisito Comunica
Marco Antonio Solis
José Eduardo Derbéz</t>
  </si>
  <si>
    <t>0ff188d2-7dfd-4ad0-bc13-1dbf1a59cf53</t>
  </si>
  <si>
    <t>Eugenio Derbéz
Chucky Lozano
Luis Miguel
Marco Antonio Solis
Diego Luna</t>
  </si>
  <si>
    <t>Martha Higareda
Eugenio Derbéz
Luis Miguel
Marco Antonio Solis
Diego Luna</t>
  </si>
  <si>
    <t>Luisito Comunica
Eugenio Derbéz
Martha Higareda
Chucky Lozano
Miguel Layun</t>
  </si>
  <si>
    <t>Luisito Comunica
Marco Antonio Solis
Eugenio Derbéz
Chucky Lozano
Diego Luna</t>
  </si>
  <si>
    <t>Jorge Ramos Ávalos</t>
  </si>
  <si>
    <t>c5006713-a8b0-4397-893e-cbbb6cd330d1</t>
  </si>
  <si>
    <t>Danna Paola
Paola Rojas
Eugenio Derbéz</t>
  </si>
  <si>
    <t>a19b4af6-22bd-407b-afbb-8c03f96e6adf</t>
  </si>
  <si>
    <t>Martha Higareda
Natalia Lafourcade
Paola Rojas
Marco Antonio Solis</t>
  </si>
  <si>
    <t>Kim Loaiza
Christian Nodal
Paola Rojas</t>
  </si>
  <si>
    <t>Danna Paola
Christian Nodal
Diego Luna</t>
  </si>
  <si>
    <t>Luisito Comunica
Christian Nodal
Chumel Torres</t>
  </si>
  <si>
    <t>d39d6d21-4ab7-46b3-8983-978af62e28b4</t>
  </si>
  <si>
    <t>785f09c0-43f5-41b5-aa41-531500ea8315</t>
  </si>
  <si>
    <t>Martha Higareda
Miguel Layun
Chucky Lozano</t>
  </si>
  <si>
    <t>Chucky Lozano
Martha Higareda
Miguel Layun</t>
  </si>
  <si>
    <t>Marco Antonio Solis
Miguel Layun
Martha Higareda</t>
  </si>
  <si>
    <t>Raul Alonso Jimenez</t>
  </si>
  <si>
    <t>3d208407-4de4-47cc-ba78-caaa967185fd</t>
  </si>
  <si>
    <t>Paola Rojas
Martha Higareda
Luisito Comunica</t>
  </si>
  <si>
    <t>Luisito Comunica
Natalia Lafourcade
Martha Higareda
Danna Paola</t>
  </si>
  <si>
    <t>b0c3edd9-053c-4c05-97bd-b94034c56ab3</t>
  </si>
  <si>
    <t>Martha Higareda
Miguel Layun
Yordi rosado</t>
  </si>
  <si>
    <t>Jordi rosado</t>
  </si>
  <si>
    <t>99a3942e-11e1-48bd-b321-67f0771c4437</t>
  </si>
  <si>
    <t>Martha Higareda
Danna Paola
Natalia Lafourcade</t>
  </si>
  <si>
    <t>Martha Higareda
Natalia Lafourcade
Danna Paola</t>
  </si>
  <si>
    <t>Por el momento todo bien</t>
  </si>
  <si>
    <t>a14275e1-53f5-42e5-beb9-745bd51061ab</t>
  </si>
  <si>
    <t>Danna Paola
Diego Luna
Chucky Lozano</t>
  </si>
  <si>
    <t>Marco Antonio Solis
Paola Rojas
Diego Luna</t>
  </si>
  <si>
    <t>Martha Higareda
Chucky Lozano
Danna Paola</t>
  </si>
  <si>
    <t>Gabriel Bulgakov</t>
  </si>
  <si>
    <t>1acd4345-e608-4197-80f0-fa6393a6c6fa</t>
  </si>
  <si>
    <t>Natalia Lafourcade
Christian Nodal
Miguel Layun</t>
  </si>
  <si>
    <t>Christian Nodal
Miguel Layun
Natalia Lafourcade</t>
  </si>
  <si>
    <t>Miguel Layun
Natalia Lafourcade
Christian Nodal</t>
  </si>
  <si>
    <t>1dc5324b-359e-4951-8516-9fda3903b6ef</t>
  </si>
  <si>
    <t>Christian Nodal
Eugenio Derbéz
Luisito Comunica</t>
  </si>
  <si>
    <t>Luisito Comunica
Christian Nodal
Eugenio Derbéz</t>
  </si>
  <si>
    <t>d61e6134-928a-48d8-bc16-f2894d0017e1</t>
  </si>
  <si>
    <t>78feff0d-6549-4708-b3c4-298e0b0e5188</t>
  </si>
  <si>
    <t>Eugenio Derbéz
Diego Luna
Natalia Lafourcade</t>
  </si>
  <si>
    <t>14e10819-3dea-41dd-9451-a8344b32b509</t>
  </si>
  <si>
    <t>Martha Higareda
Danna Paola
Daniela rodrice</t>
  </si>
  <si>
    <t>Natalia Lafourcade
Paola Rojas
José Eduardo Derbéz</t>
  </si>
  <si>
    <t>Daniela Rodrice</t>
  </si>
  <si>
    <t>49d77aad-0abb-4e05-a4d3-fe1f6689bca1</t>
  </si>
  <si>
    <t>Eugenio Derbéz
Kim Loaiza
Danna Paola</t>
  </si>
  <si>
    <t>Luisito Comunica
Kim Loaiza
Chumel Torres</t>
  </si>
  <si>
    <t>Kenia os</t>
  </si>
  <si>
    <t>f9e940a5-4bd0-42ec-8788-cac51de76a5a</t>
  </si>
  <si>
    <t>Christian Nodal
Danna Paola
Diego Luna</t>
  </si>
  <si>
    <t>Christian Nodal
Diego Luna
Marco Antonio Solis</t>
  </si>
  <si>
    <t>625d499d-2176-4889-bdb7-33a0d2759f57</t>
  </si>
  <si>
    <t>Luisito Comunica
Martha Higareda
Diego Luna</t>
  </si>
  <si>
    <t>Martha Higareda
Luisito Comunica
Diego Luna</t>
  </si>
  <si>
    <t>81c0fdbd-d2b8-4492-b8b9-be5380422219</t>
  </si>
  <si>
    <t>Luis Miguel
Luisito Comunica
Kardmatch</t>
  </si>
  <si>
    <t>Luisito Comunica
Luis Miguel
Kardmatch</t>
  </si>
  <si>
    <t>Eduardo Rosas (finanzas personales)</t>
  </si>
  <si>
    <t>ae83a13d-1e0f-4d28-890b-3019c4873570</t>
  </si>
  <si>
    <t>Paola Rojas
Miguel Layun
Danna Paola</t>
  </si>
  <si>
    <t>no</t>
  </si>
  <si>
    <t>44c89122-7301-4020-9ecf-4855f942330a</t>
  </si>
  <si>
    <t>Natalia Lafourcade
Chucky Lozano
Marco Antonio Solis</t>
  </si>
  <si>
    <t>Natalia Lafourcade
Marco Antonio Solis
Chucky Lozano</t>
  </si>
  <si>
    <t>Marco Antonio Solis
Chucky Lozano
Natalia Lafourcade</t>
  </si>
  <si>
    <t>Chucky Lozano
Natalia Lafourcade
Marco Antonio Solis</t>
  </si>
  <si>
    <t>cb2852f2-ef02-4f51-a215-b1eff085ac36</t>
  </si>
  <si>
    <t>Natalia Lafourcade
Diego Luna
Luisito Comunica</t>
  </si>
  <si>
    <t>e5b65696-3707-47a8-9c4f-18804a3a21ac</t>
  </si>
  <si>
    <t>Marco Antonio Solis
Luis Miguel
Chucky Lozano</t>
  </si>
  <si>
    <t>Luis Miguel
Marco Antonio Solis
Natalia Lafourcade
Chucky Lozano</t>
  </si>
  <si>
    <t>Luis Miguel
Chucky Lozano
Natalia Lafourcade
Marco Antonio Solis</t>
  </si>
  <si>
    <t>Christian Nodal
Marco Antonio Solis
Chucky Lozano</t>
  </si>
  <si>
    <t>Luis Miguel
Marco Antonio Solis
Chucky Lozano</t>
  </si>
  <si>
    <t>Alguna gratificación por mínima que sea, por compartir en redes su campaña y así llegar a más gente</t>
  </si>
  <si>
    <t>61508b63-c61a-44da-92ae-7be042a6a0f1</t>
  </si>
  <si>
    <t>Eugenio Derbéz
Miguel Layun
Martha Higareda</t>
  </si>
  <si>
    <t>53ec1946-0dbb-46c9-b8d6-7a0efcb581b2</t>
  </si>
  <si>
    <t>Luis Miguel
Luisito Comunica
Eugenio Derbéz
Danna Paola
Martha Higareda</t>
  </si>
  <si>
    <t>Luis Miguel
Eugenio Derbéz
Kim Loaiza
Danna Paola
Martha Higareda</t>
  </si>
  <si>
    <t>Luisito Comunica
Danna Paola
José Eduardo Derbéz
Paola Rojas
Diego Luna</t>
  </si>
  <si>
    <t>Luisito Comunica
José Eduardo Derbéz
Luis Miguel
Natalia Lafourcade
Miguel Layun</t>
  </si>
  <si>
    <t>Chucky Lozano
Luis Miguel
José Eduardo Derbéz
Danna Paola
Chumel Torres</t>
  </si>
  <si>
    <t>8efc5a7d-a5f4-4db4-9ed5-a4a974013125</t>
  </si>
  <si>
    <t>Danna Paola
Luisito Comunica
Martha Higareda
Christian Nodal
Kim Loaiza</t>
  </si>
  <si>
    <t>Luisito Comunica
Kim Loaiza
Danna Paola
Martha Higareda
Christian Nodal</t>
  </si>
  <si>
    <t>Martha Higareda
Kim Loaiza
Luisito Comunica
Danna Paola
Christian Nodal</t>
  </si>
  <si>
    <t>Luisito Comunica
Christian Nodal
Martha Higareda
Danna Paola</t>
  </si>
  <si>
    <t>Luisito Comunica
Kim Loaiza
Christian Nodal
Danna Paola</t>
  </si>
  <si>
    <t>Belinda</t>
  </si>
  <si>
    <t>3172ae99-f6a9-44d5-9deb-21386b13c83a</t>
  </si>
  <si>
    <t>Marco Antonio Solis
Martha Higareda
Danna Paola</t>
  </si>
  <si>
    <t>Marco Antonio Solis
Martha Higareda
Natalia Lafourcade</t>
  </si>
  <si>
    <t>Martha Higareda
Luis Miguel
Natalia Lafourcade</t>
  </si>
  <si>
    <t>Luisito Comunica
Natalia Lafourcade
Martha Higareda</t>
  </si>
  <si>
    <t>3cdc0b96-1d0d-434e-81dc-190f93f757c7</t>
  </si>
  <si>
    <t>José Eduardo Derbéz
Paola Rojas
Natalia Lafourcade
Eugenio Derbéz
Diego Luna</t>
  </si>
  <si>
    <t>José Eduardo Derbéz
Natalia Lafourcade
Eugenio Derbéz</t>
  </si>
  <si>
    <t>Diego Luna
Eugenio Derbéz
José Eduardo Derbéz</t>
  </si>
  <si>
    <t>Veronica Castro</t>
  </si>
  <si>
    <t>26e43a5a-cf8b-43c7-a40d-7550424e0235</t>
  </si>
  <si>
    <t>Paola Rojas
Martha Higareda
Luis Miguel</t>
  </si>
  <si>
    <t>Diego Luna
Martha Higareda
Marco Antonio Solis</t>
  </si>
  <si>
    <t>Marco Antonio Solis
Natalia Lafourcade
Martha Higareda</t>
  </si>
  <si>
    <t>Andres Manuel Lopez Obrador</t>
  </si>
  <si>
    <t>82ebecc7-8d56-4093-9cc7-6ad34bee2757</t>
  </si>
  <si>
    <t>Eugenio Derbéz
Miguel Layun
Luis Miguel</t>
  </si>
  <si>
    <t>Eugenio Derbéz
José Eduardo Derbéz
Miguel Layun</t>
  </si>
  <si>
    <t>b77d7877-36f8-4398-886f-b3030e78b478</t>
  </si>
  <si>
    <t>Danna Paola
Kim Loaiza
Luisito Comunica</t>
  </si>
  <si>
    <t>24b401ae-773c-464e-9b2d-8524defb02a5</t>
  </si>
  <si>
    <t>Martha Higareda
Luis Miguel
Eugenio Derbéz</t>
  </si>
  <si>
    <t>Eugenio Derbéz
Luis Miguel
Martha Higareda</t>
  </si>
  <si>
    <t>cace5905-2cf2-4fa2-a254-ee5f858db2ba</t>
  </si>
  <si>
    <t>d70b8509-f156-4868-9e92-c9c376bc875c</t>
  </si>
  <si>
    <t>Danna Paola
Luisito Comunica
Natalia Lafourcade</t>
  </si>
  <si>
    <t>Luisito Comunica
Danna Paola
Natalia Lafourcade</t>
  </si>
  <si>
    <t>Luisito Comunica
Natalia Lafourcade
Danna Paola</t>
  </si>
  <si>
    <t>00c7b20c-53cf-4ee6-b897-00ef9b682551</t>
  </si>
  <si>
    <t>Paola Rojas
Danna Paola
Martha Higareda</t>
  </si>
  <si>
    <t>dbf69d06-7507-4650-a641-0d3e7fe87f42</t>
  </si>
  <si>
    <t>Paola Rojas
Eugenio Derbéz
Diego Luna</t>
  </si>
  <si>
    <t>Danna Paola
Eugenio Derbéz
Luisito Comunica</t>
  </si>
  <si>
    <t>728af046-99ff-4ff6-9223-5dfd7a85352b</t>
  </si>
  <si>
    <t>José Eduardo Derbéz
Miguel Layun
Franco Escamilla</t>
  </si>
  <si>
    <t>Luisito Comunica
Eugenio Derbéz
José Eduardo Derbéz
Marco Antonio Solis</t>
  </si>
  <si>
    <t>Franco Escamilla</t>
  </si>
  <si>
    <t>32e4d861-fbed-4f65-bd44-1d1566526014</t>
  </si>
  <si>
    <t>Chucky Lozano
Luisito Comunica
Christian Nodal
Danna Paola
Natalia Lafourcade</t>
  </si>
  <si>
    <t>Luisito Comunica
Paola Rojas
Eugenio Derbéz
Danna Paola
Christian Nodal</t>
  </si>
  <si>
    <t>Luisito Comunica
Eugenio Derbéz
Christian Nodal
Luis Miguel
Chucky Lozano</t>
  </si>
  <si>
    <t>Danna Paola
Paola Rojas
Martha Higareda
Natalia Lafourcade</t>
  </si>
  <si>
    <t>Martha Higareda
Paola Rojas
Luisito Comunica
Luis Miguel
Danna Paola</t>
  </si>
  <si>
    <t>33579be2-c651-41b8-a255-10a441135f0a</t>
  </si>
  <si>
    <t>Paola Rojas
Eugenio Derbéz
Kim Loaiza
Danna Paola</t>
  </si>
  <si>
    <t>Danna Paola
Martha Higareda
Paola Rojas
Eugenio Derbéz</t>
  </si>
  <si>
    <t>Eugenio Derbéz
Martha Higareda
Diego Luna
Marco Antonio Solis</t>
  </si>
  <si>
    <t>Eugenio Derbéz
Kim Loaiza
Martha Higareda
Danna Paola</t>
  </si>
  <si>
    <t>Paola Rojas
Eugenio Derbéz
Kim Loaiza
Diego Luna</t>
  </si>
  <si>
    <t>Galilea Montijo</t>
  </si>
  <si>
    <t>ff5ba045-7d92-474d-a47b-32b2b52a2381</t>
  </si>
  <si>
    <t>Kim Loaiza
José Eduardo Derbéz
Luisito Comunica</t>
  </si>
  <si>
    <t>José Eduardo Derbéz
Luisito Comunica
Kim Loaiza</t>
  </si>
  <si>
    <t>ff70e9e9-1eab-4bad-be87-36a87db485d4</t>
  </si>
  <si>
    <t>Luisito Comunica
Eugenio Derbéz
Christian Nodal
Marco Antonio Solis</t>
  </si>
  <si>
    <t>Eugenio Derbéz
Luis Miguel
Christian Nodal</t>
  </si>
  <si>
    <t>Luisito Comunica
Eugenio Derbéz
Luis Miguel</t>
  </si>
  <si>
    <t>147e0209-ba36-4415-9b59-6a331045ffef</t>
  </si>
  <si>
    <t>Chucky Lozano
Luisito Comunica
José Eduardo Derbéz
Funes Mori</t>
  </si>
  <si>
    <t>Luisito Comunica
Chucky Lozano
Funes Mori</t>
  </si>
  <si>
    <t>Miguel Layun
Chucky Lozano
Funes Mori</t>
  </si>
  <si>
    <t>Funes Mori</t>
  </si>
  <si>
    <t>632fb79f-786c-4ff6-a95f-cdbabc478093</t>
  </si>
  <si>
    <t>b96befbf-c0c7-4d20-b086-ff6f2324c227</t>
  </si>
  <si>
    <t>Danna Paola
Martha Higareda
Gerardo Antonio Chavez Alcocer</t>
  </si>
  <si>
    <t>Martha Higareda
Danna Paola
Gerardo Antonio Chavez Alcocer</t>
  </si>
  <si>
    <t>Gerardo Antonio Chavez Alcocer</t>
  </si>
  <si>
    <t>dad91d28-3a29-42f8-a4b9-5f6892498b8a</t>
  </si>
  <si>
    <t>Martha Higareda
Paola Rojas
Natalia Lafourcade
Kim Loaiza
Danna Paola</t>
  </si>
  <si>
    <t>Martha Higareda
Natalia Lafourcade
Paola Rojas
Danna Paola
Kim Loaiza</t>
  </si>
  <si>
    <t>Danna Paola
Paola Rojas
Natalia Lafourcade
Kim Loaiza</t>
  </si>
  <si>
    <t>Kim Loaiza
Martha Higareda
Paola Rojas
Danna Paola
Natalia Lafourcade</t>
  </si>
  <si>
    <t>Paola Rojas
Danna Paola
Martha Higareda
Natalia Lafourcade
Kim Loaiza</t>
  </si>
  <si>
    <t>692eeee8-d115-4592-9f93-ec299f7f69f2</t>
  </si>
  <si>
    <t>Luis Miguel
Eugenio Derbéz
Christian Nodal
Kim Loaiza</t>
  </si>
  <si>
    <t>José Eduardo Derbéz
Marco Antonio Solis
Eugenio Derbéz</t>
  </si>
  <si>
    <t>c8f8a5a5-fb8b-4026-a059-70e9d7679cf6</t>
  </si>
  <si>
    <t>Eugenio Derbéz
Danna Paola
José Eduardo Derbéz
Martha Higareda</t>
  </si>
  <si>
    <t>Paola Rojas
Eugenio Derbéz
Martha Higareda
Danna Paola
Diego Luna</t>
  </si>
  <si>
    <t>Eugenio Derbéz
José Eduardo Derbéz
Paola Rojas
Danna Paola
Martha Higareda</t>
  </si>
  <si>
    <t>Eugenio Derbéz
Martha Higareda
Natalia Lafourcade
Danna Paola
Paola Rojas</t>
  </si>
  <si>
    <t>a45ebfa1-9ebb-4caf-b341-0715507a186b</t>
  </si>
  <si>
    <t>Paola Rojas
Martha Higareda
Natalia Tellez</t>
  </si>
  <si>
    <t>Paola Rojas
Natalia Lafourcade
NATALIA TELLEZ</t>
  </si>
  <si>
    <t>Eugenio Derbéz
Natalia Lafourcade
Chucky Lozano</t>
  </si>
  <si>
    <t>dfdee6dc-be47-4448-8627-a3515f3fad98</t>
  </si>
  <si>
    <t>Natalia Lafourcade
Luis Miguel
Danna Paola</t>
  </si>
  <si>
    <t>Danna Paola
Martha Higareda
Chucky Lozano</t>
  </si>
  <si>
    <t>7a49b1dc-44fa-4e24-9ca7-563e71adf475</t>
  </si>
  <si>
    <t>Kim Loaiza
Eugenio Derbéz
Daniela Rodrice</t>
  </si>
  <si>
    <t>Danna Paola
Kim Loaiza
Christian Nodal</t>
  </si>
  <si>
    <t>17c5ebf7-0e11-4ddc-9cf2-80be9e8fe6f6</t>
  </si>
  <si>
    <t>Danna Paola
Eugenio Derbéz
Kim Loaiza</t>
  </si>
  <si>
    <t>Danna Paola
Kim Loaiza
Eugenio Derbéz</t>
  </si>
  <si>
    <t>7e8a0918-6538-4180-a8ce-6b7d2184473b</t>
  </si>
  <si>
    <t>Paola Rojas
Danna Paola
Eugenio Derbéz</t>
  </si>
  <si>
    <t>Natalia Lafourcade
Paola Rojas
Eugenio Derbéz</t>
  </si>
  <si>
    <t>9204c4dd-df52-4c8a-bf47-72a5da5ce099</t>
  </si>
  <si>
    <t>Luisito Comunica
José Eduardo Derbéz
Chumel Torres</t>
  </si>
  <si>
    <t>Marco Antonio Solis
Eugenio Derbéz
Luis Miguel</t>
  </si>
  <si>
    <t>Fedelobo</t>
  </si>
  <si>
    <t>de720c72-cc60-4749-bb4d-ff93bf790ec5</t>
  </si>
  <si>
    <t>Danna Paola
Christian Nodal
Chucky Lozano</t>
  </si>
  <si>
    <t>Eugenio Derbéz
Chucky Lozano
Marco Antonio Solis</t>
  </si>
  <si>
    <t>Chumel Torres
Chucky Lozano
Christian Nodal</t>
  </si>
  <si>
    <t>Cualquiera de ellos estaría bien</t>
  </si>
  <si>
    <t>eef2a7ea-0b7a-4041-813f-9f9ee64a1c9c</t>
  </si>
  <si>
    <t>Luis Miguel
Chucky Lozano
Christian Nodal</t>
  </si>
  <si>
    <t>Chucky Lozano
Luis Miguel
Chumel Torres</t>
  </si>
  <si>
    <t>Chucky Lozano
Eugenio Derbéz
Marco Antonio Solis</t>
  </si>
  <si>
    <t>Eugenio Derbéz
Luisito Comunica
Chucky Lozano</t>
  </si>
  <si>
    <t>244107b6-5888-44a5-beb5-b2d75eae1d9e</t>
  </si>
  <si>
    <t>Marco Antonio Solis
Christian Nodal
Chucky Lozano</t>
  </si>
  <si>
    <t>Marco Antonio Solis
Chucky Lozano
Christian Nodal</t>
  </si>
  <si>
    <t>4c96ed3e-2c7d-4bf1-a981-9309b9b23b59</t>
  </si>
  <si>
    <t>Danna Paola
Luisito Comunica
Chucky Lozano
Kim Loaiza
Martha Higareda</t>
  </si>
  <si>
    <t>Martha Higareda
Luisito Comunica
Danna Paola
Kim Loaiza
Chucky Lozano</t>
  </si>
  <si>
    <t>Danna Paola
Kim Loaiza
Chucky Lozano</t>
  </si>
  <si>
    <t>Luisito Comunica
Chucky Lozano
Danna Paola</t>
  </si>
  <si>
    <t>fe57e9c9-9be0-45a6-836f-8a86c9e687eb</t>
  </si>
  <si>
    <t>Martha Higareda
Eugenio Derbéz
Christian Nodal
Danna Paola</t>
  </si>
  <si>
    <t>Miguel Layun
Eugenio Derbéz
Marco Antonio Solis</t>
  </si>
  <si>
    <t>Eugenio Derbéz
Diego Luna
Paola Rojas
Danna Paola
Marco Antonio Solis</t>
  </si>
  <si>
    <t>Eugenio Derbéz
Diego Luna
Christian Nodal
Danna Paola
Marco Antonio Solis</t>
  </si>
  <si>
    <t>No con esos esta nien</t>
  </si>
  <si>
    <t>Chucky Lozano
Eugenio Derbéz
Christian Nodal
Diego Luna</t>
  </si>
  <si>
    <t>Martha Higareda
Diego Luna
Chucky Lozano</t>
  </si>
  <si>
    <t>Miguel Layun
Natalia Lafourcade
Marco Antonio Solis</t>
  </si>
  <si>
    <t>Christian Nodal
Marco Antonio Solis
Martha Higareda
Danna Paola
Chucky Lozano</t>
  </si>
  <si>
    <t>Eugenio Derbéz
Miguel Layun
Martha Higareda
Marco Antonio Solis
Kim Loaiza</t>
  </si>
  <si>
    <t>2d311b0b-3f51-46af-987a-562b261115ac</t>
  </si>
  <si>
    <t>Paola Rojas
Eugenio Derbéz
Kim Loaiza</t>
  </si>
  <si>
    <t>Martha Higareda
Eugenio Derbéz
Marco Antonio Solis</t>
  </si>
  <si>
    <t>Eugenio Derbéz
Kim Loaiza
Martha Higareda</t>
  </si>
  <si>
    <t>a853ec94-151d-4747-a50e-2f6c086f83f6</t>
  </si>
  <si>
    <t>Paola Rojas
Diego Luna
Martha Higareda</t>
  </si>
  <si>
    <t>Diego Luna
Martha Higareda
Paola Rojas</t>
  </si>
  <si>
    <t>Diego Luna
Paola Rojas
Martha Higareda</t>
  </si>
  <si>
    <t>72fbc550-5429-4a60-b8d6-b43df27ecb6e</t>
  </si>
  <si>
    <t>Danna Paola
Eugenio Derbéz
Natalia Lafourcade
Christian Nodal
Marco Antonio Solis</t>
  </si>
  <si>
    <t>Eugenio Derbéz
Danna Paola
Christian Nodal
Natalia Lafourcade
Marco Antonio Solis</t>
  </si>
  <si>
    <t>Danna Paola
Marco Antonio Solis
Eugenio Derbéz
Christian Nodal
Natalia Lafourcade</t>
  </si>
  <si>
    <t>Eugenio Derbéz
Christian Nodal
Natalia Lafourcade
Marco Antonio Solis</t>
  </si>
  <si>
    <t>Marco Antonio Solis
Christian Nodal
Natalia Lafourcade
Eugenio Derbéz
Danna Paola</t>
  </si>
  <si>
    <t>d009a31c-76a1-4207-af43-416cfd5d489c</t>
  </si>
  <si>
    <t>Martha Higareda
Natalia Lafourcade
Personas comunes, que no sean artistas</t>
  </si>
  <si>
    <t>Natalia Lafourcade
Martha Higareda
persona común que no sea artista</t>
  </si>
  <si>
    <t>Martha Higareda
Natalia Lafourcade
persona comun</t>
  </si>
  <si>
    <t>persona comun que no sea artista</t>
  </si>
  <si>
    <t>2a096dd0-f3cb-438b-935b-174f6119c0e1</t>
  </si>
  <si>
    <t>Luisito Comunica
Luis Miguel
Paola Rojas
Danna Paola</t>
  </si>
  <si>
    <t>Luis Miguel
Kim Loaiza
Luisito Comunica
Eugenio Derbéz
Chucky Lozano</t>
  </si>
  <si>
    <t>Marco Antonio Solis
Christian Nodal
Chumel Torres
Miguel Layun
Natalia Lafourcade</t>
  </si>
  <si>
    <t>Kim Loaiza
Marco Antonio Solis
Danna Paola
Martha Higareda
Natalia Lafourcade</t>
  </si>
  <si>
    <t>Miguel Layun
Chumel Torres
Eugenio Derbéz
Martha Higareda</t>
  </si>
  <si>
    <t>910ec0a5-a51e-4a8b-9baa-52adb2c50a76</t>
  </si>
  <si>
    <t>Diego Luna
Luis Miguel
Natalia Lafourcade</t>
  </si>
  <si>
    <t>43149383-6785-4240-b86e-15403150e6be</t>
  </si>
  <si>
    <t>Marco Antonio Solis
Martha Higareda
Paola Rojas
Natalia Lafourcade
Christian Nodal</t>
  </si>
  <si>
    <t>Christian Nodal
Paola Rojas
Danna Paola
Marco Antonio Solis
Diego Luna</t>
  </si>
  <si>
    <t>Martha Higareda
Marco Antonio Solis
Natalia Lafourcade
Diego Luna</t>
  </si>
  <si>
    <t>Christian Nodal
Danna Paola
Natalia Lafourcade
Marco Antonio Solis
Diego Luna</t>
  </si>
  <si>
    <t>Martha Higareda
Marco Antonio Solis
Natalia Lafourcade
Christian Nodal</t>
  </si>
  <si>
    <t>No los que propusieron están súper bien</t>
  </si>
  <si>
    <t>34bb41c5-ecd2-45a4-894a-a73de80910ce</t>
  </si>
  <si>
    <t>Natalia Lafourcade
Luisito Comunica
Christian Nodal</t>
  </si>
  <si>
    <t>Christian Nodal
Luisito Comunica
Natalia Lafourcade</t>
  </si>
  <si>
    <t>Luisito Comunica
Christian Nodal
Natalia Lafourcade</t>
  </si>
  <si>
    <t>648a6708-c92a-437a-b3c4-0a631e830038</t>
  </si>
  <si>
    <t>600b8cb7-1b2c-43ec-a809-a5b3206ad528</t>
  </si>
  <si>
    <t>Christian Nodal
Danna Paola
Paola Rojas</t>
  </si>
  <si>
    <t>Christian Nodal
Paola Rojas
Danna Paola</t>
  </si>
  <si>
    <t>417db2e9-c2da-44a8-9fe1-a8f88dc81d47</t>
  </si>
  <si>
    <t>Christian Nodal
Marco Antonio Solis
Danna Paola</t>
  </si>
  <si>
    <t>Martha Higareda
Danna Paola
Marco Antonio Solis</t>
  </si>
  <si>
    <t>2ba1c944-efdd-443f-9011-99a1ed434baa</t>
  </si>
  <si>
    <t>Luisito Comunica
Kim Loaiza
Eugenio Derbéz</t>
  </si>
  <si>
    <t>Kim Loaiza
Luisito Comunica
José Eduardo Derbéz
Eugenio Derbéz</t>
  </si>
  <si>
    <t>Kim Loaiza
Martha Higareda
Eugenio Derbéz</t>
  </si>
  <si>
    <t>210b36c8-d102-42bc-8a21-d0f256f1d8bb</t>
  </si>
  <si>
    <t>Danna Paola
Paola Rojas
Kim Loaiza</t>
  </si>
  <si>
    <t>Danna Paola
José Eduardo Derbéz
Paola Rojas</t>
  </si>
  <si>
    <t>Danna Paola
Paola Rojas
José Eduardo Derbéz</t>
  </si>
  <si>
    <t>Esta perfecto toda</t>
  </si>
  <si>
    <t>8586ed00-8875-40d7-b8bd-00937545d9b7</t>
  </si>
  <si>
    <t>Marco Antonio Solis
Christian Nodal
Eugenio Derbéz</t>
  </si>
  <si>
    <t>ea959b87-a025-40bc-a725-5591002ba90d</t>
  </si>
  <si>
    <t>Danna Paola
Natalia Lafourcade
Christian Nodal
Marco Antonio Solis
Eugenio Derbéz</t>
  </si>
  <si>
    <t>Natalia Lafourcade
Marco Antonio Solis
Martha Higareda</t>
  </si>
  <si>
    <t>Martha Higareda
Paola Rojas
Marco Antonio Solis</t>
  </si>
  <si>
    <t>Jesús lozano</t>
  </si>
  <si>
    <t>ebf7fab1-1b32-41bf-917d-19a97b9f9afc</t>
  </si>
  <si>
    <t>c2bc9ad2-a75f-4e7d-b92d-11ce3e1a0864</t>
  </si>
  <si>
    <t>Chucky Lozano
Miguel Layun
Marco Antonio Solis</t>
  </si>
  <si>
    <t>Martha Higareda
Chucky Lozano
Marco Antonio Solis</t>
  </si>
  <si>
    <t>Chucky Lozano
Diego Luna
Natalia Lafourcade</t>
  </si>
  <si>
    <t>Chucky Lozano
Miguel Layun
Diego Luna</t>
  </si>
  <si>
    <t>Marco Antonio Solis
Chucky Lozano
Diego Luna</t>
  </si>
  <si>
    <t>e123c28f-3f87-4f5c-8db5-72f2b2b71f3f</t>
  </si>
  <si>
    <t>Marco Antonio Solis
Miguel Layun
Chucky Lozano</t>
  </si>
  <si>
    <t>Luis Miguel
Martha Higareda
Marco Antonio Solis</t>
  </si>
  <si>
    <t>Miguel Layun
Chucky Lozano
Martha Higareda</t>
  </si>
  <si>
    <t>Nop</t>
  </si>
  <si>
    <t>a8d8fac9-bbb2-420f-bb47-b938fab70a62</t>
  </si>
  <si>
    <t>Luisito Comunica
Natalia Lafourcade
Chucky Lozano</t>
  </si>
  <si>
    <t>Luisito Comunica
Chucky Lozano
Natalia Lafourcade</t>
  </si>
  <si>
    <t>55cf6e30-9f3d-46f5-aa43-23634919f667</t>
  </si>
  <si>
    <t>Eugenio Derbéz
Natalia Lafourcade
Danna Paola
José Eduardo Derbéz
Martha Higareda</t>
  </si>
  <si>
    <t>José Eduardo Derbéz
Danna Paola
Eugenio Derbéz</t>
  </si>
  <si>
    <t>Gloria Trevi</t>
  </si>
  <si>
    <t>Miguel Layun
Martha Higareda
José Eduardo Derbéz
Luisito Comunica
Eugenio Derbéz</t>
  </si>
  <si>
    <t>Kim Loaiza
Christian Nodal
Miguel Layun</t>
  </si>
  <si>
    <t>José Eduardo Derbéz
Natalia Lafourcade
Christian Nodal</t>
  </si>
  <si>
    <t>6d7458f3-3a7c-40a0-82ae-5a103c9f207e</t>
  </si>
  <si>
    <t>Chucky Lozano
Miguel Layun
Martha Higareda</t>
  </si>
  <si>
    <t>Eugenio Derbéz
Miguel Layun
Diego Luna</t>
  </si>
  <si>
    <t>db5b4a17-bb92-4a66-83f8-d5f9a460c3ce</t>
  </si>
  <si>
    <t>Martha Higareda
Chucky Lozano
Diego Luna</t>
  </si>
  <si>
    <t>6489f879-c6d0-4ab2-b96d-ef122b01b802</t>
  </si>
  <si>
    <t>Diego Luna
Christian Nodal
Luis Miguel</t>
  </si>
  <si>
    <t>Christian Nodal
Luis Miguel
Diego Luna</t>
  </si>
  <si>
    <t>Luis Miguel
Christian Nodal
Diego Luna</t>
  </si>
  <si>
    <t>9aecd590-fb04-44a7-ad84-044a99c73215</t>
  </si>
  <si>
    <t>José Eduardo Derbéz
Eugenio Derbéz
Paola Rojas</t>
  </si>
  <si>
    <t>Eugenio Derbéz
Natalia Lafourcade
José Eduardo Derbéz
Paola Rojas
Diego Luna</t>
  </si>
  <si>
    <t>def86a86-e707-4a7a-85cb-e48de7c05fa2</t>
  </si>
  <si>
    <t>Diego Luna
Danna Paola
Christian Nodal</t>
  </si>
  <si>
    <t>Eugenio Derbéz
Paola Rojas
Diego Luna
Danna Paola</t>
  </si>
  <si>
    <t>Diego Luna
Danna Paola
Eugenio Derbéz
Christian Nodal</t>
  </si>
  <si>
    <t>Eugenio Derbéz
Danna Paola
Paola Rojas</t>
  </si>
  <si>
    <t>5c951ea2-f223-4b01-9457-1e8fa322c387</t>
  </si>
  <si>
    <t>Luisito Comunica
Eugenio Derbéz
José Eduardo Derbéz
Miguel Layun
Chucky Lozano</t>
  </si>
  <si>
    <t>Luisito Comunica
Eugenio Derbéz
José Eduardo Derbéz
Chucky Lozano</t>
  </si>
  <si>
    <t>Eugenio Derbéz
Luisito Comunica
Chucky Lozano
José Eduardo Derbéz</t>
  </si>
  <si>
    <t>Luisito Comunica
Miguel Layun
Chucky Lozano</t>
  </si>
  <si>
    <t>2e4fa29b-5c38-4106-af03-6983d7c3ecd4</t>
  </si>
  <si>
    <t>Chucky Lozano
José Eduardo Derbéz
La cotorrisa, Leyendas legendarias</t>
  </si>
  <si>
    <t>Natalia Lafourcade
Paola Rojas
Leyendas legendarias</t>
  </si>
  <si>
    <t>José Eduardo Derbéz
Chucky Lozano
La cotorrisa, La hora feliz</t>
  </si>
  <si>
    <t>Natalia Lafourcade
Paola Rojas
Chucky Lozano</t>
  </si>
  <si>
    <t>La cotorrisa, Leyendas legendarias</t>
  </si>
  <si>
    <t>31f34277-b990-4ef9-8fd8-df5e2b83ebf4</t>
  </si>
  <si>
    <t>Eugenio Derbéz
Natalia Lafourcade
Diego Luna</t>
  </si>
  <si>
    <t>Natalia Lafourcade
Diego Luna
Marco Antonio Solis</t>
  </si>
  <si>
    <t>N</t>
  </si>
  <si>
    <t>e6440722-ce2f-4449-9aa7-d8195c75b421</t>
  </si>
  <si>
    <t>Natalia Lafourcade
Luisito Comunica
Martha Higareda</t>
  </si>
  <si>
    <t>7761dfd4-bb48-4bed-8231-c8e6aa56fae0</t>
  </si>
  <si>
    <t>Luisito Comunica
Danna Paola
José Eduardo Derbéz
Mario Aguilar</t>
  </si>
  <si>
    <t>Danna Paola
Luisito Comunica
Martha Higareda
Paola Rojas</t>
  </si>
  <si>
    <t>Natalia Lafourcade
Chumel Torres
Martha Higareda
Paola Rojas</t>
  </si>
  <si>
    <t>Eugenio Derbéz
Natalia Lafourcade
José Eduardo Derbéz
Paola Rojas</t>
  </si>
  <si>
    <t>60b79fd4-e2d4-42c9-ba6c-d25a6715300f</t>
  </si>
  <si>
    <t>Luisito Comunica
Christian Nodal
Diego Luna
Miguel Layun
Marco Antonio Solis</t>
  </si>
  <si>
    <t>Luisito Comunica
Christian Nodal
Marco Antonio Solis
Miguel Layun
Diego Luna</t>
  </si>
  <si>
    <t>Luisito Comunica
Miguel Layun
Christian Nodal
Marco Antonio Solis
Diego Luna</t>
  </si>
  <si>
    <t>Luisito Comunica
Christian Nodal
Miguel Layun
Marco Antonio Solis
Diego Luna</t>
  </si>
  <si>
    <t>bc48134d-bddf-41b7-aa91-93a774978fb9</t>
  </si>
  <si>
    <t>Miguel Layun
Diego Luna
Kim Loaiza</t>
  </si>
  <si>
    <t>Natalia Lafourcade
Eugenio Derbéz
Danna Paola</t>
  </si>
  <si>
    <t>Danna Paola
Martha Higareda
Paola Rojas</t>
  </si>
  <si>
    <t>Paola Rojas
Natalia Lafourcade
Martha Higareda
Diego Luna</t>
  </si>
  <si>
    <t>39e8387b-9f79-4464-a6ad-2878797a1c51</t>
  </si>
  <si>
    <t>Chumel Torres
José Eduardo Derbéz
Eugenio Derbéz</t>
  </si>
  <si>
    <t>Eugenio Derbéz
Chumel Torres
Diego Luna</t>
  </si>
  <si>
    <t>Si, a personas con necesidades reales</t>
  </si>
  <si>
    <t>bfca00b5-772c-44b0-b3c8-8ae72dbf59f3</t>
  </si>
  <si>
    <t>Christian Nodal
Eugenio Derbéz
Natalia Lafourcade
Marco Antonio Solis
Diego Luna</t>
  </si>
  <si>
    <t>Eugenio Derbéz
Christian Nodal
Natalia Lafourcade</t>
  </si>
  <si>
    <t>Eugenio Derbéz
Kim Loaiza
Luis Miguel
Marco Antonio Solis
Diego Luna</t>
  </si>
  <si>
    <t>Chucky Lozano
Christian Nodal
Marco Antonio Solis</t>
  </si>
  <si>
    <t>Danna Paola
Kim Loaiza
José Eduardo Derbéz</t>
  </si>
  <si>
    <t>Luis Miguel
Eugenio Derbéz
Chucky Lozano</t>
  </si>
  <si>
    <t>3ef77d80-f332-40ec-b4a1-9b0ca6837c97</t>
  </si>
  <si>
    <t>Luisito Comunica
Paola Rojas
Martha Higareda
Seriedad ante todo</t>
  </si>
  <si>
    <t>Martha Higareda
Paola Rojas
Luisito Comunica</t>
  </si>
  <si>
    <t>Luisito Comunica
Martha Higareda
Paola Rojas</t>
  </si>
  <si>
    <t>38864404-9691-4a90-8952-583d2d770c8f</t>
  </si>
  <si>
    <t>Danna Paola
Diego Luna
Luisito Comunica
Chumel Torres
Eugenio Derbéz</t>
  </si>
  <si>
    <t>Christian Nodal
Chumel Torres
Danna Paola
Luisito Comunica</t>
  </si>
  <si>
    <t>Luisito Comunica
Natalia Lafourcade
Chumel Torres</t>
  </si>
  <si>
    <t>Chumel Torres
Luisito Comunica
Diego Luna</t>
  </si>
  <si>
    <t>c23e9c9d-9352-4572-b9f7-6cc3c1470ad4</t>
  </si>
  <si>
    <t>Luisito Comunica
Eugenio Derbéz
José Eduardo Derbéz
Christian Nodal
Danna Paola</t>
  </si>
  <si>
    <t>Marco Antonio Solis
Luisito Comunica
Kim Loaiza</t>
  </si>
  <si>
    <t>Marco Antonio Solis
Luis Miguel
Luisito Comunica</t>
  </si>
  <si>
    <t>Kim Loaiza
Christian Nodal
Luisito Comunica</t>
  </si>
  <si>
    <t>Luisito Comunica
Christian Nodal
Marco Antonio Solis</t>
  </si>
  <si>
    <t>Franco escamilla</t>
  </si>
  <si>
    <t>256e5094-6648-46d2-969f-325019bd2cfc</t>
  </si>
  <si>
    <t>Luisito Comunica
Natalia Lafourcade
Eugenio Derbéz</t>
  </si>
  <si>
    <t>Eugenio Derbéz
Natalia Lafourcade
José Eduardo Derbéz</t>
  </si>
  <si>
    <t>897fd507-315c-418a-85bd-1ac262f15ea7</t>
  </si>
  <si>
    <t>José Eduardo Derbéz
Martha Higareda
Eugenio Derbéz</t>
  </si>
  <si>
    <t>Martha Higareda
Eugenio Derbéz
José Eduardo Derbéz
Marco Antonio Solis</t>
  </si>
  <si>
    <t>Eugenio Derbéz
Martha Higareda
José Eduardo Derbéz
Marco Antonio Solis</t>
  </si>
  <si>
    <t>Marco Antonio Solis
José Eduardo Derbéz
Eugenio Derbéz
Martha Higareda</t>
  </si>
  <si>
    <t>Galilea montijo</t>
  </si>
  <si>
    <t>0239c295-8b3c-401c-a9ef-002b0a96df13</t>
  </si>
  <si>
    <t>José Eduardo Derbéz
Eugenio Derbéz
Marco Antonio Solis</t>
  </si>
  <si>
    <t>15f3b7aa-5bcb-41f5-9fde-d64f9f89c1d6</t>
  </si>
  <si>
    <t>Luisito Comunica
Chucky Lozano
Eugenio Derbéz
Danna Paola</t>
  </si>
  <si>
    <t>Danna Paola
Christian Nodal
Eugenio Derbéz
Diego Luna</t>
  </si>
  <si>
    <t>José Eduardo Derbéz
Luis Miguel
Chumel Torres</t>
  </si>
  <si>
    <t>Chucky Lozano
Kim Loaiza
Paola Rojas
Christian Nodal</t>
  </si>
  <si>
    <t>Paola Rojas
Eugenio Derbéz
Martha Higareda
Chucky Lozano</t>
  </si>
  <si>
    <t>4c09ce9b-07d0-4663-b28f-645f022681f1</t>
  </si>
  <si>
    <t>Chucky Lozano
Danna Paola
Luis Miguel</t>
  </si>
  <si>
    <t>Danna Paola
Chucky Lozano
Diego Luna</t>
  </si>
  <si>
    <t>Chucky Lozano
Danna Paola
Diego Luna</t>
  </si>
  <si>
    <t>Christian Nodal
Chucky Lozano
Diego Luna</t>
  </si>
  <si>
    <t>The Warning</t>
  </si>
  <si>
    <t>6df2448d-9657-4bfc-94a5-dacf084360c6</t>
  </si>
  <si>
    <t>Danna Paola
Miguel Layun
Chucky Lozano</t>
  </si>
  <si>
    <t>Paola Rojas
Miguel Layun
Chucky Lozano</t>
  </si>
  <si>
    <t>Miguel Layun
Paola Rojas
Chucky Lozano</t>
  </si>
  <si>
    <t>8505c8da-1593-432a-ba4d-68637685aab5</t>
  </si>
  <si>
    <t>Eugenio Derbéz
Martha Higareda
Luisito Comunica</t>
  </si>
  <si>
    <t>Luisito Comunica
Paola Rojas
Eugenio Derbéz</t>
  </si>
  <si>
    <t>Chucky Lozano
Luisito Comunica
Eugenio Derbéz</t>
  </si>
  <si>
    <t>9538395b-433f-48b5-b650-787428622cc3</t>
  </si>
  <si>
    <t>José Eduardo Derbéz
Martha Higareda
Eugenio Derbéz
Danna Paola</t>
  </si>
  <si>
    <t>Natalia Lafourcade
Eugenio Derbéz
José Eduardo Derbéz
Martha Higareda</t>
  </si>
  <si>
    <t>721f3a1b-4ae2-4274-b00a-c8b3e95ee135</t>
  </si>
  <si>
    <t>3917e6eb-35bc-4ea2-95a4-e6e3c55d80b2</t>
  </si>
  <si>
    <t>d78e4245-8907-4881-b081-1ff57e16009f</t>
  </si>
  <si>
    <t>Eugenio Derbéz
Diego Luna
Alguien diferente</t>
  </si>
  <si>
    <t>Eugenio Derbéz
Diego Luna
Martha Higareda</t>
  </si>
  <si>
    <t>No sé me ocurre de momento</t>
  </si>
  <si>
    <t>de3632f7-4a88-40f7-9a1c-7b5036f87f68</t>
  </si>
  <si>
    <t>Natalia Lafourcade
Marco Antonio Solis
Diego Luna</t>
  </si>
  <si>
    <t>Natalia Lafourcade
Diego Luna
Martha Higareda</t>
  </si>
  <si>
    <t>9025d973-db79-4a4a-8927-060e3668ea17</t>
  </si>
  <si>
    <t>Paola Rojas
Eugenio Derbéz
CEO de Klar</t>
  </si>
  <si>
    <t>Eugenio Derbéz
Paola Rojas
CEO de Klar</t>
  </si>
  <si>
    <t>Paola Rojas
Natalia Lafourcade
Eugenio Derbéz</t>
  </si>
  <si>
    <t>CEO de Klar</t>
  </si>
  <si>
    <t>de483dc3-3ca3-4f28-b85a-d9e084dc592a</t>
  </si>
  <si>
    <t>c0b42169-b23f-4e8b-ba5f-336b9f38afc2</t>
  </si>
  <si>
    <t>Martha Higareda
Diego Luna
Paola Rojas</t>
  </si>
  <si>
    <t>Natalia Lafourcade
Danna Paola
Paola Rojas
Martha Higareda
Diego Luna</t>
  </si>
  <si>
    <t>Chucky Lozano
Miguel Layun
Martha Higareda
Paola Rojas
Diego Luna</t>
  </si>
  <si>
    <t>734ac2d4-479f-4d9f-b075-3c581d18679b</t>
  </si>
  <si>
    <t>ce3ccc21-c5f3-4661-90db-a93a7277693a</t>
  </si>
  <si>
    <t>Marco Antonio Solis
Eugenio Derbéz
a una person normal. expresando cómo le ha servido su tarjeta Klar. es mas creible que un títere que le pagan por decir lo que las empresas desean...</t>
  </si>
  <si>
    <t>Marco Antonio Solis
Natalia Lafourcade
Paola Rojas</t>
  </si>
  <si>
    <t>esperaba una encuesta con mayor importancia...</t>
  </si>
  <si>
    <t>4b8821b3-9041-4cb3-919e-3ff89f3d27ec</t>
  </si>
  <si>
    <t>8834e6a0-77d2-412b-8665-2adc0af28e0d</t>
  </si>
  <si>
    <t>13336723-29b2-45e6-afb0-8bb36509e38a</t>
  </si>
  <si>
    <t>Eugenio Derbéz
Martha Higareda
Luis Miguel</t>
  </si>
  <si>
    <t>Eugenio Derbéz
Christian Nodal
Luis Miguel
Martha Higareda</t>
  </si>
  <si>
    <t>Luis Miguel
Eugenio Derbéz
Martha Higareda</t>
  </si>
  <si>
    <t>601b5b58-4210-4353-820d-b30f61563bf2</t>
  </si>
  <si>
    <t>Natalia Lafourcade
Martha Higareda
Christian Nodal</t>
  </si>
  <si>
    <t>Natalia Lafourcade
Martha Higareda
Christian Nodal
Diego Luna</t>
  </si>
  <si>
    <t>Marco Antonio Solis
Luis Miguel
Christian Nodal</t>
  </si>
  <si>
    <t>Luisito Comunica
Chumel Torres
Christian Nodal
Martha Higareda
Natalia Lafourcade</t>
  </si>
  <si>
    <t>Enrique Bunbury</t>
  </si>
  <si>
    <t>ab54f1c4-952c-413f-872b-8fa46f8134a0</t>
  </si>
  <si>
    <t>Chumel Torres
Natalia Lafourcade
No es relevante</t>
  </si>
  <si>
    <t>Natalia Lafourcade
Chumel Torres
Miguel Layun</t>
  </si>
  <si>
    <t>Chumel Torres
Eugenio Derbéz
Miguel Layun</t>
  </si>
  <si>
    <t>bb3af24a-ab9c-410e-a6b3-a3997d6bc4ca</t>
  </si>
  <si>
    <t>Christian Nodal
Diego Luna
Gael Garcia</t>
  </si>
  <si>
    <t>Diego Luna
Christian Nodal
Gael garcia</t>
  </si>
  <si>
    <t>Eugenio Derbéz
Diego Luna
Gael Garcia</t>
  </si>
  <si>
    <t>df92b030-b139-405a-b8a9-d5d76d500df1</t>
  </si>
  <si>
    <t>Chumel Torres
Eugenio Derbéz
Diego Luna</t>
  </si>
  <si>
    <t>Chumel Torres
Paola Rojas
Diego Luna</t>
  </si>
  <si>
    <t>Paola Rojas
Natalia Lafourcade
Chumel Torres</t>
  </si>
  <si>
    <t>Carlos rivera</t>
  </si>
  <si>
    <t>816d1432-3a5d-4b04-a869-e4fef2c20289</t>
  </si>
  <si>
    <t>Danna Paola
Martha Higareda
José Eduardo Derbéz
Diego Luna
Luis Miguel</t>
  </si>
  <si>
    <t>Danna Paola
Luis Miguel
José Eduardo Derbéz</t>
  </si>
  <si>
    <t>José Eduardo Derbéz
Luis Miguel
Danna Paola</t>
  </si>
  <si>
    <t>José Eduardo Derbéz
Danna Paola
Diego Luna</t>
  </si>
  <si>
    <t>Paola Rojas
Danna Paola
José Eduardo Derbéz
Diego Luna</t>
  </si>
  <si>
    <t>e95e5bac-c7f7-4181-bf6a-f56eb7dcc10b</t>
  </si>
  <si>
    <t>Miguel Layun
Luis Miguel
Chumel Torres</t>
  </si>
  <si>
    <t>Miguel Layun
Chumel Torres
Luis Miguel</t>
  </si>
  <si>
    <t>Chucky Lozano
Luis Miguel
Miguel Layun</t>
  </si>
  <si>
    <t>Paola Rojas
Chumel Torres
Miguel Layun</t>
  </si>
  <si>
    <t>Paola Rojas
Miguel Layun
Chumel Torres</t>
  </si>
  <si>
    <t>@ japontok</t>
  </si>
  <si>
    <t>035b1d8e-97f1-4b5c-b540-57dd7ccd8da6</t>
  </si>
  <si>
    <t>Diego Luna
Eugenio Derbéz
Marco Antonio Solis</t>
  </si>
  <si>
    <t>Jesús delgado</t>
  </si>
  <si>
    <t>b5340966-754b-40a6-9cfe-92d57d946439</t>
  </si>
  <si>
    <t>Christian Nodal
Eugenio Derbéz
Chucky Lozano</t>
  </si>
  <si>
    <t>Christian Nodal
Chumel Torres
Marco Antonio Solis</t>
  </si>
  <si>
    <t>Martha Higareda
Marco Antonio Solis
Chucky Lozano</t>
  </si>
  <si>
    <t>93ff6849-5937-4849-8913-4b3890552a24</t>
  </si>
  <si>
    <t>José Eduardo Derbéz
Miguel Layun
Chucky Lozano</t>
  </si>
  <si>
    <t>Miguel Layun
Martha Higareda
José Eduardo Derbéz</t>
  </si>
  <si>
    <t>Luisito Comunica
Paola Rojas
José Eduardo Derbéz</t>
  </si>
  <si>
    <t>265a30e3-b94e-4d76-8741-a09fcdb50dcd</t>
  </si>
  <si>
    <t>Danna Paola
Martha Higareda
Chumel Torres</t>
  </si>
  <si>
    <t>Chumel Torres
Natalia Lafourcade
Christian Nodal
Danna Paola
Martha Higareda</t>
  </si>
  <si>
    <t>Natalia Lafourcade
Paola Rojas
Danna Paola
Martha Higareda
Diego Luna</t>
  </si>
  <si>
    <t>Christian Nodal
Diego Luna
Danna Paola
Martha Higareda
Chumel Torres</t>
  </si>
  <si>
    <t>Danna Paola
Martha Higareda
Chumel Torres
Diego Luna</t>
  </si>
  <si>
    <t>ba3d5508-e8d8-4313-af7d-82f341131c51</t>
  </si>
  <si>
    <t>Marco Antonio Solis
Eugenio Derbéz
José Eduardo Derbéz</t>
  </si>
  <si>
    <t>Paola Rojas
José Eduardo Derbéz
Eugenio Derbéz</t>
  </si>
  <si>
    <t>75f58e9c-dfa0-4e72-af6d-e9e6ca25499f</t>
  </si>
  <si>
    <t>Luisito Comunica
Danna Paola
Herly</t>
  </si>
  <si>
    <t>Luisito Comunica
Chucky Lozano
Chumel Torres</t>
  </si>
  <si>
    <t>Luisito Comunica
Chumel Torres
Natalia Lafourcade</t>
  </si>
  <si>
    <t>Herly</t>
  </si>
  <si>
    <t>67fafc59-8b9b-4e9b-86e4-6b6e0eb609a7</t>
  </si>
  <si>
    <t>Marco Antonio Solis
Luisito Comunica
Martha Higareda</t>
  </si>
  <si>
    <t>c4f424dd-3b2e-48d2-ac78-697271a86657</t>
  </si>
  <si>
    <t>Luisito Comunica
Danna Paola
Martha Higareda
Eugenio Derbéz
Christian Nodal</t>
  </si>
  <si>
    <t>Luisito Comunica
Eugenio Derbéz
Christian Nodal
Martha Higareda</t>
  </si>
  <si>
    <t>Luisito Comunica
Martha Higareda
Christian Nodal</t>
  </si>
  <si>
    <t>Luisito Comunica
Martha Higareda
Danna Paola
Christian Nodal</t>
  </si>
  <si>
    <t>7000add2-9469-4ee9-a93a-d840770d3998</t>
  </si>
  <si>
    <t>Eugenio Derbéz
Kim Loaiza
Diego Luna
Escribe otra opción</t>
  </si>
  <si>
    <t>Danna Paola
Christian Nodal
Eugenio Derbéz</t>
  </si>
  <si>
    <t>Kim loaiza</t>
  </si>
  <si>
    <t>365cff5f-e304-4fca-90c9-77a54a0fa387</t>
  </si>
  <si>
    <t>Danna Paola
Chumel Torres
José Eduardo Derbéz
Eugenio Derbéz</t>
  </si>
  <si>
    <t>Eugenio Derbéz
Chumel Torres
José Eduardo Derbéz</t>
  </si>
  <si>
    <t>José Eduardo Derbéz
Eugenio Derbéz
Chumel Torres</t>
  </si>
  <si>
    <t>Luisito Comunica
Eugenio Derbéz
Natalia Lafourcade
Chumel Torres</t>
  </si>
  <si>
    <t>875106e3-49e0-48f1-b29f-b311423fad3d</t>
  </si>
  <si>
    <t>Chucky Lozano
Eugenio Derbéz
Kim Loaiza</t>
  </si>
  <si>
    <t>Chucky Lozano
Kim Loaiza
Eugenio Derbéz</t>
  </si>
  <si>
    <t>Chucky Lozano
Kim Loaiza
Miguel Layun</t>
  </si>
  <si>
    <t>530dfe04-6595-4816-b10c-7b582ec66bb7</t>
  </si>
  <si>
    <t>Marco Antonio Solis
Danna Paola
Natalia Lafourcade</t>
  </si>
  <si>
    <t>Natalia Lafourcade
Marco Antonio Solis
Danna Paola</t>
  </si>
  <si>
    <t>Laura León</t>
  </si>
  <si>
    <t>c0574bf7-59e8-4e78-8758-945d142e3201</t>
  </si>
  <si>
    <t>Luisito Comunica
Luis Miguel
Eugenio Derbéz</t>
  </si>
  <si>
    <t>bf16d9a3-87a8-43fa-85f2-c4a1804c1a4b</t>
  </si>
  <si>
    <t>José Eduardo Derbéz
Diego Luna
Eugenio Derbéz</t>
  </si>
  <si>
    <t>5bdee80c-9236-4af9-a5d0-d2394826035f</t>
  </si>
  <si>
    <t>Danna Paola
Eugenio Derbéz
Chayanne</t>
  </si>
  <si>
    <t>Eugenio Derbéz
Marco Antonio Solis
Chayanne</t>
  </si>
  <si>
    <t>Eugenio Derbéz
Christian Nodal
Chayanne</t>
  </si>
  <si>
    <t>2f9d79b5-3085-4c26-b3d5-eecc2fb42889</t>
  </si>
  <si>
    <t>Eugenio Derbéz
Chucky Lozano
Danna Paola</t>
  </si>
  <si>
    <t>Danna Paola
Miguel Layun
Eugenio Derbéz</t>
  </si>
  <si>
    <t>Diego Luna
Martha Higareda
Eugenio Derbéz</t>
  </si>
  <si>
    <t>ee7f4aed-47e6-4be1-b827-d7a35189c36a</t>
  </si>
  <si>
    <t>Eugenio Derbéz
Paola Rojas
Roberto Martínez o El mariana</t>
  </si>
  <si>
    <t>José Eduardo Derbéz
Luisito Comunica
Pongamos lo a prueba</t>
  </si>
  <si>
    <t>José Eduardo Derbéz
Marco Antonio Solis
Pongamos lo a prueba</t>
  </si>
  <si>
    <t>Eugenio Derbéz
Luisito Comunica
El mariana</t>
  </si>
  <si>
    <t>Casi ninguno de los anteriores</t>
  </si>
  <si>
    <t>08bee60d-b496-484a-a3f0-4086308bdffe</t>
  </si>
  <si>
    <t>14cf71c8-be28-44c2-aae1-f1780e22a150</t>
  </si>
  <si>
    <t>Danna Paola
Eugenio Derbéz
Martha Higareda
Chucky Lozano
Diego Luna</t>
  </si>
  <si>
    <t>Eugenio Derbéz
Danna Paola
Martha Higareda
Paola Rojas
Diego Luna</t>
  </si>
  <si>
    <t>Eugenio Derbéz
Martha Higareda
Paola Rojas
Diego Luna</t>
  </si>
  <si>
    <t>Eugenio Derbéz
Martha Higareda
Paola Rojas
Danna Paola
Diego Luna</t>
  </si>
  <si>
    <t>fc3efb55-5dc7-40e7-88ce-0409e2bcadc0</t>
  </si>
  <si>
    <t>Miguel Layun
Eugenio Derbéz
Danna Paola
Paola Rojas
Chucky Lozano</t>
  </si>
  <si>
    <t>Eugenio Derbéz
Miguel Layun
Danna Paola
Chucky Lozano
Paola Rojas</t>
  </si>
  <si>
    <t>Danna Paola
Eugenio Derbéz
Marco Antonio Solis
Luis Miguel
Paola Rojas</t>
  </si>
  <si>
    <t>José Eduardo Derbéz
Eugenio Derbéz
Danna Paola
Kim Loaiza
Paola Rojas</t>
  </si>
  <si>
    <t>Luisito Comunica
Eugenio Derbéz
Paola Rojas
Diego Luna</t>
  </si>
  <si>
    <t>929203a5-e15e-4143-963e-9151a4c97160</t>
  </si>
  <si>
    <t>Eugenio Derbéz
Chumel Torres
Alex montiel</t>
  </si>
  <si>
    <t>Chumel Torres
Eugenio Derbéz
Alex montiel</t>
  </si>
  <si>
    <t>Alejandro montiel Gutiérrez</t>
  </si>
  <si>
    <t>55a015b7-c131-4558-9f60-e2fb1879fe3d</t>
  </si>
  <si>
    <t>Natalia Lafourcade
José Eduardo Derbéz
Luisito Comunica
Chumel Torres</t>
  </si>
  <si>
    <t>José Eduardo Derbéz
Luisito Comunica
Chumel Torres</t>
  </si>
  <si>
    <t>Si es para publicidad! Alguien sin situaciones de polemica</t>
  </si>
  <si>
    <t>aeec3c77-1d59-46f0-b4cb-6dfdcb6b1bfa</t>
  </si>
  <si>
    <t>Miguel Layun
Natalia Lafourcade
Chumel Torres</t>
  </si>
  <si>
    <t>Natalia Lafourcade
José Eduardo Derbéz
Miguel Layun</t>
  </si>
  <si>
    <t>Miguel Layun
Diego Luna
Chumel Torres</t>
  </si>
  <si>
    <t>Miguel Layun
Chumel Torres
José Eduardo Derbéz</t>
  </si>
  <si>
    <t>Roberto Martínez</t>
  </si>
  <si>
    <t>94abc9f3-b031-4726-b92a-327e3e769102</t>
  </si>
  <si>
    <t>Chucky Lozano
Danna Paola
Christian Nodal</t>
  </si>
  <si>
    <t>Christian Nodal
Danna Paola
Chucky Lozano</t>
  </si>
  <si>
    <t>1c5f34aa-421a-4d32-beef-aaf6199e8dbb</t>
  </si>
  <si>
    <t>8713c466-98b6-43fa-b5a2-b0e03a34ace4</t>
  </si>
  <si>
    <t>Eugenio Derbéz
Danna Paola
Chucky Lozano
Christian Nodal
Chumel Torres</t>
  </si>
  <si>
    <t>Eugenio Derbéz
Christian Nodal
Chucky Lozano
Miguel Layun</t>
  </si>
  <si>
    <t>Miguel Layun
Kim Loaiza
Chucky Lozano
Eugenio Derbéz
Christian Nodal</t>
  </si>
  <si>
    <t>Marco Antonio Solis
Kim Loaiza
Christian Nodal
Eugenio Derbéz</t>
  </si>
  <si>
    <t>Eugenio Derbéz
Christian Nodal
Chucky Lozano</t>
  </si>
  <si>
    <t>ae447fe1-1361-4cf7-8255-9a660af2ef51</t>
  </si>
  <si>
    <t>Danna Paola
Christian Nodal
Paola Rojas</t>
  </si>
  <si>
    <t>Paola Rojas
Christian Nodal
Danna Paola</t>
  </si>
  <si>
    <t>535207ad-eeac-47e4-bc4f-14832b75f992</t>
  </si>
  <si>
    <t>Eugenio Derbéz
José Eduardo Derbéz
Luis Miguel</t>
  </si>
  <si>
    <t>73f92d2d-9555-4507-9d52-34c1c0944271</t>
  </si>
  <si>
    <t>a7a486b7-2c63-4136-b7a2-04437768e1d3</t>
  </si>
  <si>
    <t>Natalia Lafourcade
Eugenio Derbéz
Luisito Comunica</t>
  </si>
  <si>
    <t>Luisito Comunica
Luis Miguel
Eugenio Derbéz
Danna Paola
Natalia Lafourcade</t>
  </si>
  <si>
    <t>3f5ac23a-17f0-4db4-90f6-0203c9b27096</t>
  </si>
  <si>
    <t>Martha Higareda
Diego Luna
José Eduardo Derbéz
Natalia Lafourcade
Danna Paola</t>
  </si>
  <si>
    <t>3bc5187a-b71a-4c75-8945-f5155f038d2c</t>
  </si>
  <si>
    <t>Eugenio Derbéz
Luisito Comunica
Kim Loaiza
Christian Nodal</t>
  </si>
  <si>
    <t>Luisito Comunica
Eugenio Derbéz
Christian Nodal
Kim Loaiza</t>
  </si>
  <si>
    <t>Kim Loaiza
Luisito Comunica
Eugenio Derbéz
Christian Nodal</t>
  </si>
  <si>
    <t>Luisito Comunica
Eugenio Derbéz
Kim Loaiza
Christian Nodal</t>
  </si>
  <si>
    <t>a92c499c-9585-4d41-a1ad-64e5ad81d71a</t>
  </si>
  <si>
    <t>José Eduardo Derbéz
Chucky Lozano
Diego Luna</t>
  </si>
  <si>
    <t>Luisito Comunica
José Eduardo Derbéz
Chucky Lozano</t>
  </si>
  <si>
    <t>Chucky Lozano
Luisito Comunica
Diego Luna</t>
  </si>
  <si>
    <t>3d953d98-f851-421a-9141-aafd13a42559</t>
  </si>
  <si>
    <t>Danna Paola
Chucky Lozano
Christian Nodal</t>
  </si>
  <si>
    <t>8616ab46-f6aa-46a9-a967-30e263e3a86a</t>
  </si>
  <si>
    <t>Escorpión dorado</t>
  </si>
  <si>
    <t>8df710c9-d345-4df7-88e2-7d65d573ab0a</t>
  </si>
  <si>
    <t>Danna Paola
Luis Miguel
Diego Luna</t>
  </si>
  <si>
    <t>Eugenio Derbéz
Luis Miguel
Danna Paola</t>
  </si>
  <si>
    <t>Danna Paola
Natalia Lafourcade
Luis Miguel</t>
  </si>
  <si>
    <t>88105343-3ca3-4454-a6d7-1b836c82b891</t>
  </si>
  <si>
    <t>0dc90358-1909-4302-8729-53b8cb8f41af</t>
  </si>
  <si>
    <t>Luisito Comunica
José Eduardo Derbéz
Eugenio Derbéz
Martha Higareda</t>
  </si>
  <si>
    <t>ec341877-8ea5-4297-bbce-09751e9fa7f1</t>
  </si>
  <si>
    <t>Christian Nodal
Marco Antonio Solis
Luis Miguel</t>
  </si>
  <si>
    <t>Martha Higareda
Luis Miguel
Marco Antonio Solis</t>
  </si>
  <si>
    <t>3b7161b8-0bfd-4855-af85-6b981f3b5fce</t>
  </si>
  <si>
    <t>Miguel Layun
Diego Luna
Paola Rojas</t>
  </si>
  <si>
    <t>84966db7-8c72-4a5e-89b6-e5f581c94829</t>
  </si>
  <si>
    <t>Natalia Lafourcade
Danna Paola
Eugenio Derbéz
Martha Higareda
Diego Luna</t>
  </si>
  <si>
    <t>Eugenio Derbéz
Luis Miguel
Danna Paola
Diego Luna</t>
  </si>
  <si>
    <t>1198ee37-8963-4045-8534-ded1df6cbbdc</t>
  </si>
  <si>
    <t>Martha Higareda
José Eduardo Derbéz
Paola Rojas</t>
  </si>
  <si>
    <t>3474a09f-5d43-441a-8738-ac799894f1ba</t>
  </si>
  <si>
    <t>a58b93b8-68d2-474b-a942-f754d8f76d99</t>
  </si>
  <si>
    <t>Kim Loaiza
Danna Paola
Paola Rojas</t>
  </si>
  <si>
    <t>Danna Paola
Marco Antonio Solis
Kim Loaiza
Paola Rojas</t>
  </si>
  <si>
    <t>Kim Loaiza
Marco Antonio Solis
Paola Rojas</t>
  </si>
  <si>
    <t>Paola Rojas
Marco Antonio Solis
Kim Loaiza
Danna Paola</t>
  </si>
  <si>
    <t>Paola Rojas
Kim Loaiza
Marco Antonio Solis</t>
  </si>
  <si>
    <t>f164fdbb-9b61-42bd-99fe-4038288bbada</t>
  </si>
  <si>
    <t>Chucky Lozano
Kim Loaiza
José Eduardo Derbéz</t>
  </si>
  <si>
    <t>Chucky Lozano
José Eduardo Derbéz
Paola Rojas</t>
  </si>
  <si>
    <t>Danna Paola
Martha Higareda
José Eduardo Derbéz</t>
  </si>
  <si>
    <t>Martha Higareda
Paola Rojas
José Eduardo Derbéz</t>
  </si>
  <si>
    <t>5b0209c2-6a25-4ecf-bf7d-ef4464dd53c7</t>
  </si>
  <si>
    <t>Miguel Layun
Eugenio Derbéz
Kim Loaiza
Luisito Comunica</t>
  </si>
  <si>
    <t>Luis Miguel
José Eduardo Derbéz
Diego Luna</t>
  </si>
  <si>
    <t>033039cd-6ccf-4500-a9c6-82135b9847d7</t>
  </si>
  <si>
    <t>Christian Nodal
José Eduardo Derbéz
Marco Antonio Solis</t>
  </si>
  <si>
    <t>Natalia Lafourcade
Danna Paola
José Eduardo Derbéz</t>
  </si>
  <si>
    <t>Eugenio Derbéz
Marco Antonio Solis
Natalia Lafourcade</t>
  </si>
  <si>
    <t>0e77377a-95b7-4cb5-b0af-9b08ab52e61d</t>
  </si>
  <si>
    <t>Natalia Lafourcade
Danna Paola
Una persona común y corriente que te dé entender las cosas y no paresca falso</t>
  </si>
  <si>
    <t>Natalia Lafourcade
Diego Luna
Danna Paola</t>
  </si>
  <si>
    <t>José Eduardo Derbéz
Natalia Lafourcade
Danna Paola</t>
  </si>
  <si>
    <t>Una persona normal común y corriente</t>
  </si>
  <si>
    <t>2cf342aa-eb48-4ae1-915c-f727d63bf849</t>
  </si>
  <si>
    <t>Diego Luna
Luis Miguel
Danna Paola</t>
  </si>
  <si>
    <t>Kim Loaiza
Luisito Comunica
Christian Nodal
Marco Antonio Solis</t>
  </si>
  <si>
    <t>Luis Miguel
Chumel Torres
Paola Rojas</t>
  </si>
  <si>
    <t>Eugenio Derbéz
Luisito Comunica
Martha Higareda
Paola Rojas</t>
  </si>
  <si>
    <t>73a36370-675a-4f01-939a-ea0b53e73858</t>
  </si>
  <si>
    <t>Christian Nodal
Luisito Comunica
Martha Higareda</t>
  </si>
  <si>
    <t>Chucky Lozano
Marco Antonio Solis
Luisito Comunica</t>
  </si>
  <si>
    <t>bf582b92-d94c-4066-9abf-e72b2d7114c7</t>
  </si>
  <si>
    <t>José Eduardo Derbéz
Eugenio Derbéz
Diego Luna</t>
  </si>
  <si>
    <t>José Eduardo Derbéz
Paola Rojas
Martha Higareda
Eugenio Derbéz
Diego Luna</t>
  </si>
  <si>
    <t>7c96c9d0-1761-49ae-913f-58088cf7bdc8</t>
  </si>
  <si>
    <t>Paola Rojas
Diego Luna
Natalia Lafourcade</t>
  </si>
  <si>
    <t>d1c4c53a-5cc1-48b9-bef6-adf63100d4d9</t>
  </si>
  <si>
    <t>Antonio Esquinca</t>
  </si>
  <si>
    <t>83daf41d-d91f-4eac-8910-6840ada88022</t>
  </si>
  <si>
    <t>José Eduardo Derbéz
Kim Loaiza
Christian Nodal</t>
  </si>
  <si>
    <t>Christian Nodal
Kim Loaiza
José Eduardo Derbéz</t>
  </si>
  <si>
    <t>Kim Loaiza
José Eduardo Derbéz
Christian Nodal</t>
  </si>
  <si>
    <t>2fa74672-7c6b-436b-b3cf-76c780de6ebd</t>
  </si>
  <si>
    <t>6391378a-f2de-4787-b484-6f5b077fa04c</t>
  </si>
  <si>
    <t>Luisito Comunica
Kim Loaiza
CR7</t>
  </si>
  <si>
    <t>Luisito Comunica
Chucky Lozano
Danna Paola
Natalia Lafourcade</t>
  </si>
  <si>
    <t>CR7 SIIUUUUU</t>
  </si>
  <si>
    <t>6cc9864a-5f44-4d12-80f6-59fb60bcad74</t>
  </si>
  <si>
    <t>Luisito Comunica
Luis Miguel
Danna Paola</t>
  </si>
  <si>
    <t>Christian Nodal
Luisito Comunica
Martha Higareda
Eugenio Derbéz
Luis Miguel</t>
  </si>
  <si>
    <t>32660de8-e393-40b9-8908-7c00ef6c2df3</t>
  </si>
  <si>
    <t>Luisito Comunica
Danna Paola
José Eduardo Derbéz
Eugenio Derbéz</t>
  </si>
  <si>
    <t>Eugenio Derbéz
Danna Paola
Luisito Comunica</t>
  </si>
  <si>
    <t>3da11208-0b6c-4b7e-b088-95d9dd0b8e5a</t>
  </si>
  <si>
    <t>Eugenio Derbéz
Kim Loaiza
Paola Rojas</t>
  </si>
  <si>
    <t>Eugenio Derbéz
Paola Rojas
Kim Loaiza</t>
  </si>
  <si>
    <t>df36ba66-e105-475b-ad4b-0d255c59615b</t>
  </si>
  <si>
    <t>Danna Paola
Eugenio Derbéz
Miguel Layun</t>
  </si>
  <si>
    <t>Eugenio Derbéz
Miguel Layun
Danna Paola</t>
  </si>
  <si>
    <t>Eugenio Derbéz
Danna Paola
Miguel Layun</t>
  </si>
  <si>
    <t>10b19175-3275-41ba-96b0-7aa9196a0f6d</t>
  </si>
  <si>
    <t>Miguel Layun
Eugenio Derbéz
Paola Rojas
Chucky Lozano
Christian Nodal</t>
  </si>
  <si>
    <t>Eugenio Derbéz
Miguel Layun
Marco Antonio Solis
Chucky Lozano
Diego Luna</t>
  </si>
  <si>
    <t>Paola Rojas
Chucky Lozano
Danna Paola
Miguel Layun
Hector herrera</t>
  </si>
  <si>
    <t>Miguel Layun
Paola Rojas
Chucky Lozano
Eugenio Derbéz
Diego Luna</t>
  </si>
  <si>
    <t>Hector Herrera  (H H)</t>
  </si>
  <si>
    <t>fd4782bb-2b58-46cd-8bde-c8ecfd04470f</t>
  </si>
  <si>
    <t>Marco Antonio Solis
Luisito Comunica
Miguel Layun</t>
  </si>
  <si>
    <t>Eugenio Derbéz
Luisito Comunica
Natalia Lafourcade
Miguel Layun
Marco Antonio Solis</t>
  </si>
  <si>
    <t>Luis Miguel
José Eduardo Derbéz
Eugenio Derbéz
Marco Antonio Solis
Diego Luna</t>
  </si>
  <si>
    <t>José Eduardo Derbéz
Danna Paola
Miguel Layun</t>
  </si>
  <si>
    <t>Luisito Comunica
Natalia Lafourcade
Eugenio Derbéz
Paola Rojas</t>
  </si>
  <si>
    <t>7b13bcdb-2b3f-436a-8483-56930d1b487d</t>
  </si>
  <si>
    <t>Chumel Torres
Diego Luna
AMLO</t>
  </si>
  <si>
    <t>Natalia Lafourcade
Marco Antonio Solis
AMLO</t>
  </si>
  <si>
    <t>Eugenio Derbéz
Chucky Lozano
AMLO</t>
  </si>
  <si>
    <t>Christian Nodal
Martha Higareda
Chumel Torres</t>
  </si>
  <si>
    <t>a88c3131-cce3-4205-a6ff-7464ec554043</t>
  </si>
  <si>
    <t>Danna Paola
Martha Higareda
Eugenio Derbéz</t>
  </si>
  <si>
    <t>Danna Paola
Eugenio Derbéz
Paola Rojas
Martha Higareda</t>
  </si>
  <si>
    <t>dbd87ea9-c676-4fb1-8261-3129dad5b2ba</t>
  </si>
  <si>
    <t>7fe92fd1-290e-48bd-a73e-2dfda3d6df0a</t>
  </si>
  <si>
    <t>Paola Rojas
Marco Antonio Solis
José Eduardo Derbéz</t>
  </si>
  <si>
    <t>27f7c509-1d5d-4fb9-b917-8cc28e3922d5</t>
  </si>
  <si>
    <t>Luisito Comunica
Natalia Lafourcade
José Eduardo Derbéz
Chingu amiga</t>
  </si>
  <si>
    <t>José Eduardo Derbéz
Luisito Comunica
Natalia Lafourcade
Martha Higareda
Chingu amiga</t>
  </si>
  <si>
    <t>Martha Higareda
Natalia Lafourcade
Chingu amiga</t>
  </si>
  <si>
    <t>José Eduardo Derbéz
Natalia Lafourcade
Chingu amiga</t>
  </si>
  <si>
    <t>Luisito Comunica
Eugenio Derbéz
Natalia Lafourcade
Chingu amiga</t>
  </si>
  <si>
    <t>1c8c3e0f-6e01-40c0-8d5d-5d7039f4a2c0</t>
  </si>
  <si>
    <t>Luisito Comunica
Danna Paola
Martha Higareda
Luis Miguel
Miguel Layun</t>
  </si>
  <si>
    <t>Miguel Layun
Danna Paola
Luisito Comunica
Luis Miguel</t>
  </si>
  <si>
    <t>Danna Paola
Luisito Comunica
Miguel Layun</t>
  </si>
  <si>
    <t>Luisito Comunica
Miguel Layun
Danna Paola</t>
  </si>
  <si>
    <t>4f7bca3e-d44f-4433-8f02-7d4ecbda8220</t>
  </si>
  <si>
    <t>Danna Paola
Martha Higareda
Kim Loaiza</t>
  </si>
  <si>
    <t>63cf0c6a-2602-4230-8b3b-c255548a96d6</t>
  </si>
  <si>
    <t>Martha Higareda
José Eduardo Derbéz
Danna Paola</t>
  </si>
  <si>
    <t>Eugenio Derbéz
Martha Higareda
José Eduardo Derbéz
Natalia Lafourcade</t>
  </si>
  <si>
    <t>Martha Higareda
Marco Antonio Solis
José Eduardo Derbéz
Eugenio Derbéz
Danna Paola</t>
  </si>
  <si>
    <t>José Eduardo Derbéz
Danna Paola
Martha Higareda</t>
  </si>
  <si>
    <t>La que sea menos Kimberly</t>
  </si>
  <si>
    <t>86cd02f5-6b80-4375-95b1-53eee94ad126</t>
  </si>
  <si>
    <t>Natalia Lafourcade
Eugenio Derbéz
Christian Nodal</t>
  </si>
  <si>
    <t>Mario Casas</t>
  </si>
  <si>
    <t>fc183ed9-3388-433b-b3fc-0f23d2e57255</t>
  </si>
  <si>
    <t>Martha Higareda
Danna Paola
Eugenio Derbéz</t>
  </si>
  <si>
    <t>Martha Higareda
Luisito Comunica
Eugenio Derbéz</t>
  </si>
  <si>
    <t>1c1f3b66-025a-40ca-8127-261cf04456ef</t>
  </si>
  <si>
    <t>Danna Paola
Luisito Comunica
Martha Higareda
José Eduardo Derbéz
Kim Loaiza</t>
  </si>
  <si>
    <t>Luisito Comunica
Kim Loaiza
Eugenio Derbéz
Martha Higareda</t>
  </si>
  <si>
    <t>Luis Miguel
Diego Luna
Eugenio Derbéz</t>
  </si>
  <si>
    <t>Personas reales como yo</t>
  </si>
  <si>
    <t>74d05f1a-93b0-4c7d-b93f-045004fb2a91</t>
  </si>
  <si>
    <t>Eugenio Derbéz
Marco Antonio Solis
Chumel Torres</t>
  </si>
  <si>
    <t>Martha Higareda
Chumel Torres
Eugenio Derbéz</t>
  </si>
  <si>
    <t>d8c40755-be28-46cd-91d5-e39c13406273</t>
  </si>
  <si>
    <t>Luisito Comunica
Christian Nodal
Miguel Layun</t>
  </si>
  <si>
    <t>Eugenio Derbéz
Miguel Layun
Luisito Comunica</t>
  </si>
  <si>
    <t>José Eduardo Derbéz
Chucky Lozano
Luisito Comunica</t>
  </si>
  <si>
    <t>Edwin luna</t>
  </si>
  <si>
    <t>b14df8dc-9117-4a58-9cfb-22e8cfb72c8e</t>
  </si>
  <si>
    <t>963e84e1-a02f-46f5-8904-560fa409c40c</t>
  </si>
  <si>
    <t>Chumel Torres
Natalia Lafourcade
Diego Luna</t>
  </si>
  <si>
    <t>Natalia Lafourcade
Chumel Torres
Diego Luna</t>
  </si>
  <si>
    <t>Natalia Lafourcade
Diego Luna
Chumel Torres</t>
  </si>
  <si>
    <t>Eugenio Derbéz
Luisito Comunica
Miguel Layun</t>
  </si>
  <si>
    <t>Diego Luna
Chucky Lozano
Miguel Layun</t>
  </si>
  <si>
    <t>Luis Miguel
Chucky Lozano
Luisito Comunica</t>
  </si>
  <si>
    <t>71e6f7a6-780b-4c95-8d2e-1ceaf992ad2e</t>
  </si>
  <si>
    <t>Martha Higareda
Eugenio Derbéz
Macarena Acahaga o Bárbara Lopez</t>
  </si>
  <si>
    <t>Eugenio Derbéz
Martha Higareda
Bárbara López y Macarena Achaga</t>
  </si>
  <si>
    <t>Martha Higareda
Eugenio Derbéz
Bárbara López y Macarena Achaga</t>
  </si>
  <si>
    <t>Martha Higareda
Eugenio Derbéz
Bárbara Lopez y Macarena Achaga</t>
  </si>
  <si>
    <t>Bárbara López y Macarena Achaga</t>
  </si>
  <si>
    <t>6ab06362-ad25-467c-9c09-2f92cb72e98d</t>
  </si>
  <si>
    <t>Luisito Comunica
Diego Luna
Danna Paola</t>
  </si>
  <si>
    <t>Paola Rojas
Danna Paola
Luisito Comunica</t>
  </si>
  <si>
    <t>6ff594dc-0012-4e68-bff9-178d3fc3c23e</t>
  </si>
  <si>
    <t>Natalia Lafourcade
Luisito Comunica
Diego Luna</t>
  </si>
  <si>
    <t>Luisito Comunica
Marco Antonio Solis
Diego Luna</t>
  </si>
  <si>
    <t>Luisito Comunica
Diego Luna
Martha Higareda</t>
  </si>
  <si>
    <t>55fb11c5-7574-4161-a3a1-1a267bf023a2</t>
  </si>
  <si>
    <t>José Eduardo Derbéz
Marco Antonio Solis
Chumel Torres</t>
  </si>
  <si>
    <t>Eugenio Derbéz
José Eduardo Derbéz
Chumel Torres</t>
  </si>
  <si>
    <t>0071bd3d-b03d-4d5a-b27a-6c5a2a8c1ba9</t>
  </si>
  <si>
    <t>Luisito Comunica
Diego Luna
Marco Antonio Solis</t>
  </si>
  <si>
    <t>No tengo persona favorita</t>
  </si>
  <si>
    <t>7fb7c6c9-00d7-45c2-8a3f-17a673861bb4</t>
  </si>
  <si>
    <t>90b6a110-71bb-46ec-8d25-6f4338a2f00b</t>
  </si>
  <si>
    <t>Eugenio Derbéz
Martha Higareda
Natalia Lafourcade
Christian Nodal
Chucky Lozano</t>
  </si>
  <si>
    <t>Los mascabroders</t>
  </si>
  <si>
    <t>d00086bf-18d1-4edf-b605-96b6851a5044</t>
  </si>
  <si>
    <t>Diego Luna
Eugenio Derbéz
Christian Nodal</t>
  </si>
  <si>
    <t>Paola Rojas
Eugenio Derbéz
Christian Nodal
Marco Antonio Solis
Diego Luna</t>
  </si>
  <si>
    <t>Diego Luna
José Eduardo Derbéz
Eugenio Derbéz
Marco Antonio Solis</t>
  </si>
  <si>
    <t>Eugenio Derbéz
Diego Luna
José Eduardo Derbéz</t>
  </si>
  <si>
    <t>f1d18d1b-9b5d-4883-bc34-829893d5c9c0</t>
  </si>
  <si>
    <t>Marco Antonio Solis
Eugenio Derbéz
Kim Loaiza</t>
  </si>
  <si>
    <t>Eugenio Derbéz
Kim Loaiza
Diego Luna</t>
  </si>
  <si>
    <t>Kim Loaiza
Eugenio Derbéz
Marco Antonio Solis</t>
  </si>
  <si>
    <t>Antonio Rosique</t>
  </si>
  <si>
    <t>3a162de6-e498-4a36-b5af-9fd62982136a</t>
  </si>
  <si>
    <t>Eugenio Derbéz
José Eduardo Derbéz
Martha Higareda
Paola Rojas</t>
  </si>
  <si>
    <t>Paola Rojas
Eugenio Derbéz
José Eduardo Derbéz
Martha Higareda</t>
  </si>
  <si>
    <t>Martha Higareda
Paola Rojas
Eugenio Derbéz</t>
  </si>
  <si>
    <t>Martha Higareda
Paola Rojas
Eugenio Derbéz
José Eduardo Derbéz</t>
  </si>
  <si>
    <t>efa2b5e1-f946-4416-b29c-4692d8a9ff8a</t>
  </si>
  <si>
    <t>Martha Higareda
Eugenio Derbéz
Paola Rojas
Danna Paola</t>
  </si>
  <si>
    <t>Martha Higareda
Paola Rojas
Luis Miguel</t>
  </si>
  <si>
    <t>b4355eb6-1253-4f3f-80b0-5443370dc091</t>
  </si>
  <si>
    <t>Luisito Comunica
Natalia Lafourcade
Martha Higareda
Chumel Torres
Eugenio Derbéz</t>
  </si>
  <si>
    <t>Luisito Comunica
Martha Higareda
Eugenio Derbéz
Natalia Lafourcade
Chumel Torres</t>
  </si>
  <si>
    <t>Chumel Torres
Eugenio Derbéz
Martha Higareda
Luisito Comunica
Natalia Lafourcade</t>
  </si>
  <si>
    <t>Natalia Lafourcade
Martha Higareda
Eugenio Derbéz
Luisito Comunica
Chumel Torres</t>
  </si>
  <si>
    <t>Luisito Comunica
Martha Higareda
Chumel Torres
Natalia Lafourcade
Eugenio Derbéz</t>
  </si>
  <si>
    <t>67806289-7580-49ee-a774-3239188a86a0</t>
  </si>
  <si>
    <t>Natalia Lafourcade
Eugenio Derbéz
Diego Luna
José Eduardo Derbéz
Paola Rojas</t>
  </si>
  <si>
    <t>Paola Rojas
José Eduardo Derbéz
Natalia Lafourcade
Martha Higareda</t>
  </si>
  <si>
    <t>Marco Antonio Solis
Paola Rojas
José Eduardo Derbéz
Diego Luna</t>
  </si>
  <si>
    <t>ca03eaa2-de1e-4770-ab5b-3187fbab4ab4</t>
  </si>
  <si>
    <t>Martha Higareda
Kim Loaiza
Natalia Lafourcade
Danna Paola</t>
  </si>
  <si>
    <t>Paola Rojas
Danna Paola
Kim Loaiza
Martha Higareda
Natalia Lafourcade</t>
  </si>
  <si>
    <t>Paola Rojas
Natalia Lafourcade
Martha Higareda
Danna Paola
Kim Loaiza</t>
  </si>
  <si>
    <t>Paola Rojas
Kim Loaiza
Danna Paola</t>
  </si>
  <si>
    <t>410cfeb2-a044-4325-b943-4406147dbdb4</t>
  </si>
  <si>
    <t>Luisito Comunica
Christian Nodal
Martha Higareda
Natalia Lafourcade
Danna Paola</t>
  </si>
  <si>
    <t>142e954e-4603-46cb-acce-d005df54f5f2</t>
  </si>
  <si>
    <t>Chumel Torres
Luisito Comunica
José Eduardo Derbéz</t>
  </si>
  <si>
    <t>Martha Higareda
Luisito Comunica
Miguel Layun</t>
  </si>
  <si>
    <t>d6f2bec2-d92c-4908-a6df-6edc52fa9292</t>
  </si>
  <si>
    <t>ff84b36b-c771-4be7-96b0-6e8368be1e31</t>
  </si>
  <si>
    <t>Chucky Lozano
Christian Nodal
Luis Miguel</t>
  </si>
  <si>
    <t>Christian Nodal
Luis Miguel
Chucky Lozano</t>
  </si>
  <si>
    <t>Chucky Lozano
Paola Rojas
Christian Nodal</t>
  </si>
  <si>
    <t>f1a072d7-f809-42c6-b324-f67e7b8519b1</t>
  </si>
  <si>
    <t>Natalia Lafourcade
Danna Paola
Diego Luna</t>
  </si>
  <si>
    <t>Paola Rojas
Luisito Comunica
Diego Luna</t>
  </si>
  <si>
    <t>Luisito Comunica
Paola Rojas
Natalia Lafourcade</t>
  </si>
  <si>
    <t>356c4de7-1acc-4bc5-add3-695a7b221a7f</t>
  </si>
  <si>
    <t>Danna Paola
Martha Higareda
Natalia Lafourcade
Diego Luna</t>
  </si>
  <si>
    <t>Luisito Comunica
Natalia Lafourcade
Martha Higareda
Diego Luna</t>
  </si>
  <si>
    <t>Danna Paola
Luisito Comunica
Martha Higareda
Luis Miguel
Diego Luna</t>
  </si>
  <si>
    <t>120340cb-0637-449b-b668-478c479a2e80</t>
  </si>
  <si>
    <t>Natalia Lafourcade
Diego Luna
Chucky Lozano</t>
  </si>
  <si>
    <t>Lynda thomas</t>
  </si>
  <si>
    <t>65e742c3-e696-409d-a9f8-3a8dc0d7b812</t>
  </si>
  <si>
    <t>Natalia Lafourcade
Paola Rojas
Diego Luna</t>
  </si>
  <si>
    <t>a987b966-e112-4fe1-b589-7329a2f84324</t>
  </si>
  <si>
    <t>Chucky Lozano
Natalia Lafourcade
Florian Thauvin</t>
  </si>
  <si>
    <t>Chucky Lozano
Natalia Lafourcade
Florian thauvin</t>
  </si>
  <si>
    <t>Marco Antonio Solis
Luisito Comunica
Eugenio Derbéz</t>
  </si>
  <si>
    <t>Miguel Layun
Luis Miguel
Luisito Comunica</t>
  </si>
  <si>
    <t>José Eduardo Derbéz
Chucky Lozano
Christian Nodal</t>
  </si>
  <si>
    <t>81e1d639-757f-4c55-bfab-9a1b0cdb860f</t>
  </si>
  <si>
    <t>Luisito Comunica
José Eduardo Derbéz
Marco Antonio Solis</t>
  </si>
  <si>
    <t>5f902b4e-e125-4f07-806b-a3589b2b7b5c</t>
  </si>
  <si>
    <t>Chucky Lozano
Marco Antonio Solis
Natalia Lafourcade</t>
  </si>
  <si>
    <t>Marco Antonio Solis
Natalia Lafourcade
Chucky Lozano</t>
  </si>
  <si>
    <t>los tres que mencione</t>
  </si>
  <si>
    <t>2e541041-dfff-4286-a7d4-4c4bc1a8579d</t>
  </si>
  <si>
    <t>Paola Rojas
Martha Higareda
Chucky Lozano</t>
  </si>
  <si>
    <t>Chucky Lozano
Paola Rojas
Martha Higareda</t>
  </si>
  <si>
    <t>Paola Rojas
Chucky Lozano
Martha Higareda</t>
  </si>
  <si>
    <t>81f6f464-3be5-437c-a505-3950f7abd53f</t>
  </si>
  <si>
    <t>Paola rojas</t>
  </si>
  <si>
    <t>52a90963-99d3-4788-b3c8-acbe7d103a20</t>
  </si>
  <si>
    <t>Eugenio Derbéz
Marco Antonio Solis
Luisito Comunica</t>
  </si>
  <si>
    <t>Luisito Comunica
Diego Luna
Eugenio Derbéz</t>
  </si>
  <si>
    <t>Marco Antonio Solis
Luisito Comunica
Eugenio Derbéz
Diego Luna</t>
  </si>
  <si>
    <t>f57061fe-6a05-4320-842f-cdf55ecc73e7</t>
  </si>
  <si>
    <t>Chucky Lozano
José Eduardo Derbéz
Eugenio Derbéz</t>
  </si>
  <si>
    <t>Martha Higareda
Luis Miguel
Paola Rojas</t>
  </si>
  <si>
    <t>Luisito Comunica
Marco Antonio Solis
Chucky Lozano</t>
  </si>
  <si>
    <t>d53d819d-a16c-4fdc-8b86-757fc7da0a60</t>
  </si>
  <si>
    <t>Eugenio Derbéz
Paola Rojas
José Eduardo Derbéz
Danna Paola
Marco Antonio Solis</t>
  </si>
  <si>
    <t>Eugenio Derbéz
Danna Paola
Martha Higareda
Diego Luna</t>
  </si>
  <si>
    <t>acdd3e80-0e0e-4646-baf3-6cc2d22d9e22</t>
  </si>
  <si>
    <t>Christian Nodal
Eugenio Derbéz
Diego Luna</t>
  </si>
  <si>
    <t>Luis Miguel
Danna Paola
Christian Nodal
Paola Rojas</t>
  </si>
  <si>
    <t>Chucky Lozano
Miguel Layun
Diego Luna
Luisito Comunica</t>
  </si>
  <si>
    <t>Chucky Lozano
Eugenio Derbéz
Martha Higareda
Luisito Comunica</t>
  </si>
  <si>
    <t>Grupo firme</t>
  </si>
  <si>
    <t>01737676-017b-40b2-9e1e-c20d875f0018</t>
  </si>
  <si>
    <t>Danna Paola
Eugenio Derbéz
Luis Miguel</t>
  </si>
  <si>
    <t>Luis Miguel
José Eduardo Derbéz
Eugenio Derbéz</t>
  </si>
  <si>
    <t>Luis Miguel
Danna Paola
Eugenio Derbéz</t>
  </si>
  <si>
    <t>José Eduardo Derbéz
Martha Higareda
Diego Luna</t>
  </si>
  <si>
    <t>33fe6d29-9ddc-4bbc-b977-607961f0df9c</t>
  </si>
  <si>
    <t>Luisito Comunica
Danna Paola
Martha Higareda
Paola Rojas
Kim Loaiza</t>
  </si>
  <si>
    <t>Kim Loaiza
Martha Higareda
Paola Rojas</t>
  </si>
  <si>
    <t>Paola Rojas
Natalia Lafourcade
Marco Antonio Solis
Martha Higareda</t>
  </si>
  <si>
    <t>Kim Loaiza
Natalia Lafourcade
Danna Paola
Paola Rojas
Martha Higareda</t>
  </si>
  <si>
    <t>Natalia Lafourcade
Kim Loaiza
Martha Higareda
Paola Rojas</t>
  </si>
  <si>
    <t>porque en ves de poner a actores, influencers , mejor no ponen a personas comunes donde demuestren que klar es una tarjeta que te da beneficios ya que poner a actores solamente la gente se iria por  lo que ven y no por lo que realmente quieren proponer sobre la tarjeta klar, esa seria mi opinion</t>
  </si>
  <si>
    <t>1ea6c0de-94d6-4fea-8907-3e11654ba1fb</t>
  </si>
  <si>
    <t>Eugenio Derbéz
Martha Higareda
Danna Paola
Kim Loaiza</t>
  </si>
  <si>
    <t>Eugenio Derbéz
Martha Higareda
Natalia Lafourcade
Danna Paola
Kim Loaiza</t>
  </si>
  <si>
    <t>Kim Loaiza
Eugenio Derbéz
Martha Higareda
Danna Paola
Natalia Lafourcade</t>
  </si>
  <si>
    <t>Kim Loaiza
Eugenio Derbéz
Martha Higareda
Natalia Lafourcade
Danna Paola</t>
  </si>
  <si>
    <t>Luisito Comunica
Eugenio Derbéz
Martha Higareda
Danna Paola
Paola Rojas</t>
  </si>
  <si>
    <t>d9c36d00-cf97-4520-b54d-0630cb4e8654</t>
  </si>
  <si>
    <t>Christian Nodal
Martha Higareda
Diego Luna</t>
  </si>
  <si>
    <t>Natalia Lafourcade
Christian Nodal
Diego Luna</t>
  </si>
  <si>
    <t>Martha Higareda
Diego Luna
José Eduardo Derbéz
Natalia Lafourcade</t>
  </si>
  <si>
    <t>Natalia Lafourcade
Christian Nodal
Danna Paola</t>
  </si>
  <si>
    <t>Paoblina rubio</t>
  </si>
  <si>
    <t>3e3d79b7-ebcd-4fab-ac11-7703599251f8</t>
  </si>
  <si>
    <t>f0481e75-dda8-48a6-8eef-c53a3bea8061</t>
  </si>
  <si>
    <t>Luisito Comunica
Chumel Torres
Chris Evans</t>
  </si>
  <si>
    <t>Miguel Layun
José Eduardo Derbéz
Kim Loaiza</t>
  </si>
  <si>
    <t>Christian Nodal
Luisito Comunica
Chumel Torres</t>
  </si>
  <si>
    <t>Chris Evans</t>
  </si>
  <si>
    <t>fed89762-8790-490e-a3b0-80b088476fce</t>
  </si>
  <si>
    <t>José Eduardo Derbéz
Natalia Lafourcade
Martha Higareda</t>
  </si>
  <si>
    <t>José Eduardo Derbéz
Paola Rojas
Natalia Lafourcade
Martha Higareda</t>
  </si>
  <si>
    <t>Paola Rojas
José Eduardo Derbéz
Martha Higareda</t>
  </si>
  <si>
    <t>Christian Nodal
José Eduardo Derbéz
Natalia Lafourcade
Paola Rojas
Martha Higareda</t>
  </si>
  <si>
    <t>8e6d7e11-91e7-46f4-afc6-2f800b598a94</t>
  </si>
  <si>
    <t>Natalia Lafourcade
Martha Higareda
Luis Miguel</t>
  </si>
  <si>
    <t>Martha Higareda
Natalia Lafourcade
Luis Miguel</t>
  </si>
  <si>
    <t>45c713ca-18c9-4ab8-a84d-4d95840e33b5</t>
  </si>
  <si>
    <t>Martha Higareda
Eugenio Derbéz
Luis Miguel</t>
  </si>
  <si>
    <t>Eugenio Derbéz
Kim Loaiza
Luis Miguel</t>
  </si>
  <si>
    <t>Natalia Lafourcade
Eugenio Derbéz
Danna Paola
Martha Higareda
Paola Rojas</t>
  </si>
  <si>
    <t>Paola Rojas
Miguel Layun
Eugenio Derbéz</t>
  </si>
  <si>
    <t>5826ad3e-5ec4-4d23-9453-a9bbe0886d90</t>
  </si>
  <si>
    <t>Eugenio Derbéz
Chumel Torres
Natalia Lafourcade</t>
  </si>
  <si>
    <t>Natalia Lafourcade
Eugenio Derbéz
Chumel Torres</t>
  </si>
  <si>
    <t>1e532a16-5a48-4b4c-a1e6-ee2994bad0ca</t>
  </si>
  <si>
    <t>Paola Rojas
Marco Antonio Solis
Diego Luna</t>
  </si>
  <si>
    <t>Eugenio Derbéz
Paola Rojas
Diego Luna
Martha Higareda</t>
  </si>
  <si>
    <t>f700f462-4e9b-47bd-a313-2e8adbc26eda</t>
  </si>
  <si>
    <t>Paola Rojas
Martha Higareda
José Eduardo Derbéz</t>
  </si>
  <si>
    <t>Marco Antonio Solis
Chumel Torres
Paola Rojas</t>
  </si>
  <si>
    <t>Miguel Layun
Natalia Lafourcade
Paola Rojas</t>
  </si>
  <si>
    <t>Paola Rojas
Chucky Lozano
Chumel Torres
Christian Nodal</t>
  </si>
  <si>
    <t>0a86f82a-6baf-4bb1-8477-4d0dfddbd635</t>
  </si>
  <si>
    <t>Danna Paola
José Eduardo Derbéz
Kim Loaiza
Natalia Lafourcade
Martha Higareda</t>
  </si>
  <si>
    <t>José Eduardo Derbéz
Martha Higareda
Danna Paola
Natalia Lafourcade
Kim Loaiza</t>
  </si>
  <si>
    <t>Eugenio Derbéz
José Eduardo Derbéz
Martha Higareda
Natalia Lafourcade</t>
  </si>
  <si>
    <t>Natalia Lafourcade
José Eduardo Derbéz
Martha Higareda</t>
  </si>
  <si>
    <t>José Eduardo Derbéz
Martha Higareda
Natalia Lafourcade</t>
  </si>
  <si>
    <t>078493d9-2fd1-4c2f-b007-db40e2631880</t>
  </si>
  <si>
    <t>Luisito Comunica
Eugenio Derbéz
José Eduardo Derbéz
Chucky Lozano
Christian Nodal</t>
  </si>
  <si>
    <t>Christian Nodal
Eugenio Derbéz
Natalia Lafourcade</t>
  </si>
  <si>
    <t>Luisito Comunica
Eugenio Derbéz
Marco Antonio Solis
Christian Nodal
Diego Luna</t>
  </si>
  <si>
    <t>Por el momento no</t>
  </si>
  <si>
    <t>b3f84e86-e402-44f9-81c5-49088e7ed80e</t>
  </si>
  <si>
    <t>883d24ce-8bc0-44fa-8b4d-6789123759fe</t>
  </si>
  <si>
    <t>Luisito Comunica
Chucky Lozano
Christian Nodal
Miguel Layun
Diego Luna</t>
  </si>
  <si>
    <t>Diego Luna
Christian Nodal
Paola Rojas</t>
  </si>
  <si>
    <t>Danna Paola
Paola Rojas
Christian Nodal</t>
  </si>
  <si>
    <t>Christian Nodal
José Eduardo Derbéz
Danna Paola</t>
  </si>
  <si>
    <t>bb7c3d65-5e9a-4682-9537-3294afe00701</t>
  </si>
  <si>
    <t>Eugenio Derbéz
Chucky Lozano
Chumel Torres</t>
  </si>
  <si>
    <t>Marco Antonio Solis
Natalia Lafourcade
José Eduardo Derbéz</t>
  </si>
  <si>
    <t>Eugenio Derbéz
Paola Rojas
Luis Miguel</t>
  </si>
  <si>
    <t>3b89e0e5-6153-4ee7-8b63-4b06a29ac0e8</t>
  </si>
  <si>
    <t>Christian Nodal
Eugenio Derbéz
José Eduardo Derbéz
Natalia Lafourcade</t>
  </si>
  <si>
    <t>Marco Antonio Solis
Paola Rojas
Martha Higareda</t>
  </si>
  <si>
    <t>José Eduardo Derbéz
Diego Luna
Natalia Lafourcade</t>
  </si>
  <si>
    <t>e7d9f72f-c833-4542-aeab-2858c0926ebc</t>
  </si>
  <si>
    <t>Natalia Lafourcade
Christian Nodal
José Eduardo Derbéz
Eugenio Derbéz</t>
  </si>
  <si>
    <t>7c165529-9842-457e-8dea-27ed1affba5b</t>
  </si>
  <si>
    <t>Manuel Mijares</t>
  </si>
  <si>
    <t>66100369-fce9-4835-98c0-5fb51529eeb1</t>
  </si>
  <si>
    <t>Paola Rojas
Chumel Torres
Martha Higareda</t>
  </si>
  <si>
    <t>Paola Rojas
Diego Luna
Chumel Torres</t>
  </si>
  <si>
    <t>Diego Luna
Paola Rojas
Marco Antonio Solis</t>
  </si>
  <si>
    <t>Paola Rojas
Chumel Torres
Diego Luna</t>
  </si>
  <si>
    <t>1c3fc54d-1eac-4ef0-9382-9ef838fdd137</t>
  </si>
  <si>
    <t>Chumel Torres
Marco Antonio Solis
Lopez Doriga</t>
  </si>
  <si>
    <t>Marco Antonio Solis
Chumel Torres
Lopez Doriga</t>
  </si>
  <si>
    <t>Chumel Torres
Marco Antonio Solis
Brozo</t>
  </si>
  <si>
    <t>Luisito Comunica
Marco Antonio Solis
Chumel Torres
Escribe otra opción</t>
  </si>
  <si>
    <t>870723d2-5f77-4915-852b-efd1bd39fcd6</t>
  </si>
  <si>
    <t>Eugenio Derbéz
Natalia Lafourcade
Paola Rojas
Martha Higareda</t>
  </si>
  <si>
    <t>Eugenio Derbéz
Marco Antonio Solis
Paola Rojas
Natalia Lafourcade</t>
  </si>
  <si>
    <t>Daniel Arenas</t>
  </si>
  <si>
    <t>c4ddcae2-d34e-49b4-8732-0a8e55cf5aff</t>
  </si>
  <si>
    <t>e010312b-f82b-41b8-acdb-3460524f8a0a</t>
  </si>
  <si>
    <t>Luisito Comunica
Eugenio Derbéz
José Eduardo Derbéz
Paola Rojas</t>
  </si>
  <si>
    <t>Eugenio Derbéz
Paola Rojas
Luis Miguel
Diego Luna</t>
  </si>
  <si>
    <t>Eugenio Derbéz
Marco Antonio Solis
Luis Miguel
Paola Rojas
Diego Luna</t>
  </si>
  <si>
    <t>Paola Rojas
Luisito Comunica
Eugenio Derbéz</t>
  </si>
  <si>
    <t>2be94201-bc2e-4ba9-a4fd-a88ee44016b7</t>
  </si>
  <si>
    <t>35248dd7-2557-4a2a-8b8d-db9110cc3d4c</t>
  </si>
  <si>
    <t>Chumel Torres
Miguel Layun
José Eduardo Derbéz
Chucky Lozano</t>
  </si>
  <si>
    <t>Luisito Comunica
José Eduardo Derbéz
Chumel Torres
Chucky Lozano</t>
  </si>
  <si>
    <t>775e1b28-d3f4-4a71-ad71-7da1ad2a56bd</t>
  </si>
  <si>
    <t>Martha Higareda
Diego Luna
Juan pablo medina</t>
  </si>
  <si>
    <t>Luisito Comunica
Diego Luna
Christian Nodal</t>
  </si>
  <si>
    <t>Juan pablo medina</t>
  </si>
  <si>
    <t>949568be-4fe9-4abf-97c8-80d92753c651</t>
  </si>
  <si>
    <t>Marco Antonio Solis
Danna Paola
Diego Luna</t>
  </si>
  <si>
    <t>Danna Paola
Marco Antonio Solis
Diego Luna</t>
  </si>
  <si>
    <t>868515d9-c0f4-44d7-949a-2ab9f6386c12</t>
  </si>
  <si>
    <t>Luisito Comunica
Martha Higareda
Paola Rojas
Natalia Lafourcade
Chucky Lozano</t>
  </si>
  <si>
    <t>5f695c1a-b3c9-4bbc-81f5-d93261ba6f46</t>
  </si>
  <si>
    <t>José Eduardo Derbéz
Marco Antonio Solis
Diego Luna</t>
  </si>
  <si>
    <t>José Eduardo Derbéz
Diego Luna
Marco Antonio Solis</t>
  </si>
  <si>
    <t>Marco Antonio Solis
Diego Luna
José Eduardo Derbéz</t>
  </si>
  <si>
    <t>Marco Antonio Solis
José Eduardo Derbéz
Diego Luna</t>
  </si>
  <si>
    <t>c3a485dc-1309-469f-8f0b-b2bf83548024</t>
  </si>
  <si>
    <t>Danna Paola
Diego Luna
Paola Rojas</t>
  </si>
  <si>
    <t>Diego Luna
Paola Rojas
Danna Paola</t>
  </si>
  <si>
    <t>José Eduardo Derbéz
Chumel Torres
Martha Higareda
Paola Rojas
Diego Luna</t>
  </si>
  <si>
    <t>e1760049-1a89-4d4b-8777-0f9086382f1c</t>
  </si>
  <si>
    <t>83397e77-1323-498b-9a5e-6937fd951bbd</t>
  </si>
  <si>
    <t>Eugenio Derbéz
Natalia Lafourcade
Danna Paola</t>
  </si>
  <si>
    <t>1f3b00a8-414f-420c-8dfa-1e3a1e8602c8</t>
  </si>
  <si>
    <t>Danna Paola
Martha Higareda
Luisito Comunica</t>
  </si>
  <si>
    <t>Luisito Comunica
Danna Paola
José Eduardo Derbéz</t>
  </si>
  <si>
    <t>ecf59bc3-35ed-4cdf-ae2e-4a090329cfd0</t>
  </si>
  <si>
    <t>Luisito Comunica
Chumel Torres
Diego Luna</t>
  </si>
  <si>
    <t>Luisito Comunica
Danna Paola
Marco Antonio Solis</t>
  </si>
  <si>
    <t>Luisito Comunica
Chumel Torres
Marco Antonio Solis</t>
  </si>
  <si>
    <t>Luisito Comunica
Marco Antonio Solis
Danna Paola</t>
  </si>
  <si>
    <t>12a200c3-8cb6-44ff-9189-4f1bfe2674c3</t>
  </si>
  <si>
    <t>Eugenio Derbéz
Martha Higareda
Chucky Lozano</t>
  </si>
  <si>
    <t>Chucky Lozano
Eugenio Derbéz
Martha Higareda</t>
  </si>
  <si>
    <t>Eugenio Derbéz
Chucky Lozano
Martha Higareda</t>
  </si>
  <si>
    <t>7f347766-5e6f-4f2c-98c1-d6e0d95702fc</t>
  </si>
  <si>
    <t>Ellos me parecen bien</t>
  </si>
  <si>
    <t>faaf6612-4be0-4233-97a5-eaf5dc184162</t>
  </si>
  <si>
    <t>Eugenio Derbéz
Martha Higareda
Luisito Comunica
Chumel Torres
Danna Paola</t>
  </si>
  <si>
    <t>Luisito Comunica
Chumel Torres
Eugenio Derbéz
Martha Higareda
Danna Paola</t>
  </si>
  <si>
    <t>Luisito Comunica
Eugenio Derbéz
Martha Higareda
Danna Paola</t>
  </si>
  <si>
    <t>Danna Paola
Luisito Comunica
Eugenio Derbéz
Chumel Torres
Martha Higareda</t>
  </si>
  <si>
    <t>Luisito Comunica
Eugenio Derbéz
Chumel Torres
Danna Paola
Martha Higareda</t>
  </si>
  <si>
    <t>285a37f9-9e76-4bd6-a4c7-378642350260</t>
  </si>
  <si>
    <t>Martha Higareda
Christian Nodal
Diego Luna</t>
  </si>
  <si>
    <t>Eugenio Derbéz
José Eduardo Derbéz
Kim Loaiza</t>
  </si>
  <si>
    <t>Martha Higareda
Diego Luna
Christian Nodal</t>
  </si>
  <si>
    <t>f293fc26-b03f-41cf-a241-4ad7e6e7b0b8</t>
  </si>
  <si>
    <t>Paola Rojas
Danna Paola
Diego Luna</t>
  </si>
  <si>
    <t>99316451-8204-4d17-9bb1-5058313f011c</t>
  </si>
  <si>
    <t>Danna Paola
Martha Higareda
Marco Antonio Solis</t>
  </si>
  <si>
    <t>Martha Higareda
Marco Antonio Solis
Danna Paola</t>
  </si>
  <si>
    <t>99110d46-20de-41d1-aacb-ea37c1904302</t>
  </si>
  <si>
    <t>Luis Miguel
Diego Luna
Natalia Lafourcade</t>
  </si>
  <si>
    <t>Diego Luna
Natalia Lafourcade
Luis Miguel</t>
  </si>
  <si>
    <t>65e9eaf7-17b7-47e6-a94d-18907bc62b9d</t>
  </si>
  <si>
    <t>Eugenio Derbéz
Marco Antonio Solis
Christian Nodal
Chucky Lozano
Danna Paola</t>
  </si>
  <si>
    <t>8b7b598f-3cb2-44d5-ad2a-498e5d52cc6d</t>
  </si>
  <si>
    <t>Kim Loaiza
Eugenio Derbéz
Luisito Comunica</t>
  </si>
  <si>
    <t>036ef04b-5a67-4258-b09f-39fc641cdd10</t>
  </si>
  <si>
    <t>Eugenio Derbéz
Danna Paola
.miguel bose</t>
  </si>
  <si>
    <t>Danna Paola
Eugenio Derbéz
Natalia Lafourcade</t>
  </si>
  <si>
    <t>Eugenio Derbéz
Danna Paola
Luis Miguel</t>
  </si>
  <si>
    <t>9a37a6ae-8e7a-4240-929d-0e78b12e5a46</t>
  </si>
  <si>
    <t>José Eduardo Derbéz
Eugenio Derbéz
Martha Higareda
Danna Paola</t>
  </si>
  <si>
    <t>Eugenio Derbéz
Martha Higareda
Danna Paola
José Eduardo Derbéz</t>
  </si>
  <si>
    <t>Eugenio Derbéz
Paola Rojas
Danna Paola</t>
  </si>
  <si>
    <t>571648a3-9bee-4abf-ab7f-b7a771ba61c4</t>
  </si>
  <si>
    <t>Danna Paola
Luisito Comunica
Natalia Lafourcade
Martha Higareda</t>
  </si>
  <si>
    <t>Luisito Comunica
Danna Paola
Eugenio Derbéz
Marco Antonio Solis</t>
  </si>
  <si>
    <t>Eugenio Derbéz
Marco Antonio Solis
Martha Higareda
Danna Paola</t>
  </si>
  <si>
    <t>8daa4106-30d9-4622-a680-f4346eb6cc55</t>
  </si>
  <si>
    <t>Eugenio Derbéz
Kim Loaiza
José Eduardo Derbéz</t>
  </si>
  <si>
    <t>Faysi</t>
  </si>
  <si>
    <t>d7e2bc3b-d55a-4a00-9f8c-ad51b604e3c4</t>
  </si>
  <si>
    <t>Kim Loaiza
Luisito Comunica
Eugenio Derbéz</t>
  </si>
  <si>
    <t>c2bbc02c-c221-4239-a9a5-d1aadc1ed48b</t>
  </si>
  <si>
    <t>Diego Luna
Martha Higareda
Chumel Torres</t>
  </si>
  <si>
    <t>Chumel Torres
Martha Higareda
Diego Luna</t>
  </si>
  <si>
    <t>Martha Higareda
Chumel Torres
Diego Luna</t>
  </si>
  <si>
    <t>5d8ea84b-859d-4a40-9be5-f84d775dd8d8</t>
  </si>
  <si>
    <t>Kim Loaiza
José Eduardo Derbéz
slobotzky</t>
  </si>
  <si>
    <t>José Eduardo Derbéz
Kim Loaiza
slobotzky</t>
  </si>
  <si>
    <t>Eugenio Derbéz
José Eduardo Derbéz
Marco Antonio Solis</t>
  </si>
  <si>
    <t>Martha Higareda
Eugenio Derbéz
Kim Loaiza</t>
  </si>
  <si>
    <t>Luisito Comunica
Chumel Torres
Kim Loaiza
Danna Paola</t>
  </si>
  <si>
    <t>Slobotzky</t>
  </si>
  <si>
    <t>79b186a6-cf80-450e-b14d-38815a315696</t>
  </si>
  <si>
    <t>Marco Antonio Solis
Paola Rojas
José Eduardo Derbéz</t>
  </si>
  <si>
    <t>José Eduardo Derbéz
Paola Rojas
Marco Antonio Solis</t>
  </si>
  <si>
    <t>969dcc26-f360-4d55-9e8f-2e345fb01844</t>
  </si>
  <si>
    <t>Christian Nodal
Eugenio Derbéz
Danna Paola
Mc Davo</t>
  </si>
  <si>
    <t>Danna Paola
Diego Luna
Mc Davo</t>
  </si>
  <si>
    <t>Diego Luna
Danna Paola
Mc Davo</t>
  </si>
  <si>
    <t>Mc Davo</t>
  </si>
  <si>
    <t>ae975c93-e502-4487-95ce-fcca720c7f58</t>
  </si>
  <si>
    <t>Luisito Comunica
Christian Nodal
Kim Loaiza</t>
  </si>
  <si>
    <t>Christian Nodal
Eugenio Derbéz
Kim Loaiza</t>
  </si>
  <si>
    <t>c857e8d1-4b0c-40e4-8d1e-ff9c2a7b19bf</t>
  </si>
  <si>
    <t>Eugenio Derbéz
Kim Loaiza
Martha Higareda
Paola Rojas
José Eduardo Derbéz</t>
  </si>
  <si>
    <t>Luisito Comunica
Christian Nodal
Kim Loaiza
Eugenio Derbéz
Danna Paola</t>
  </si>
  <si>
    <t>Miguel Layun
Eugenio Derbéz
Martha Higareda</t>
  </si>
  <si>
    <t>Luisito Comunica
Danna Paola
Chucky Lozano
Martha Higareda</t>
  </si>
  <si>
    <t>Natalia Lafourcade
Martha Higareda
Eugenio Derbéz
Christian Nodal
José Eduardo Derbéz</t>
  </si>
  <si>
    <t>Luisito Comunica
Miguel Layun
Kim Loaiza</t>
  </si>
  <si>
    <t>Eugenio Derbéz
Luisito Comunica
Martha Higareda
Kim Loaiza</t>
  </si>
  <si>
    <t>Luisito Comunica
Danna Paola
Martha Higareda
Kim Loaiza
Miguel Layun</t>
  </si>
  <si>
    <t>Paola Rojas
Eugenio Derbéz
Luisito Comunica
José Eduardo Derbéz
Danna Paola</t>
  </si>
  <si>
    <t>f581c16c-e12c-41b4-872e-d176029cf386</t>
  </si>
  <si>
    <t>e279428e-1ae6-4124-85b9-f52d3e673092</t>
  </si>
  <si>
    <t>Christian Nodal
Natalia Lafourcade
Marco Antonio Solis
Paola Rojas
Danna Paola</t>
  </si>
  <si>
    <t>Chucky Lozano
Paola Rojas
Marco Antonio Solis</t>
  </si>
  <si>
    <t>Christian Nodal
Paola Rojas
Marco Antonio Solis</t>
  </si>
  <si>
    <t>Ángela Aguilar</t>
  </si>
  <si>
    <t>ed09d5ee-bd2e-4d8c-887d-78111f2eacbd</t>
  </si>
  <si>
    <t>Danna Paola
Martha Higareda
Luis Miguel</t>
  </si>
  <si>
    <t>b4713341-ac4b-4494-ac66-90fd97c0c7cf</t>
  </si>
  <si>
    <t>Luis Miguel
Marco Antonio Solis
Paola Rojas</t>
  </si>
  <si>
    <t>Christian Nodal
Eugenio Derbéz
José Eduardo Derbéz</t>
  </si>
  <si>
    <t>e1239360-af1a-449a-83c0-bed60ab5fcec</t>
  </si>
  <si>
    <t>Christian Nodal
José Eduardo Derbéz
Diego Luna
Danna Paola
Kim Loaiza</t>
  </si>
  <si>
    <t>Danna Paola
José Eduardo Derbéz
Kim Loaiza
Christian Nodal
Diego Luna</t>
  </si>
  <si>
    <t>Kim Loaiza
Diego Luna
Danna Paola</t>
  </si>
  <si>
    <t>José Eduardo Derbéz
Christian Nodal
Diego Luna
Kim Loaiza
Danna Paola</t>
  </si>
  <si>
    <t>63ed9127-888f-47f2-aab0-9b379afaaf5e</t>
  </si>
  <si>
    <t>Luis Miguel
Luisito Comunica
Marco Antonio Solis</t>
  </si>
  <si>
    <t>Luisito Comunica
Eugenio Derbéz
Luis Miguel
Paola Rojas
Natalia Lafourcade</t>
  </si>
  <si>
    <t>Kim Loaiza
Luisito Comunica
Eugenio Derbéz
Luis Miguel
Martha Higareda</t>
  </si>
  <si>
    <t>Luisito Comunica
Martha Higareda
Paola Rojas
Kim Loaiza
Luis Miguel</t>
  </si>
  <si>
    <t>KHABANE LAME</t>
  </si>
  <si>
    <t>a8a26bc4-6f3a-4c7d-9d30-94f9505140b2</t>
  </si>
  <si>
    <t>Luisito Comunica
Paola Rojas
Chucky Lozano</t>
  </si>
  <si>
    <t>Natalia Lafourcade
Luisito Comunica
Chumel Torres
Diego Luna</t>
  </si>
  <si>
    <t>Luis Miguel
Natalia Lafourcade
Diego Luna
Chumel Torres
Luisito Comunica</t>
  </si>
  <si>
    <t>ea406092-eafa-40ec-8452-0fd03c562d0f</t>
  </si>
  <si>
    <t>Martha Higareda
Natalia Lafourcade
Eugenio Derbéz</t>
  </si>
  <si>
    <t>Eugenio Derbéz
José Eduardo Derbéz
Diego Luna
Martha Higareda</t>
  </si>
  <si>
    <t>98f5c286-2c26-46b0-9aa5-e45c03ce3fec</t>
  </si>
  <si>
    <t>Diego Luna
Miguel Layun
Natalia Lafourcade
Luis Miguel</t>
  </si>
  <si>
    <t>Regina Blandón</t>
  </si>
  <si>
    <t>04be530d-bf82-4f95-ba32-480f4ebbf698</t>
  </si>
  <si>
    <t>Luisito Comunica
Chucky Lozano
Christian Nodal</t>
  </si>
  <si>
    <t>Christian Nodal
Chucky Lozano
Natalia Lafourcade</t>
  </si>
  <si>
    <t>Chucky Lozano
Natalia Lafourcade
Christian Nodal</t>
  </si>
  <si>
    <t>Christian Nodal
Natalia Lafourcade
Chucky Lozano</t>
  </si>
  <si>
    <t>8525e3dc-16ed-4a70-b936-49038d13124d</t>
  </si>
  <si>
    <t>d5e3107a-66b3-43df-9bd5-1e3e3b36a72a</t>
  </si>
  <si>
    <t>Natalia Lafourcade
Martha Higareda
Eugenio Derbéz
Paola Rojas
Diego Luna</t>
  </si>
  <si>
    <t>Paola Rojas
Eugenio Derbéz
Martha Higareda
Diego Luna</t>
  </si>
  <si>
    <t>Martha Higareda
Paola Rojas
Eugenio Derbéz
Diego Luna</t>
  </si>
  <si>
    <t>Luisito Comunica
Diego Luna
Eugenio Derbéz
Paola Rojas
Martha Higareda</t>
  </si>
  <si>
    <t>Luisito Comunica
Eugenio Derbéz
Paola Rojas
Martha Higareda</t>
  </si>
  <si>
    <t>378b973b-1c75-4af9-a08f-3525e000d08b</t>
  </si>
  <si>
    <t>Christian Nodal
Danna Paola
Eugenio Derbéz
Kim Loaiza
Marco Antonio Solis</t>
  </si>
  <si>
    <t>Danna Paola
Kim Loaiza
Marco Antonio Solis</t>
  </si>
  <si>
    <t>0fe1afc4-f90b-4c45-bb90-55238fc54a1c</t>
  </si>
  <si>
    <t>Diego Luna
Christian Nodal
Chucky Lozano</t>
  </si>
  <si>
    <t>Martha Higareda
Natalia Lafourcade
NIGUNO</t>
  </si>
  <si>
    <t>Paola Rojas
Christian Nodal
Diego Luna</t>
  </si>
  <si>
    <t>ANDRES MANUEL LOPEZ OBRADOR</t>
  </si>
  <si>
    <t>18918e64-9619-4f38-b5f4-7e5421e56ba9</t>
  </si>
  <si>
    <t>Luisito Comunica
Danna Paola
Christian Nodal</t>
  </si>
  <si>
    <t>Marco Antonio Solis
Chucky Lozano
Danna Paola
Paola Rojas</t>
  </si>
  <si>
    <t>Paola Rojas
Chucky Lozano
Natalia Lafourcade</t>
  </si>
  <si>
    <t>Luisito Comunica
Chumel Torres
Danna Paola</t>
  </si>
  <si>
    <t>Sofia Macías</t>
  </si>
  <si>
    <t>02d8dfcb-a297-48f4-9469-a553048e666c</t>
  </si>
  <si>
    <t>Luisito Comunica
Kim Loaiza
Christian Nodal</t>
  </si>
  <si>
    <t>Luisito Comunica
Marco Antonio Solis
Christian Nodal</t>
  </si>
  <si>
    <t>ef5b41ae-7a39-4b84-87f1-6c832f40bfee</t>
  </si>
  <si>
    <t>Danna Paola
José Eduardo Derbéz
Martha Higareda</t>
  </si>
  <si>
    <t>6e9e044b-e28e-4997-920a-a2c8b8f4b466</t>
  </si>
  <si>
    <t>fb00eb57-d562-49d4-81ac-0ddaef37a4ee</t>
  </si>
  <si>
    <t>Chucky Lozano
José Eduardo Derbéz
Martha Higareda</t>
  </si>
  <si>
    <t>ninguna</t>
  </si>
  <si>
    <t>f8c3857c-6608-442e-a20e-06191e3ed575</t>
  </si>
  <si>
    <t>Paola Rojas
Eugenio Derbéz
Miguel Layun</t>
  </si>
  <si>
    <t>b3804a39-8e4f-488c-84dc-bf671f234352</t>
  </si>
  <si>
    <t>1199052f-572f-4ca0-8c66-4ce100759aa9</t>
  </si>
  <si>
    <t>Marco Antonio Solis
Eugenio Derbéz
Christian Nodal</t>
  </si>
  <si>
    <t>Eugenio Derbéz
Christian Nodal
Luisito Comunica</t>
  </si>
  <si>
    <t>5de97d17-2162-451c-8999-5a60822534b4</t>
  </si>
  <si>
    <t>Christian Nodal
Luis Miguel
Marco Antonio Solis</t>
  </si>
  <si>
    <t>Luis Miguel
Christian Nodal
Marco Antonio Solis
Paola Rojas</t>
  </si>
  <si>
    <t>Luis Miguel
Paola Rojas
Christian Nodal
Marco Antonio Solis</t>
  </si>
  <si>
    <t>Marco Antonio Solis
Paola Rojas
Luis Miguel</t>
  </si>
  <si>
    <t>ellos estarian muy bien</t>
  </si>
  <si>
    <t>2178f1c0-1a63-4918-b55c-63901692cdb6</t>
  </si>
  <si>
    <t>Martha Higareda
José Eduardo Derbéz
Luis Miguel</t>
  </si>
  <si>
    <t>Natalia Lafourcade
Paola Rojas
Marco Antonio Solis</t>
  </si>
  <si>
    <t>Natalia Lafourcade
Luis Miguel
Martha Higareda</t>
  </si>
  <si>
    <t>04c32262-5590-4ad0-bcd3-65de90c49924</t>
  </si>
  <si>
    <t>Chumel Torres
Diego Luna
Jacobo Wong</t>
  </si>
  <si>
    <t>Chumel Torres
Marco Antonio Solis
Jacobo Wong</t>
  </si>
  <si>
    <t>27e67835-d2a1-4a12-bb62-b43dc49b02ce</t>
  </si>
  <si>
    <t>2f521b66-6822-4e01-8742-436010ecd4cb</t>
  </si>
  <si>
    <t>Marco Antonio Solis
Danna Paola
Christian Nodal</t>
  </si>
  <si>
    <t>10607a2b-8800-4cc8-b487-544d3c7edf2e</t>
  </si>
  <si>
    <t>Luisito Comunica
Miguel Layun
Luis Miguel</t>
  </si>
  <si>
    <t>77797d6c-0d3f-4e93-bf74-7a21bf9c50a2</t>
  </si>
  <si>
    <t>Paola Rojas
Luis Miguel
Christian Nodal</t>
  </si>
  <si>
    <t>Marco Antonio Solis
Christian Nodal
Martha Higareda</t>
  </si>
  <si>
    <t>Marco Antonio Solis
Natalia Lafourcade
Luis Miguel</t>
  </si>
  <si>
    <t>Martha Higareda
Eugenio Derbéz
Natalia Lafourcade</t>
  </si>
  <si>
    <t>4b026d55-8092-4174-9fa3-f7d8ea97bc48</t>
  </si>
  <si>
    <t>Paola Rojas
Diego Luna
Eugenio Derbéz</t>
  </si>
  <si>
    <t>526c325e-b8e4-476d-bf55-7238b73524f6</t>
  </si>
  <si>
    <t>Natalia Lafourcade
Danna Paola
Christian Nodal
Marco Antonio Solis
Gloria Trevi</t>
  </si>
  <si>
    <t>Eugenio Derbéz
Marco Antonio Solis
Danna Paola
Natalia Lafourcade
Christian Nodal</t>
  </si>
  <si>
    <t>Natalia Lafourcade
Eugenio Derbéz
Christian Nodal
Danna Paola
Marco Antonio Solis</t>
  </si>
  <si>
    <t>Danna Paola
Eugenio Derbéz
Christian Nodal
Natalia Lafourcade
Marco Antonio Solis</t>
  </si>
  <si>
    <t>Eugenio Derbéz
Christian Nodal
Danna Paola
Natalia Lafourcade
Marco Antonio Solis</t>
  </si>
  <si>
    <t>259c8580-707b-4f52-8f7b-2c0734824d3f</t>
  </si>
  <si>
    <t>Kim Loaiza
Martha Higareda
Paola Rojas
Chucky Lozano
Christian Nodal</t>
  </si>
  <si>
    <t>Martha Higareda
Miguel Layun
Christian Nodal
Chucky Lozano
Natalia Lafourcade</t>
  </si>
  <si>
    <t>Miguel Layun
Natalia Lafourcade
Diego Luna
Martha Higareda
Christian Nodal</t>
  </si>
  <si>
    <t>Luis Miguel
Luisito Comunica
Chucky Lozano
Natalia Lafourcade</t>
  </si>
  <si>
    <t>Danna Paola
Natalia Lafourcade
Martha Higareda
Chumel Torres</t>
  </si>
  <si>
    <t>2d5b024c-1a07-4485-8457-eb316024de34</t>
  </si>
  <si>
    <t>Kim Loaiza
Eugenio Derbéz
Luis Miguel</t>
  </si>
  <si>
    <t>Eugenio Derbéz
Luis Miguel
Kim Loaiza</t>
  </si>
  <si>
    <t>Luis Miguel
Eugenio Derbéz
José Eduardo Derbéz</t>
  </si>
  <si>
    <t>Marco Antonio Solis
Diego Luna
Danna Paola</t>
  </si>
  <si>
    <t>Danna Paola
Diego Luna
Marco Antonio Solis</t>
  </si>
  <si>
    <t>e6c416c2-1878-4621-981c-ee1ea0b27d24</t>
  </si>
  <si>
    <t>Paola Rojas
Marco Antonio Solis
Danna Paola</t>
  </si>
  <si>
    <t>Luis Miguel
Eugenio Derbéz
Paola Rojas</t>
  </si>
  <si>
    <t>8101d1fc-1382-4677-a6ab-a33d0397f16c</t>
  </si>
  <si>
    <t>Kim Loaiza
Luisito Comunica
Danna Paola
Paola Rojas
Eugenio Derbéz</t>
  </si>
  <si>
    <t>Chumel Torres
Kim Loaiza
Martha Higareda
Marco Antonio Solis
Luisito Comunica</t>
  </si>
  <si>
    <t>f48764d9-3804-4993-84e8-50dd3f272db8</t>
  </si>
  <si>
    <t>Marco Antonio Solis
Paola Rojas
Natalia Lafourcade</t>
  </si>
  <si>
    <t>Paola Rojas
Marco Antonio Solis
Natalia Lafourcade</t>
  </si>
  <si>
    <t>Chumel Torres
Natalia Lafourcade
Christian Nodal</t>
  </si>
  <si>
    <t>c8c01e0a-4084-4135-878e-518afaeacdaa</t>
  </si>
  <si>
    <t>José Eduardo Derbéz
Danna Paola
Mónica naranjo</t>
  </si>
  <si>
    <t>Luisito Comunica
José Eduardo Derbéz
Luis Miguel</t>
  </si>
  <si>
    <t>Luisito Comunica
Marco Antonio Solis
Luis Miguel</t>
  </si>
  <si>
    <t>Luisito Comunica
Natalia Lafourcade
Paola Rojas</t>
  </si>
  <si>
    <t>87913a99-f6e7-4655-8223-b9649250a144</t>
  </si>
  <si>
    <t>Eugenio Derbéz
José Eduardo Derbéz
Luisito Comunica</t>
  </si>
  <si>
    <t>Luisito Comunica
Martha Higareda
Eugenio Derbéz
Marco Antonio Solis</t>
  </si>
  <si>
    <t>Chucky Lozano
Martha Higareda
Eugenio Derbéz
José Eduardo Derbéz
Danna Paola</t>
  </si>
  <si>
    <t>El Escorpión Dorado</t>
  </si>
  <si>
    <t>612ec711-5c3f-4b26-8f11-03049d841f17</t>
  </si>
  <si>
    <t>Danna Paola
Diego Luna
Cynthia Rodríguez</t>
  </si>
  <si>
    <t>Chumel Torres
Danna Paola
Diego Luna</t>
  </si>
  <si>
    <t>Natalia Lafourcade
Chumel Torres
Danna Paola
Diego Luna</t>
  </si>
  <si>
    <t>Danna Paola
Diego Luna
Chumel Torres</t>
  </si>
  <si>
    <t>Danna Paola
Chumel Torres
Diego Luna</t>
  </si>
  <si>
    <t>10102531-89fe-459d-aafc-429ebb7d019c</t>
  </si>
  <si>
    <t>Martha Higareda
Danna Paola
Diego Luna
Chucky Lozano</t>
  </si>
  <si>
    <t>Algún cliente que ya haya probado el producto y este totalmente satisfecho de lo que va a recomendar o promocionar</t>
  </si>
  <si>
    <t>2e973949-211b-413d-94a9-3242facb1ae8</t>
  </si>
  <si>
    <t>Marco Antonio Solis
Paola Rojas
Luisito Comunica</t>
  </si>
  <si>
    <t>274a38a1-2900-4123-b74a-881325f577a9</t>
  </si>
  <si>
    <t>Paola Rojas
Danna Paola
Christian Nodal</t>
  </si>
  <si>
    <t>15964b60-b2e2-4a99-99a0-dfe11708e2e9</t>
  </si>
  <si>
    <t>ca0572cd-4096-49f4-a556-c4e3a3b4198d</t>
  </si>
  <si>
    <t>Chucky Lozano
Eugenio Derbéz
Miguel Layun</t>
  </si>
  <si>
    <t>Christian Nodal
Marco Antonio Solis
Natalia Lafourcade
Chucky Lozano</t>
  </si>
  <si>
    <t>Eugenio Derbéz
Christian Nodal
Marco Antonio Solis
Natalia Lafourcade</t>
  </si>
  <si>
    <t>Eugenio Derbéz
Paola Rojas
Chucky Lozano
Christian Nodal
Marco Antonio Solis</t>
  </si>
  <si>
    <t>ee7fda0a-be8f-4901-bb0a-a7c1c8bc3dad</t>
  </si>
  <si>
    <t>Luis Miguel
Luisito Comunica
Danna Paola</t>
  </si>
  <si>
    <t>Luisito Comunica
Kim Loaiza
Luis Miguel</t>
  </si>
  <si>
    <t>Paola Rojas
Luisito Comunica
Chumel Torres</t>
  </si>
  <si>
    <t>5029320f-0ba1-4fea-a0c7-5d647f4d66ed</t>
  </si>
  <si>
    <t>Luisito Comunica
Eugenio Derbéz
Marco Antonio Solis
Luis Miguel
Danna Paola</t>
  </si>
  <si>
    <t>CR7</t>
  </si>
  <si>
    <t>f0c4cd3d-4ac4-427f-b475-b05ff444606b</t>
  </si>
  <si>
    <t>Luisito Comunica
Christian Nodal
Eugenio Derbéz
Martha Higareda</t>
  </si>
  <si>
    <t>Luisito Comunica
José Eduardo Derbéz
Danna Paola
Natalia Lafourcade
Diego Luna</t>
  </si>
  <si>
    <t>74241f0d-eefd-4cb3-8d40-3a75aef3301d</t>
  </si>
  <si>
    <t>Luisito Comunica
Luis Miguel
Auronplay</t>
  </si>
  <si>
    <t>Luisito Comunica
Luis Miguel
Marco Antonio Solis</t>
  </si>
  <si>
    <t>Auronplay</t>
  </si>
  <si>
    <t>d44fccc5-60d1-4d4b-bcf5-95b1df99dc8a</t>
  </si>
  <si>
    <t>Paola Rojas
Diego Luna
Chucky Lozano</t>
  </si>
  <si>
    <t>92f87f10-e90e-4dc5-9e9f-378db9470e33</t>
  </si>
  <si>
    <t>Marco Antonio Solis
Martha Higareda
Danna Paola
Christian Nodal
Luis Miguel</t>
  </si>
  <si>
    <t>Danna Paola
Luis Miguel
Marco Antonio Solis</t>
  </si>
  <si>
    <t>Diego Luna
Luis Miguel
Danna Paola
Marco Antonio Solis
Martha Higareda</t>
  </si>
  <si>
    <t>67c71382-470c-46b2-be5a-926f6eefae92</t>
  </si>
  <si>
    <t>Luisito Comunica
Danna Paola
Kenia oz</t>
  </si>
  <si>
    <t>Danna Paola
Marco Antonio Solis
Luisito Comunica
Natalia Lafourcade
Miguel Layun</t>
  </si>
  <si>
    <t>Paola Rojas
Miguel Layun
Marco Antonio Solis</t>
  </si>
  <si>
    <t>Kenia oz</t>
  </si>
  <si>
    <t>378586c0-4f69-462b-9e9e-24eca7b5bd71</t>
  </si>
  <si>
    <t>Danna Paola
Luisito Comunica
Martha Higareda</t>
  </si>
  <si>
    <t>80cea4df-1c4f-4ca9-b159-a7232d9e8af8</t>
  </si>
  <si>
    <t>Marco Antonio Solis
Chucky Lozano
Martha Higareda
Luisito Comunica
Eugenio Derbéz</t>
  </si>
  <si>
    <t>Eugenio Derbéz
Chumel Torres
Luisito Comunica</t>
  </si>
  <si>
    <t>5a79dd2c-47d9-4384-8ad7-91fe4b34590b</t>
  </si>
  <si>
    <t>Martha Higareda
Natalia Lafourcade
José Eduardo Derbéz</t>
  </si>
  <si>
    <t>66067468-306f-4ff5-abd4-8b30c8a4be81</t>
  </si>
  <si>
    <t>Luisito Comunica
Chumel Torres
Kim Loaiza</t>
  </si>
  <si>
    <t>Brayan escabeche</t>
  </si>
  <si>
    <t>31eef809-78d0-4c9d-a81a-ed9cb1113103</t>
  </si>
  <si>
    <t>Chumel Torres
Martha Higareda
Jordi Rosado</t>
  </si>
  <si>
    <t>Paola Rojas
Martha Higareda
Chumel Torres</t>
  </si>
  <si>
    <t>Chumel Torres
Paola Rojas
Jordi Rosado</t>
  </si>
  <si>
    <t>No todo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</si>
</sst>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0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quotePrefix="1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26"/>
  <sheetViews>
    <sheetView tabSelected="1" topLeftCell="F1" workbookViewId="0">
      <pane ySplit="1" topLeftCell="A2" activePane="bottomLeft" state="frozen"/>
      <selection pane="bottomLeft" activeCell="K1" sqref="K1:K1048576"/>
    </sheetView>
  </sheetViews>
  <sheetFormatPr baseColWidth="10" defaultColWidth="14.42578125" defaultRowHeight="15.75" customHeight="1" x14ac:dyDescent="0.2"/>
  <cols>
    <col min="1" max="1" width="20.85546875" customWidth="1"/>
    <col min="2" max="2" width="8.7109375" customWidth="1"/>
    <col min="3" max="3" width="41.42578125" customWidth="1"/>
    <col min="4" max="4" width="109.42578125" customWidth="1"/>
    <col min="5" max="5" width="81.85546875" customWidth="1"/>
    <col min="6" max="6" width="78.85546875" customWidth="1"/>
    <col min="7" max="7" width="75" customWidth="1"/>
    <col min="8" max="8" width="97.5703125" customWidth="1"/>
    <col min="9" max="9" width="51.85546875" customWidth="1"/>
    <col min="10" max="10" width="23.5703125" customWidth="1"/>
    <col min="11" max="11" width="14.42578125" style="7"/>
  </cols>
  <sheetData>
    <row r="1" spans="1:10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2.75" hidden="1" x14ac:dyDescent="0.2">
      <c r="A2" s="2">
        <v>44490.761921296296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J2" s="4" t="str">
        <f>TEXT("5106674301912159108","0")</f>
        <v>5106674301912150000</v>
      </c>
    </row>
    <row r="3" spans="1:10" ht="12.75" hidden="1" x14ac:dyDescent="0.2">
      <c r="A3" s="2">
        <v>44491.49355324074</v>
      </c>
      <c r="G3" s="3" t="s">
        <v>15</v>
      </c>
      <c r="H3" s="3" t="s">
        <v>16</v>
      </c>
      <c r="I3" s="3" t="s">
        <v>17</v>
      </c>
      <c r="J3" s="4" t="str">
        <f>TEXT("5107306433615705673","0")</f>
        <v>5107306433615700000</v>
      </c>
    </row>
    <row r="4" spans="1:10" ht="12.75" hidden="1" x14ac:dyDescent="0.2">
      <c r="A4" s="2">
        <v>44491.526678240742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J4" s="4" t="str">
        <f>TEXT("5107335057717160026","0")</f>
        <v>5107335057717160000</v>
      </c>
    </row>
    <row r="5" spans="1:10" ht="12.75" x14ac:dyDescent="0.2">
      <c r="A5" s="2">
        <v>44491.548229166663</v>
      </c>
      <c r="B5" s="3" t="s">
        <v>23</v>
      </c>
      <c r="C5" s="3" t="s">
        <v>24</v>
      </c>
      <c r="D5" s="3" t="s">
        <v>25</v>
      </c>
      <c r="E5" s="3" t="s">
        <v>26</v>
      </c>
      <c r="F5" s="3" t="s">
        <v>25</v>
      </c>
      <c r="G5" s="3" t="s">
        <v>27</v>
      </c>
      <c r="H5" s="3" t="s">
        <v>28</v>
      </c>
      <c r="J5" s="4" t="str">
        <f>TEXT("5107353677717400351","0")</f>
        <v>5107353677717400000</v>
      </c>
    </row>
    <row r="6" spans="1:10" ht="12.75" x14ac:dyDescent="0.2">
      <c r="A6" s="2">
        <v>44491.550138888888</v>
      </c>
      <c r="B6" s="3" t="s">
        <v>29</v>
      </c>
      <c r="C6" s="3" t="s">
        <v>24</v>
      </c>
      <c r="D6" s="3" t="s">
        <v>30</v>
      </c>
      <c r="E6" s="3" t="s">
        <v>31</v>
      </c>
      <c r="F6" s="3" t="s">
        <v>32</v>
      </c>
      <c r="G6" s="3" t="s">
        <v>33</v>
      </c>
      <c r="H6" s="3" t="s">
        <v>34</v>
      </c>
      <c r="J6" s="4" t="str">
        <f>TEXT("5107355317711321612","0")</f>
        <v>5107355317711320000</v>
      </c>
    </row>
    <row r="7" spans="1:10" ht="12.75" x14ac:dyDescent="0.2">
      <c r="A7" s="2">
        <v>44491.617696759262</v>
      </c>
      <c r="B7" s="3" t="s">
        <v>23</v>
      </c>
      <c r="C7" s="3" t="s">
        <v>35</v>
      </c>
      <c r="D7" s="3" t="s">
        <v>36</v>
      </c>
      <c r="E7" s="3" t="s">
        <v>26</v>
      </c>
      <c r="F7" s="3" t="s">
        <v>37</v>
      </c>
      <c r="G7" s="3" t="s">
        <v>38</v>
      </c>
      <c r="H7" s="3" t="s">
        <v>39</v>
      </c>
      <c r="J7" s="4" t="str">
        <f>TEXT("5107413691119112981","0")</f>
        <v>5107413691119110000</v>
      </c>
    </row>
    <row r="8" spans="1:10" ht="12.75" x14ac:dyDescent="0.2">
      <c r="A8" s="2">
        <v>44491.618206018517</v>
      </c>
      <c r="B8" s="3" t="s">
        <v>23</v>
      </c>
      <c r="C8" s="3" t="s">
        <v>40</v>
      </c>
      <c r="D8" s="3" t="s">
        <v>41</v>
      </c>
      <c r="E8" s="3" t="s">
        <v>42</v>
      </c>
      <c r="F8" s="3" t="s">
        <v>43</v>
      </c>
      <c r="G8" s="3" t="s">
        <v>44</v>
      </c>
      <c r="H8" s="3" t="s">
        <v>45</v>
      </c>
      <c r="I8" s="3" t="s">
        <v>46</v>
      </c>
      <c r="J8" s="4" t="str">
        <f>TEXT("5107414136028304540","0")</f>
        <v>5107414136028300000</v>
      </c>
    </row>
    <row r="9" spans="1:10" ht="12.75" x14ac:dyDescent="0.2">
      <c r="A9" s="2">
        <v>44491.618622685186</v>
      </c>
      <c r="B9" s="3" t="s">
        <v>23</v>
      </c>
      <c r="C9" s="3" t="s">
        <v>47</v>
      </c>
      <c r="D9" s="3" t="s">
        <v>48</v>
      </c>
      <c r="E9" s="3" t="s">
        <v>49</v>
      </c>
      <c r="F9" s="3" t="s">
        <v>50</v>
      </c>
      <c r="G9" s="3" t="s">
        <v>51</v>
      </c>
      <c r="H9" s="3" t="s">
        <v>52</v>
      </c>
      <c r="J9" s="4" t="str">
        <f>TEXT("5107414492217112941","0")</f>
        <v>5107414492217110000</v>
      </c>
    </row>
    <row r="10" spans="1:10" ht="12.75" x14ac:dyDescent="0.2">
      <c r="A10" s="2">
        <v>44491.618726851855</v>
      </c>
      <c r="B10" s="3" t="s">
        <v>23</v>
      </c>
      <c r="C10" s="3" t="s">
        <v>53</v>
      </c>
      <c r="D10" s="3" t="s">
        <v>54</v>
      </c>
      <c r="E10" s="3" t="s">
        <v>55</v>
      </c>
      <c r="F10" s="3" t="s">
        <v>56</v>
      </c>
      <c r="G10" s="3" t="s">
        <v>55</v>
      </c>
      <c r="H10" s="3" t="s">
        <v>57</v>
      </c>
      <c r="I10" s="3" t="s">
        <v>46</v>
      </c>
      <c r="J10" s="4" t="str">
        <f>TEXT("5107414584274309758","0")</f>
        <v>5107414584274300000</v>
      </c>
    </row>
    <row r="11" spans="1:10" ht="12.75" x14ac:dyDescent="0.2">
      <c r="A11" s="2">
        <v>44491.619004629632</v>
      </c>
      <c r="B11" s="3" t="s">
        <v>23</v>
      </c>
      <c r="C11" s="3" t="s">
        <v>58</v>
      </c>
      <c r="D11" s="3" t="s">
        <v>59</v>
      </c>
      <c r="E11" s="3" t="s">
        <v>60</v>
      </c>
      <c r="F11" s="3" t="s">
        <v>61</v>
      </c>
      <c r="G11" s="3" t="s">
        <v>62</v>
      </c>
      <c r="H11" s="3" t="s">
        <v>63</v>
      </c>
      <c r="I11" s="3" t="s">
        <v>64</v>
      </c>
      <c r="J11" s="4" t="str">
        <f>TEXT("5107414828424553874","0")</f>
        <v>5107414828424550000</v>
      </c>
    </row>
    <row r="12" spans="1:10" ht="12.75" x14ac:dyDescent="0.2">
      <c r="A12" s="2">
        <v>44491.619606481479</v>
      </c>
      <c r="B12" s="3" t="s">
        <v>23</v>
      </c>
      <c r="C12" s="3" t="s">
        <v>65</v>
      </c>
      <c r="D12" s="3" t="s">
        <v>66</v>
      </c>
      <c r="E12" s="3" t="s">
        <v>67</v>
      </c>
      <c r="F12" s="3" t="s">
        <v>68</v>
      </c>
      <c r="G12" s="3" t="s">
        <v>69</v>
      </c>
      <c r="H12" s="3" t="s">
        <v>70</v>
      </c>
      <c r="J12" s="4" t="str">
        <f>TEXT("5107415344458291235","0")</f>
        <v>5107415344458290000</v>
      </c>
    </row>
    <row r="13" spans="1:10" ht="12.75" x14ac:dyDescent="0.2">
      <c r="A13" s="2">
        <v>44491.619930555556</v>
      </c>
      <c r="B13" s="3" t="s">
        <v>23</v>
      </c>
      <c r="C13" s="3" t="s">
        <v>71</v>
      </c>
      <c r="D13" s="3" t="s">
        <v>72</v>
      </c>
      <c r="E13" s="3" t="s">
        <v>73</v>
      </c>
      <c r="F13" s="3" t="s">
        <v>74</v>
      </c>
      <c r="G13" s="3" t="s">
        <v>75</v>
      </c>
      <c r="H13" s="3" t="s">
        <v>49</v>
      </c>
      <c r="J13" s="4" t="str">
        <f>TEXT("5107415628591455081","0")</f>
        <v>5107415628591450000</v>
      </c>
    </row>
    <row r="14" spans="1:10" ht="12.75" x14ac:dyDescent="0.2">
      <c r="A14" s="2">
        <v>44491.620324074072</v>
      </c>
      <c r="B14" s="3" t="s">
        <v>23</v>
      </c>
      <c r="C14" s="3" t="s">
        <v>76</v>
      </c>
      <c r="D14" s="3" t="s">
        <v>77</v>
      </c>
      <c r="E14" s="3" t="s">
        <v>11</v>
      </c>
      <c r="F14" s="3" t="s">
        <v>39</v>
      </c>
      <c r="G14" s="3" t="s">
        <v>78</v>
      </c>
      <c r="H14" s="3" t="s">
        <v>79</v>
      </c>
      <c r="J14" s="4" t="str">
        <f>TEXT("5107415969926990255","0")</f>
        <v>5107415969926990000</v>
      </c>
    </row>
    <row r="15" spans="1:10" ht="12.75" x14ac:dyDescent="0.2">
      <c r="A15" s="2">
        <v>44491.62059027778</v>
      </c>
      <c r="B15" s="3" t="s">
        <v>23</v>
      </c>
      <c r="C15" s="3" t="s">
        <v>80</v>
      </c>
      <c r="D15" s="3" t="s">
        <v>81</v>
      </c>
      <c r="E15" s="3" t="s">
        <v>82</v>
      </c>
      <c r="F15" s="3" t="s">
        <v>81</v>
      </c>
      <c r="G15" s="3" t="s">
        <v>82</v>
      </c>
      <c r="H15" s="3" t="s">
        <v>83</v>
      </c>
      <c r="I15" s="3" t="s">
        <v>46</v>
      </c>
      <c r="J15" s="4" t="str">
        <f>TEXT("5107416199713490616","0")</f>
        <v>5107416199713490000</v>
      </c>
    </row>
    <row r="16" spans="1:10" ht="12.75" x14ac:dyDescent="0.2">
      <c r="A16" s="2">
        <v>44491.620694444442</v>
      </c>
      <c r="B16" s="3" t="s">
        <v>23</v>
      </c>
      <c r="C16" s="3" t="s">
        <v>84</v>
      </c>
      <c r="D16" s="3" t="s">
        <v>85</v>
      </c>
      <c r="E16" s="3" t="s">
        <v>86</v>
      </c>
      <c r="F16" s="3" t="s">
        <v>87</v>
      </c>
      <c r="G16" s="3" t="s">
        <v>86</v>
      </c>
      <c r="H16" s="3" t="s">
        <v>88</v>
      </c>
      <c r="J16" s="4" t="str">
        <f>TEXT("5107416282522322155","0")</f>
        <v>5107416282522320000</v>
      </c>
    </row>
    <row r="17" spans="1:10" ht="12.75" x14ac:dyDescent="0.2">
      <c r="A17" s="2">
        <v>44491.621608796297</v>
      </c>
      <c r="B17" s="3" t="s">
        <v>23</v>
      </c>
      <c r="C17" s="3" t="s">
        <v>89</v>
      </c>
      <c r="D17" s="3" t="s">
        <v>90</v>
      </c>
      <c r="E17" s="3" t="s">
        <v>91</v>
      </c>
      <c r="F17" s="3" t="s">
        <v>92</v>
      </c>
      <c r="G17" s="3" t="s">
        <v>92</v>
      </c>
      <c r="H17" s="3" t="s">
        <v>93</v>
      </c>
      <c r="J17" s="4" t="str">
        <f>TEXT("5107417072604441207","0")</f>
        <v>5107417072604440000</v>
      </c>
    </row>
    <row r="18" spans="1:10" ht="12.75" x14ac:dyDescent="0.2">
      <c r="A18" s="2">
        <v>44491.622916666667</v>
      </c>
      <c r="B18" s="3" t="s">
        <v>23</v>
      </c>
      <c r="C18" s="3" t="s">
        <v>94</v>
      </c>
      <c r="D18" s="3" t="s">
        <v>95</v>
      </c>
      <c r="E18" s="3" t="s">
        <v>96</v>
      </c>
      <c r="F18" s="3" t="s">
        <v>97</v>
      </c>
      <c r="G18" s="3" t="s">
        <v>98</v>
      </c>
      <c r="H18" s="3" t="s">
        <v>99</v>
      </c>
      <c r="I18" s="3" t="s">
        <v>100</v>
      </c>
      <c r="J18" s="4" t="str">
        <f>TEXT("5107418205704760476","0")</f>
        <v>5107418205704760000</v>
      </c>
    </row>
    <row r="19" spans="1:10" ht="12.75" x14ac:dyDescent="0.2">
      <c r="A19" s="2">
        <v>44491.623437499999</v>
      </c>
      <c r="B19" s="3" t="s">
        <v>23</v>
      </c>
      <c r="C19" s="3" t="s">
        <v>101</v>
      </c>
      <c r="D19" s="3" t="s">
        <v>102</v>
      </c>
      <c r="E19" s="3" t="s">
        <v>103</v>
      </c>
      <c r="F19" s="3" t="s">
        <v>104</v>
      </c>
      <c r="G19" s="3" t="s">
        <v>105</v>
      </c>
      <c r="H19" s="3" t="s">
        <v>93</v>
      </c>
      <c r="I19" s="3" t="s">
        <v>46</v>
      </c>
      <c r="J19" s="4" t="str">
        <f>TEXT("5107418650517613651","0")</f>
        <v>5107418650517610000</v>
      </c>
    </row>
    <row r="20" spans="1:10" ht="12.75" x14ac:dyDescent="0.2">
      <c r="A20" s="2">
        <v>44491.623726851853</v>
      </c>
      <c r="B20" s="3" t="s">
        <v>23</v>
      </c>
      <c r="C20" s="3" t="s">
        <v>106</v>
      </c>
      <c r="D20" s="3" t="s">
        <v>107</v>
      </c>
      <c r="E20" s="3" t="s">
        <v>108</v>
      </c>
      <c r="F20" s="3" t="s">
        <v>109</v>
      </c>
      <c r="G20" s="3" t="s">
        <v>109</v>
      </c>
      <c r="H20" s="3" t="s">
        <v>110</v>
      </c>
      <c r="I20" s="3" t="s">
        <v>46</v>
      </c>
      <c r="J20" s="4" t="str">
        <f>TEXT("5107418904325592531","0")</f>
        <v>5107418904325590000</v>
      </c>
    </row>
    <row r="21" spans="1:10" ht="12.75" x14ac:dyDescent="0.2">
      <c r="A21" s="2">
        <v>44491.624745370369</v>
      </c>
      <c r="B21" s="3" t="s">
        <v>23</v>
      </c>
      <c r="C21" s="3" t="s">
        <v>111</v>
      </c>
      <c r="D21" s="3" t="s">
        <v>112</v>
      </c>
      <c r="E21" s="3" t="s">
        <v>113</v>
      </c>
      <c r="F21" s="3" t="s">
        <v>114</v>
      </c>
      <c r="G21" s="3" t="s">
        <v>112</v>
      </c>
      <c r="H21" s="3" t="s">
        <v>113</v>
      </c>
      <c r="J21" s="4" t="str">
        <f>TEXT("5107419781316351663","0")</f>
        <v>5107419781316350000</v>
      </c>
    </row>
    <row r="22" spans="1:10" ht="12.75" x14ac:dyDescent="0.2">
      <c r="A22" s="2">
        <v>44491.624907407408</v>
      </c>
      <c r="B22" s="3" t="s">
        <v>23</v>
      </c>
      <c r="C22" s="3" t="s">
        <v>115</v>
      </c>
      <c r="D22" s="3" t="s">
        <v>116</v>
      </c>
      <c r="E22" s="3" t="s">
        <v>117</v>
      </c>
      <c r="F22" s="3" t="s">
        <v>117</v>
      </c>
      <c r="G22" s="3" t="s">
        <v>116</v>
      </c>
      <c r="H22" s="3" t="s">
        <v>118</v>
      </c>
      <c r="I22" s="3" t="s">
        <v>46</v>
      </c>
      <c r="J22" s="4" t="str">
        <f>TEXT("5107419926127161451","0")</f>
        <v>5107419926127160000</v>
      </c>
    </row>
    <row r="23" spans="1:10" ht="12.75" x14ac:dyDescent="0.2">
      <c r="A23" s="2">
        <v>44491.625138888892</v>
      </c>
      <c r="B23" s="3" t="s">
        <v>23</v>
      </c>
      <c r="C23" s="3" t="s">
        <v>119</v>
      </c>
      <c r="D23" s="3" t="s">
        <v>120</v>
      </c>
      <c r="E23" s="3" t="s">
        <v>121</v>
      </c>
      <c r="F23" s="3" t="s">
        <v>122</v>
      </c>
      <c r="G23" s="3" t="s">
        <v>121</v>
      </c>
      <c r="H23" s="3" t="s">
        <v>123</v>
      </c>
      <c r="I23" s="3" t="s">
        <v>100</v>
      </c>
      <c r="J23" s="4" t="str">
        <f>TEXT("5107420127951122678","0")</f>
        <v>5107420127951120000</v>
      </c>
    </row>
    <row r="24" spans="1:10" ht="12.75" x14ac:dyDescent="0.2">
      <c r="A24" s="2">
        <v>44491.625300925924</v>
      </c>
      <c r="B24" s="3" t="s">
        <v>23</v>
      </c>
      <c r="C24" s="3" t="s">
        <v>124</v>
      </c>
      <c r="D24" s="3" t="s">
        <v>125</v>
      </c>
      <c r="E24" s="3" t="s">
        <v>126</v>
      </c>
      <c r="F24" s="3" t="s">
        <v>127</v>
      </c>
      <c r="G24" s="3" t="s">
        <v>126</v>
      </c>
      <c r="H24" s="3" t="s">
        <v>126</v>
      </c>
      <c r="J24" s="4" t="str">
        <f>TEXT("5107420263613688783","0")</f>
        <v>5107420263613680000</v>
      </c>
    </row>
    <row r="25" spans="1:10" ht="12.75" x14ac:dyDescent="0.2">
      <c r="A25" s="2">
        <v>44491.625486111108</v>
      </c>
      <c r="B25" s="3" t="s">
        <v>23</v>
      </c>
      <c r="C25" s="3" t="s">
        <v>128</v>
      </c>
      <c r="D25" s="3" t="s">
        <v>129</v>
      </c>
      <c r="E25" s="3" t="s">
        <v>130</v>
      </c>
      <c r="F25" s="3" t="s">
        <v>131</v>
      </c>
      <c r="G25" s="3" t="s">
        <v>131</v>
      </c>
      <c r="H25" s="3" t="s">
        <v>132</v>
      </c>
      <c r="J25" s="4" t="str">
        <f>TEXT("5107420424718809012","0")</f>
        <v>5107420424718800000</v>
      </c>
    </row>
    <row r="26" spans="1:10" ht="12.75" x14ac:dyDescent="0.2">
      <c r="A26" s="2">
        <v>44491.626446759263</v>
      </c>
      <c r="B26" s="3" t="s">
        <v>23</v>
      </c>
      <c r="C26" s="3" t="s">
        <v>133</v>
      </c>
      <c r="D26" s="3" t="s">
        <v>134</v>
      </c>
      <c r="E26" s="3" t="s">
        <v>63</v>
      </c>
      <c r="F26" s="3" t="s">
        <v>134</v>
      </c>
      <c r="G26" s="3" t="s">
        <v>135</v>
      </c>
      <c r="H26" s="3" t="s">
        <v>136</v>
      </c>
      <c r="I26" s="3" t="s">
        <v>137</v>
      </c>
      <c r="J26" s="4" t="str">
        <f>TEXT("5107421241328699803","0")</f>
        <v>5107421241328690000</v>
      </c>
    </row>
    <row r="27" spans="1:10" ht="12.75" x14ac:dyDescent="0.2">
      <c r="A27" s="2">
        <v>44491.627523148149</v>
      </c>
      <c r="B27" s="3" t="s">
        <v>23</v>
      </c>
      <c r="C27" s="3" t="s">
        <v>138</v>
      </c>
      <c r="D27" s="3" t="s">
        <v>139</v>
      </c>
      <c r="E27" s="3" t="s">
        <v>140</v>
      </c>
      <c r="F27" s="3" t="s">
        <v>141</v>
      </c>
      <c r="G27" s="3" t="s">
        <v>140</v>
      </c>
      <c r="H27" s="3" t="s">
        <v>140</v>
      </c>
      <c r="I27" s="3" t="s">
        <v>142</v>
      </c>
      <c r="J27" s="4" t="str">
        <f>TEXT("5107422172611221566","0")</f>
        <v>5107422172611220000</v>
      </c>
    </row>
    <row r="28" spans="1:10" ht="12.75" x14ac:dyDescent="0.2">
      <c r="A28" s="2">
        <v>44491.628067129626</v>
      </c>
      <c r="B28" s="3" t="s">
        <v>23</v>
      </c>
      <c r="C28" s="3" t="s">
        <v>143</v>
      </c>
      <c r="D28" s="3" t="s">
        <v>144</v>
      </c>
      <c r="E28" s="3" t="s">
        <v>145</v>
      </c>
      <c r="F28" s="3" t="s">
        <v>146</v>
      </c>
      <c r="G28" s="3" t="s">
        <v>147</v>
      </c>
      <c r="H28" s="3" t="s">
        <v>145</v>
      </c>
      <c r="J28" s="4" t="str">
        <f>TEXT("5107422638029018306","0")</f>
        <v>5107422638029010000</v>
      </c>
    </row>
    <row r="29" spans="1:10" ht="12.75" x14ac:dyDescent="0.2">
      <c r="A29" s="2">
        <v>44491.628981481481</v>
      </c>
      <c r="B29" s="3" t="s">
        <v>23</v>
      </c>
      <c r="C29" s="3" t="s">
        <v>148</v>
      </c>
      <c r="D29" s="3" t="s">
        <v>149</v>
      </c>
      <c r="E29" s="3" t="s">
        <v>150</v>
      </c>
      <c r="F29" s="3" t="s">
        <v>151</v>
      </c>
      <c r="G29" s="3" t="s">
        <v>152</v>
      </c>
      <c r="H29" s="3" t="s">
        <v>153</v>
      </c>
      <c r="I29" s="3" t="s">
        <v>154</v>
      </c>
      <c r="J29" s="4" t="str">
        <f>TEXT("5107423415317382252","0")</f>
        <v>5107423415317380000</v>
      </c>
    </row>
    <row r="30" spans="1:10" ht="12.75" x14ac:dyDescent="0.2">
      <c r="A30" s="2">
        <v>44491.629027777781</v>
      </c>
      <c r="B30" s="3" t="s">
        <v>23</v>
      </c>
      <c r="C30" s="3" t="s">
        <v>155</v>
      </c>
      <c r="D30" s="3" t="s">
        <v>109</v>
      </c>
      <c r="E30" s="3" t="s">
        <v>156</v>
      </c>
      <c r="F30" s="3" t="s">
        <v>131</v>
      </c>
      <c r="G30" s="3" t="s">
        <v>157</v>
      </c>
      <c r="H30" s="3" t="s">
        <v>109</v>
      </c>
      <c r="I30" s="3" t="s">
        <v>46</v>
      </c>
      <c r="J30" s="4" t="str">
        <f>TEXT("5107423475818731967","0")</f>
        <v>5107423475818730000</v>
      </c>
    </row>
    <row r="31" spans="1:10" ht="12.75" x14ac:dyDescent="0.2">
      <c r="A31" s="2">
        <v>44491.629953703705</v>
      </c>
      <c r="B31" s="3" t="s">
        <v>23</v>
      </c>
      <c r="C31" s="3" t="s">
        <v>158</v>
      </c>
      <c r="D31" s="3" t="s">
        <v>159</v>
      </c>
      <c r="E31" s="3" t="s">
        <v>160</v>
      </c>
      <c r="F31" s="3" t="s">
        <v>161</v>
      </c>
      <c r="G31" s="3" t="s">
        <v>162</v>
      </c>
      <c r="H31" s="3" t="s">
        <v>163</v>
      </c>
      <c r="I31" s="3" t="s">
        <v>164</v>
      </c>
      <c r="J31" s="4" t="str">
        <f>TEXT("5107424084113387226","0")</f>
        <v>5107424084113380000</v>
      </c>
    </row>
    <row r="32" spans="1:10" ht="12.75" x14ac:dyDescent="0.2">
      <c r="A32" s="2">
        <v>44491.630046296297</v>
      </c>
      <c r="B32" s="3" t="s">
        <v>23</v>
      </c>
      <c r="C32" s="3" t="s">
        <v>165</v>
      </c>
      <c r="D32" s="3" t="s">
        <v>166</v>
      </c>
      <c r="E32" s="3" t="s">
        <v>81</v>
      </c>
      <c r="F32" s="3" t="s">
        <v>92</v>
      </c>
      <c r="G32" s="3" t="s">
        <v>167</v>
      </c>
      <c r="H32" s="3" t="s">
        <v>168</v>
      </c>
      <c r="I32" s="3" t="s">
        <v>169</v>
      </c>
      <c r="J32" s="4" t="str">
        <f>TEXT("5107424291547556995","0")</f>
        <v>5107424291547550000</v>
      </c>
    </row>
    <row r="33" spans="1:10" ht="12.75" x14ac:dyDescent="0.2">
      <c r="A33" s="2">
        <v>44491.632361111115</v>
      </c>
      <c r="B33" s="3" t="s">
        <v>23</v>
      </c>
      <c r="C33" s="3" t="s">
        <v>170</v>
      </c>
      <c r="D33" s="3" t="s">
        <v>171</v>
      </c>
      <c r="E33" s="3" t="s">
        <v>172</v>
      </c>
      <c r="F33" s="3" t="s">
        <v>173</v>
      </c>
      <c r="G33" s="3" t="s">
        <v>174</v>
      </c>
      <c r="H33" s="3" t="s">
        <v>175</v>
      </c>
      <c r="J33" s="4" t="str">
        <f>TEXT("5107426193117523182","0")</f>
        <v>5107426193117520000</v>
      </c>
    </row>
    <row r="34" spans="1:10" ht="12.75" x14ac:dyDescent="0.2">
      <c r="A34" s="2">
        <v>44491.632592592592</v>
      </c>
      <c r="B34" s="3" t="s">
        <v>23</v>
      </c>
      <c r="C34" s="3" t="s">
        <v>176</v>
      </c>
      <c r="D34" s="3" t="s">
        <v>177</v>
      </c>
      <c r="E34" s="3" t="s">
        <v>178</v>
      </c>
      <c r="F34" s="3" t="s">
        <v>179</v>
      </c>
      <c r="G34" s="3" t="s">
        <v>180</v>
      </c>
      <c r="H34" s="3" t="s">
        <v>181</v>
      </c>
      <c r="J34" s="4" t="str">
        <f>TEXT("5107426537414686367","0")</f>
        <v>5107426537414680000</v>
      </c>
    </row>
    <row r="35" spans="1:10" ht="12.75" x14ac:dyDescent="0.2">
      <c r="A35" s="2">
        <v>44491.632939814815</v>
      </c>
      <c r="B35" s="3" t="s">
        <v>23</v>
      </c>
      <c r="C35" s="3" t="s">
        <v>182</v>
      </c>
      <c r="D35" s="3" t="s">
        <v>183</v>
      </c>
      <c r="E35" s="3" t="s">
        <v>82</v>
      </c>
      <c r="F35" s="3" t="s">
        <v>82</v>
      </c>
      <c r="G35" s="3" t="s">
        <v>184</v>
      </c>
      <c r="H35" s="3" t="s">
        <v>185</v>
      </c>
      <c r="J35" s="4" t="str">
        <f>TEXT("5107426814228280761","0")</f>
        <v>5107426814228280000</v>
      </c>
    </row>
    <row r="36" spans="1:10" ht="12.75" x14ac:dyDescent="0.2">
      <c r="A36" s="2">
        <v>44491.633148148147</v>
      </c>
      <c r="B36" s="3" t="s">
        <v>23</v>
      </c>
      <c r="C36" s="3" t="s">
        <v>186</v>
      </c>
      <c r="D36" s="3" t="s">
        <v>187</v>
      </c>
      <c r="E36" s="3" t="s">
        <v>188</v>
      </c>
      <c r="F36" s="3" t="s">
        <v>189</v>
      </c>
      <c r="G36" s="3" t="s">
        <v>190</v>
      </c>
      <c r="H36" s="3" t="s">
        <v>189</v>
      </c>
      <c r="J36" s="4" t="str">
        <f>TEXT("5107427028151663071","0")</f>
        <v>5107427028151660000</v>
      </c>
    </row>
    <row r="37" spans="1:10" ht="12.75" x14ac:dyDescent="0.2">
      <c r="A37" s="2">
        <v>44491.633611111109</v>
      </c>
      <c r="B37" s="3" t="s">
        <v>23</v>
      </c>
      <c r="C37" s="6" t="s">
        <v>191</v>
      </c>
      <c r="D37" s="3" t="s">
        <v>192</v>
      </c>
      <c r="E37" s="3" t="s">
        <v>30</v>
      </c>
      <c r="F37" s="3" t="s">
        <v>193</v>
      </c>
      <c r="G37" s="3" t="s">
        <v>192</v>
      </c>
      <c r="H37" s="3" t="s">
        <v>194</v>
      </c>
      <c r="I37" s="3" t="s">
        <v>46</v>
      </c>
      <c r="J37" s="4" t="str">
        <f>TEXT("5107427375116479447","0")</f>
        <v>5107427375116470000</v>
      </c>
    </row>
    <row r="38" spans="1:10" ht="12.75" x14ac:dyDescent="0.2">
      <c r="A38" s="2">
        <v>44491.633946759262</v>
      </c>
      <c r="B38" s="3" t="s">
        <v>23</v>
      </c>
      <c r="C38" s="3" t="s">
        <v>195</v>
      </c>
      <c r="D38" s="3" t="s">
        <v>91</v>
      </c>
      <c r="E38" s="3" t="s">
        <v>196</v>
      </c>
      <c r="F38" s="3" t="s">
        <v>197</v>
      </c>
      <c r="G38" s="3" t="s">
        <v>198</v>
      </c>
      <c r="H38" s="3" t="s">
        <v>199</v>
      </c>
      <c r="J38" s="4" t="str">
        <f>TEXT("5107427686718406141","0")</f>
        <v>5107427686718400000</v>
      </c>
    </row>
    <row r="39" spans="1:10" ht="12.75" x14ac:dyDescent="0.2">
      <c r="A39" s="2">
        <v>44491.63417824074</v>
      </c>
      <c r="B39" s="3" t="s">
        <v>23</v>
      </c>
      <c r="C39" s="3" t="s">
        <v>200</v>
      </c>
      <c r="D39" s="3" t="s">
        <v>201</v>
      </c>
      <c r="E39" s="3" t="s">
        <v>202</v>
      </c>
      <c r="F39" s="3" t="s">
        <v>203</v>
      </c>
      <c r="G39" s="3" t="s">
        <v>204</v>
      </c>
      <c r="H39" s="3" t="s">
        <v>205</v>
      </c>
      <c r="I39" s="3" t="s">
        <v>46</v>
      </c>
      <c r="J39" s="4" t="str">
        <f>TEXT("5107427929218412282","0")</f>
        <v>5107427929218410000</v>
      </c>
    </row>
    <row r="40" spans="1:10" ht="12.75" x14ac:dyDescent="0.2">
      <c r="A40" s="2">
        <v>44491.634375000001</v>
      </c>
      <c r="B40" s="3" t="s">
        <v>23</v>
      </c>
      <c r="C40" s="3" t="s">
        <v>206</v>
      </c>
      <c r="D40" s="3" t="s">
        <v>207</v>
      </c>
      <c r="E40" s="3" t="s">
        <v>208</v>
      </c>
      <c r="F40" s="3" t="s">
        <v>209</v>
      </c>
      <c r="G40" s="3" t="s">
        <v>52</v>
      </c>
      <c r="H40" s="3" t="s">
        <v>210</v>
      </c>
      <c r="I40" s="3" t="s">
        <v>46</v>
      </c>
      <c r="J40" s="4" t="str">
        <f>TEXT("5107428052651750174","0")</f>
        <v>5107428052651750000</v>
      </c>
    </row>
    <row r="41" spans="1:10" ht="12.75" x14ac:dyDescent="0.2">
      <c r="A41" s="2">
        <v>44491.635208333333</v>
      </c>
      <c r="B41" s="3" t="s">
        <v>23</v>
      </c>
      <c r="C41" s="3" t="s">
        <v>211</v>
      </c>
      <c r="D41" s="3" t="s">
        <v>212</v>
      </c>
      <c r="E41" s="3" t="s">
        <v>213</v>
      </c>
      <c r="F41" s="3" t="s">
        <v>214</v>
      </c>
      <c r="G41" s="3" t="s">
        <v>215</v>
      </c>
      <c r="H41" s="3" t="s">
        <v>216</v>
      </c>
      <c r="I41" s="3" t="s">
        <v>217</v>
      </c>
      <c r="J41" s="4" t="str">
        <f>TEXT("5107428765352698297","0")</f>
        <v>5107428765352690000</v>
      </c>
    </row>
    <row r="42" spans="1:10" ht="12.75" x14ac:dyDescent="0.2">
      <c r="A42" s="2">
        <v>44491.635277777779</v>
      </c>
      <c r="B42" s="3" t="s">
        <v>23</v>
      </c>
      <c r="C42" s="3" t="s">
        <v>218</v>
      </c>
      <c r="D42" s="3" t="s">
        <v>219</v>
      </c>
      <c r="E42" s="3" t="s">
        <v>220</v>
      </c>
      <c r="F42" s="3" t="s">
        <v>99</v>
      </c>
      <c r="G42" s="3" t="s">
        <v>221</v>
      </c>
      <c r="H42" s="3" t="s">
        <v>222</v>
      </c>
      <c r="J42" s="4" t="str">
        <f>TEXT("5107428787229064743","0")</f>
        <v>5107428787229060000</v>
      </c>
    </row>
    <row r="43" spans="1:10" ht="12.75" x14ac:dyDescent="0.2">
      <c r="A43" s="2">
        <v>44491.635335648149</v>
      </c>
      <c r="B43" s="3" t="s">
        <v>23</v>
      </c>
      <c r="C43" s="3" t="s">
        <v>211</v>
      </c>
      <c r="D43" s="3" t="s">
        <v>212</v>
      </c>
      <c r="E43" s="3" t="s">
        <v>213</v>
      </c>
      <c r="F43" s="3" t="s">
        <v>214</v>
      </c>
      <c r="G43" s="3" t="s">
        <v>215</v>
      </c>
      <c r="H43" s="3" t="s">
        <v>216</v>
      </c>
      <c r="I43" s="3" t="s">
        <v>217</v>
      </c>
      <c r="J43" s="4" t="str">
        <f>TEXT("5107428755357170280","0")</f>
        <v>5107428755357170000</v>
      </c>
    </row>
    <row r="44" spans="1:10" ht="12.75" x14ac:dyDescent="0.2">
      <c r="A44" s="2">
        <v>44491.636099537034</v>
      </c>
      <c r="B44" s="3" t="s">
        <v>23</v>
      </c>
      <c r="C44" s="3" t="s">
        <v>223</v>
      </c>
      <c r="D44" s="3" t="s">
        <v>224</v>
      </c>
      <c r="E44" s="3" t="s">
        <v>225</v>
      </c>
      <c r="F44" s="3" t="s">
        <v>226</v>
      </c>
      <c r="G44" s="3" t="s">
        <v>39</v>
      </c>
      <c r="H44" s="3" t="s">
        <v>227</v>
      </c>
      <c r="J44" s="4" t="str">
        <f>TEXT("5107429588418375618","0")</f>
        <v>5107429588418370000</v>
      </c>
    </row>
    <row r="45" spans="1:10" ht="12.75" x14ac:dyDescent="0.2">
      <c r="A45" s="2">
        <v>44491.63685185185</v>
      </c>
      <c r="B45" s="3" t="s">
        <v>23</v>
      </c>
      <c r="C45" s="3" t="s">
        <v>228</v>
      </c>
      <c r="D45" s="3" t="s">
        <v>229</v>
      </c>
      <c r="E45" s="3" t="s">
        <v>229</v>
      </c>
      <c r="F45" s="3" t="s">
        <v>230</v>
      </c>
      <c r="G45" s="3" t="s">
        <v>227</v>
      </c>
      <c r="H45" s="3" t="s">
        <v>227</v>
      </c>
      <c r="J45" s="4" t="str">
        <f>TEXT("5107430246427308696","0")</f>
        <v>5107430246427300000</v>
      </c>
    </row>
    <row r="46" spans="1:10" ht="12.75" x14ac:dyDescent="0.2">
      <c r="A46" s="2">
        <v>44491.639340277776</v>
      </c>
      <c r="B46" s="3" t="s">
        <v>23</v>
      </c>
      <c r="C46" s="3" t="s">
        <v>231</v>
      </c>
      <c r="D46" s="3" t="s">
        <v>232</v>
      </c>
      <c r="E46" s="3" t="s">
        <v>233</v>
      </c>
      <c r="F46" s="3" t="s">
        <v>234</v>
      </c>
      <c r="G46" s="3" t="s">
        <v>235</v>
      </c>
      <c r="H46" s="3" t="s">
        <v>236</v>
      </c>
      <c r="I46" s="3" t="s">
        <v>100</v>
      </c>
      <c r="J46" s="4" t="str">
        <f>TEXT("5107432334127529631","0")</f>
        <v>5107432334127520000</v>
      </c>
    </row>
    <row r="47" spans="1:10" ht="12.75" x14ac:dyDescent="0.2">
      <c r="A47" s="2">
        <v>44491.639444444445</v>
      </c>
      <c r="B47" s="3" t="s">
        <v>23</v>
      </c>
      <c r="C47" s="3" t="s">
        <v>237</v>
      </c>
      <c r="D47" s="3" t="s">
        <v>238</v>
      </c>
      <c r="E47" s="3" t="s">
        <v>239</v>
      </c>
      <c r="F47" s="3" t="s">
        <v>240</v>
      </c>
      <c r="G47" s="3" t="s">
        <v>240</v>
      </c>
      <c r="H47" s="3" t="s">
        <v>241</v>
      </c>
      <c r="I47" s="3" t="s">
        <v>46</v>
      </c>
      <c r="J47" s="4" t="str">
        <f>TEXT("5107432377915030858","0")</f>
        <v>5107432377915030000</v>
      </c>
    </row>
    <row r="48" spans="1:10" ht="12.75" x14ac:dyDescent="0.2">
      <c r="A48" s="2">
        <v>44491.639803240738</v>
      </c>
      <c r="B48" s="3" t="s">
        <v>23</v>
      </c>
      <c r="C48" s="3" t="s">
        <v>242</v>
      </c>
      <c r="D48" s="3" t="s">
        <v>243</v>
      </c>
      <c r="E48" s="3" t="s">
        <v>244</v>
      </c>
      <c r="F48" s="3" t="s">
        <v>189</v>
      </c>
      <c r="G48" s="3" t="s">
        <v>245</v>
      </c>
      <c r="H48" s="3" t="s">
        <v>246</v>
      </c>
      <c r="I48" s="3" t="s">
        <v>247</v>
      </c>
      <c r="J48" s="4" t="str">
        <f>TEXT("5107432749886003447","0")</f>
        <v>5107432749886000000</v>
      </c>
    </row>
    <row r="49" spans="1:10" ht="12.75" x14ac:dyDescent="0.2">
      <c r="A49" s="2">
        <v>44491.63994212963</v>
      </c>
      <c r="B49" s="3" t="s">
        <v>23</v>
      </c>
      <c r="C49" s="3" t="s">
        <v>248</v>
      </c>
      <c r="D49" s="3" t="s">
        <v>249</v>
      </c>
      <c r="E49" s="3" t="s">
        <v>250</v>
      </c>
      <c r="F49" s="3" t="s">
        <v>250</v>
      </c>
      <c r="G49" s="3" t="s">
        <v>249</v>
      </c>
      <c r="H49" s="3" t="s">
        <v>249</v>
      </c>
      <c r="I49" s="3" t="s">
        <v>46</v>
      </c>
      <c r="J49" s="4" t="str">
        <f>TEXT("5107432876203227135","0")</f>
        <v>5107432876203220000</v>
      </c>
    </row>
    <row r="50" spans="1:10" ht="12.75" x14ac:dyDescent="0.2">
      <c r="A50" s="2">
        <v>44491.639976851853</v>
      </c>
      <c r="B50" s="3" t="s">
        <v>23</v>
      </c>
      <c r="C50" s="3" t="s">
        <v>251</v>
      </c>
      <c r="D50" s="3" t="s">
        <v>102</v>
      </c>
      <c r="E50" s="3" t="s">
        <v>252</v>
      </c>
      <c r="F50" s="3" t="s">
        <v>102</v>
      </c>
      <c r="G50" s="3" t="s">
        <v>253</v>
      </c>
      <c r="H50" s="3" t="s">
        <v>253</v>
      </c>
      <c r="I50" s="3" t="s">
        <v>46</v>
      </c>
      <c r="J50" s="4" t="str">
        <f>TEXT("5107432765717608840","0")</f>
        <v>5107432765717600000</v>
      </c>
    </row>
    <row r="51" spans="1:10" ht="12.75" x14ac:dyDescent="0.2">
      <c r="A51" s="2">
        <v>44491.641215277778</v>
      </c>
      <c r="B51" s="3" t="s">
        <v>23</v>
      </c>
      <c r="C51" s="3" t="s">
        <v>254</v>
      </c>
      <c r="D51" s="3" t="s">
        <v>255</v>
      </c>
      <c r="E51" s="3" t="s">
        <v>256</v>
      </c>
      <c r="F51" s="3" t="s">
        <v>240</v>
      </c>
      <c r="G51" s="3" t="s">
        <v>257</v>
      </c>
      <c r="H51" s="3" t="s">
        <v>258</v>
      </c>
      <c r="I51" s="3" t="s">
        <v>259</v>
      </c>
      <c r="J51" s="4" t="str">
        <f>TEXT("5107434010811150034","0")</f>
        <v>5107434010811150000</v>
      </c>
    </row>
    <row r="52" spans="1:10" ht="12.75" x14ac:dyDescent="0.2">
      <c r="A52" s="2">
        <v>44491.641956018517</v>
      </c>
      <c r="B52" s="3" t="s">
        <v>23</v>
      </c>
      <c r="C52" s="3" t="s">
        <v>260</v>
      </c>
      <c r="D52" s="3" t="s">
        <v>261</v>
      </c>
      <c r="E52" s="3" t="s">
        <v>262</v>
      </c>
      <c r="F52" s="3" t="s">
        <v>261</v>
      </c>
      <c r="G52" s="3" t="s">
        <v>263</v>
      </c>
      <c r="H52" s="3" t="s">
        <v>264</v>
      </c>
      <c r="J52" s="4" t="str">
        <f>TEXT("5107434327104757666","0")</f>
        <v>5107434327104750000</v>
      </c>
    </row>
    <row r="53" spans="1:10" ht="12.75" x14ac:dyDescent="0.2">
      <c r="A53" s="2">
        <v>44491.642164351855</v>
      </c>
      <c r="B53" s="3" t="s">
        <v>23</v>
      </c>
      <c r="C53" s="3" t="s">
        <v>265</v>
      </c>
      <c r="D53" s="3" t="s">
        <v>51</v>
      </c>
      <c r="E53" s="3" t="s">
        <v>51</v>
      </c>
      <c r="F53" s="3" t="s">
        <v>51</v>
      </c>
      <c r="G53" s="3" t="s">
        <v>51</v>
      </c>
      <c r="H53" s="3" t="s">
        <v>266</v>
      </c>
      <c r="J53" s="4" t="str">
        <f>TEXT("5107434832219861432","0")</f>
        <v>5107434832219860000</v>
      </c>
    </row>
    <row r="54" spans="1:10" ht="12.75" x14ac:dyDescent="0.2">
      <c r="A54" s="2">
        <v>44491.642708333333</v>
      </c>
      <c r="B54" s="3" t="s">
        <v>23</v>
      </c>
      <c r="C54" s="3" t="s">
        <v>267</v>
      </c>
      <c r="D54" s="3" t="s">
        <v>268</v>
      </c>
      <c r="E54" s="3" t="s">
        <v>269</v>
      </c>
      <c r="F54" s="3" t="s">
        <v>270</v>
      </c>
      <c r="G54" s="3" t="s">
        <v>271</v>
      </c>
      <c r="H54" s="3" t="s">
        <v>87</v>
      </c>
      <c r="I54" s="3" t="s">
        <v>272</v>
      </c>
      <c r="J54" s="4" t="str">
        <f>TEXT("5107435262512908575","0")</f>
        <v>5107435262512900000</v>
      </c>
    </row>
    <row r="55" spans="1:10" ht="12.75" x14ac:dyDescent="0.2">
      <c r="A55" s="2">
        <v>44491.64329861111</v>
      </c>
      <c r="B55" s="3" t="s">
        <v>23</v>
      </c>
      <c r="C55" s="3" t="s">
        <v>273</v>
      </c>
      <c r="D55" s="3" t="s">
        <v>274</v>
      </c>
      <c r="E55" s="3" t="s">
        <v>275</v>
      </c>
      <c r="F55" s="3" t="s">
        <v>276</v>
      </c>
      <c r="G55" s="3" t="s">
        <v>277</v>
      </c>
      <c r="H55" s="3" t="s">
        <v>278</v>
      </c>
      <c r="I55" s="3" t="s">
        <v>46</v>
      </c>
      <c r="J55" s="4" t="str">
        <f>TEXT("5107435811341819108","0")</f>
        <v>5107435811341810000</v>
      </c>
    </row>
    <row r="56" spans="1:10" ht="12.75" x14ac:dyDescent="0.2">
      <c r="A56" s="2">
        <v>44491.643854166665</v>
      </c>
      <c r="B56" s="3" t="s">
        <v>23</v>
      </c>
      <c r="C56" s="3" t="s">
        <v>279</v>
      </c>
      <c r="D56" s="3" t="s">
        <v>97</v>
      </c>
      <c r="E56" s="3" t="s">
        <v>280</v>
      </c>
      <c r="F56" s="3" t="s">
        <v>281</v>
      </c>
      <c r="G56" s="3" t="s">
        <v>96</v>
      </c>
      <c r="H56" s="3" t="s">
        <v>282</v>
      </c>
      <c r="I56" s="3" t="s">
        <v>283</v>
      </c>
      <c r="J56" s="4" t="str">
        <f>TEXT("5107436272559451835","0")</f>
        <v>5107436272559450000</v>
      </c>
    </row>
    <row r="57" spans="1:10" ht="12.75" x14ac:dyDescent="0.2">
      <c r="A57" s="2">
        <v>44491.644513888888</v>
      </c>
      <c r="B57" s="3" t="s">
        <v>23</v>
      </c>
      <c r="C57" s="3" t="s">
        <v>284</v>
      </c>
      <c r="D57" s="3" t="s">
        <v>285</v>
      </c>
      <c r="E57" s="3" t="s">
        <v>286</v>
      </c>
      <c r="F57" s="3" t="s">
        <v>287</v>
      </c>
      <c r="G57" s="3" t="s">
        <v>288</v>
      </c>
      <c r="H57" s="3" t="s">
        <v>289</v>
      </c>
      <c r="I57" s="3" t="s">
        <v>290</v>
      </c>
      <c r="J57" s="4" t="str">
        <f>TEXT("5107436681613427438","0")</f>
        <v>5107436681613420000</v>
      </c>
    </row>
    <row r="58" spans="1:10" ht="12.75" x14ac:dyDescent="0.2">
      <c r="A58" s="2">
        <v>44491.646550925929</v>
      </c>
      <c r="B58" s="3" t="s">
        <v>23</v>
      </c>
      <c r="C58" s="3" t="s">
        <v>291</v>
      </c>
      <c r="D58" s="3" t="s">
        <v>292</v>
      </c>
      <c r="E58" s="3" t="s">
        <v>293</v>
      </c>
      <c r="F58" s="3" t="s">
        <v>294</v>
      </c>
      <c r="G58" s="3" t="s">
        <v>295</v>
      </c>
      <c r="H58" s="3" t="s">
        <v>294</v>
      </c>
      <c r="I58" s="3" t="s">
        <v>296</v>
      </c>
      <c r="J58" s="4" t="str">
        <f>TEXT("5107438528317997580","0")</f>
        <v>5107438528317990000</v>
      </c>
    </row>
    <row r="59" spans="1:10" ht="12.75" x14ac:dyDescent="0.2">
      <c r="A59" s="2">
        <v>44491.646608796298</v>
      </c>
      <c r="B59" s="3" t="s">
        <v>23</v>
      </c>
      <c r="C59" s="3" t="s">
        <v>297</v>
      </c>
      <c r="D59" s="3" t="s">
        <v>298</v>
      </c>
      <c r="E59" s="3" t="s">
        <v>299</v>
      </c>
      <c r="F59" s="3" t="s">
        <v>300</v>
      </c>
      <c r="G59" s="3" t="s">
        <v>301</v>
      </c>
      <c r="H59" s="3" t="s">
        <v>214</v>
      </c>
      <c r="J59" s="4" t="str">
        <f>TEXT("5107438656214387731","0")</f>
        <v>5107438656214380000</v>
      </c>
    </row>
    <row r="60" spans="1:10" ht="12.75" x14ac:dyDescent="0.2">
      <c r="A60" s="2">
        <v>44491.647013888891</v>
      </c>
      <c r="B60" s="3" t="s">
        <v>23</v>
      </c>
      <c r="C60" s="3" t="s">
        <v>302</v>
      </c>
      <c r="D60" s="3" t="s">
        <v>303</v>
      </c>
      <c r="E60" s="3" t="s">
        <v>304</v>
      </c>
      <c r="F60" s="3" t="s">
        <v>304</v>
      </c>
      <c r="G60" s="3" t="s">
        <v>305</v>
      </c>
      <c r="H60" s="3" t="s">
        <v>306</v>
      </c>
      <c r="J60" s="4" t="str">
        <f>TEXT("5107438976895839725","0")</f>
        <v>5107438976895830000</v>
      </c>
    </row>
    <row r="61" spans="1:10" ht="12.75" x14ac:dyDescent="0.2">
      <c r="A61" s="2">
        <v>44491.64707175926</v>
      </c>
      <c r="B61" s="3" t="s">
        <v>23</v>
      </c>
      <c r="C61" s="3" t="s">
        <v>307</v>
      </c>
      <c r="D61" s="3" t="s">
        <v>308</v>
      </c>
      <c r="E61" s="3" t="s">
        <v>309</v>
      </c>
      <c r="F61" s="3" t="s">
        <v>310</v>
      </c>
      <c r="G61" s="3" t="s">
        <v>311</v>
      </c>
      <c r="H61" s="3" t="s">
        <v>312</v>
      </c>
      <c r="I61" s="3" t="s">
        <v>313</v>
      </c>
      <c r="J61" s="4" t="str">
        <f>TEXT("5107439036591716101","0")</f>
        <v>5107439036591710000</v>
      </c>
    </row>
    <row r="62" spans="1:10" ht="12.75" x14ac:dyDescent="0.2">
      <c r="A62" s="2">
        <v>44491.647233796299</v>
      </c>
      <c r="B62" s="3" t="s">
        <v>23</v>
      </c>
      <c r="C62" s="3" t="s">
        <v>314</v>
      </c>
      <c r="D62" s="3" t="s">
        <v>315</v>
      </c>
      <c r="E62" s="3" t="s">
        <v>264</v>
      </c>
      <c r="F62" s="3" t="s">
        <v>316</v>
      </c>
      <c r="G62" s="3" t="s">
        <v>316</v>
      </c>
      <c r="H62" s="3" t="s">
        <v>317</v>
      </c>
      <c r="J62" s="4" t="str">
        <f>TEXT("5107439202148975786","0")</f>
        <v>5107439202148970000</v>
      </c>
    </row>
    <row r="63" spans="1:10" ht="12.75" x14ac:dyDescent="0.2">
      <c r="A63" s="2">
        <v>44491.647581018522</v>
      </c>
      <c r="B63" s="3" t="s">
        <v>23</v>
      </c>
      <c r="C63" s="3" t="s">
        <v>318</v>
      </c>
      <c r="D63" s="3" t="s">
        <v>227</v>
      </c>
      <c r="E63" s="3" t="s">
        <v>319</v>
      </c>
      <c r="F63" s="3" t="s">
        <v>320</v>
      </c>
      <c r="G63" s="3" t="s">
        <v>25</v>
      </c>
      <c r="H63" s="3" t="s">
        <v>16</v>
      </c>
      <c r="I63" s="3" t="s">
        <v>46</v>
      </c>
      <c r="J63" s="4" t="str">
        <f>TEXT("5107439461271261962","0")</f>
        <v>5107439461271260000</v>
      </c>
    </row>
    <row r="64" spans="1:10" ht="12.75" x14ac:dyDescent="0.2">
      <c r="A64" s="2">
        <v>44491.647812499999</v>
      </c>
      <c r="B64" s="3" t="s">
        <v>23</v>
      </c>
      <c r="C64" s="3" t="s">
        <v>321</v>
      </c>
      <c r="D64" s="3" t="s">
        <v>322</v>
      </c>
      <c r="E64" s="3" t="s">
        <v>323</v>
      </c>
      <c r="F64" s="3" t="s">
        <v>324</v>
      </c>
      <c r="G64" s="3" t="s">
        <v>323</v>
      </c>
      <c r="H64" s="3" t="s">
        <v>325</v>
      </c>
      <c r="I64" s="3" t="s">
        <v>326</v>
      </c>
      <c r="J64" s="4" t="str">
        <f>TEXT("5107439675209011949","0")</f>
        <v>5107439675209010000</v>
      </c>
    </row>
    <row r="65" spans="1:10" ht="12.75" x14ac:dyDescent="0.2">
      <c r="A65" s="2">
        <v>44491.647812499999</v>
      </c>
      <c r="B65" s="3" t="s">
        <v>23</v>
      </c>
      <c r="C65" s="3" t="s">
        <v>327</v>
      </c>
      <c r="D65" s="3" t="s">
        <v>328</v>
      </c>
      <c r="E65" s="3" t="s">
        <v>329</v>
      </c>
      <c r="F65" s="3" t="s">
        <v>330</v>
      </c>
      <c r="G65" s="3" t="s">
        <v>331</v>
      </c>
      <c r="H65" s="3" t="s">
        <v>332</v>
      </c>
      <c r="J65" s="4" t="str">
        <f>TEXT("5107439675389432631","0")</f>
        <v>5107439675389430000</v>
      </c>
    </row>
    <row r="66" spans="1:10" ht="12.75" x14ac:dyDescent="0.2">
      <c r="A66" s="2">
        <v>44491.647974537038</v>
      </c>
      <c r="B66" s="3" t="s">
        <v>23</v>
      </c>
      <c r="C66" s="3" t="s">
        <v>333</v>
      </c>
      <c r="D66" s="3" t="s">
        <v>257</v>
      </c>
      <c r="E66" s="3" t="s">
        <v>75</v>
      </c>
      <c r="F66" s="3" t="s">
        <v>257</v>
      </c>
      <c r="G66" s="3" t="s">
        <v>257</v>
      </c>
      <c r="H66" s="3" t="s">
        <v>257</v>
      </c>
      <c r="I66" s="3" t="s">
        <v>334</v>
      </c>
      <c r="J66" s="4" t="str">
        <f>TEXT("5107439836752896027","0")</f>
        <v>5107439836752890000</v>
      </c>
    </row>
    <row r="67" spans="1:10" ht="12.75" x14ac:dyDescent="0.2">
      <c r="A67" s="2">
        <v>44491.6483912037</v>
      </c>
      <c r="B67" s="3" t="s">
        <v>23</v>
      </c>
      <c r="C67" s="3" t="s">
        <v>335</v>
      </c>
      <c r="D67" s="3" t="s">
        <v>336</v>
      </c>
      <c r="E67" s="3" t="s">
        <v>337</v>
      </c>
      <c r="F67" s="3" t="s">
        <v>338</v>
      </c>
      <c r="G67" s="3" t="s">
        <v>339</v>
      </c>
      <c r="H67" s="3" t="s">
        <v>340</v>
      </c>
      <c r="I67" s="3" t="s">
        <v>341</v>
      </c>
      <c r="J67" s="4" t="str">
        <f>TEXT("5107440175657569434","0")</f>
        <v>5107440175657560000</v>
      </c>
    </row>
    <row r="68" spans="1:10" ht="12.75" x14ac:dyDescent="0.2">
      <c r="A68" s="2">
        <v>44491.648773148147</v>
      </c>
      <c r="B68" s="3" t="s">
        <v>23</v>
      </c>
      <c r="C68" s="3" t="s">
        <v>342</v>
      </c>
      <c r="D68" s="3" t="s">
        <v>343</v>
      </c>
      <c r="E68" s="3" t="s">
        <v>344</v>
      </c>
      <c r="F68" s="3" t="s">
        <v>199</v>
      </c>
      <c r="G68" s="3" t="s">
        <v>345</v>
      </c>
      <c r="H68" s="3" t="s">
        <v>346</v>
      </c>
      <c r="I68" s="3" t="s">
        <v>347</v>
      </c>
      <c r="J68" s="4" t="str">
        <f>TEXT("5107440508226005197","0")</f>
        <v>5107440508226000000</v>
      </c>
    </row>
    <row r="69" spans="1:10" ht="12.75" x14ac:dyDescent="0.2">
      <c r="A69" s="2">
        <v>44491.649456018517</v>
      </c>
      <c r="B69" s="3" t="s">
        <v>23</v>
      </c>
      <c r="C69" s="3" t="s">
        <v>348</v>
      </c>
      <c r="D69" s="3" t="s">
        <v>349</v>
      </c>
      <c r="E69" s="3" t="s">
        <v>350</v>
      </c>
      <c r="F69" s="3" t="s">
        <v>351</v>
      </c>
      <c r="G69" s="3" t="s">
        <v>352</v>
      </c>
      <c r="H69" s="3" t="s">
        <v>350</v>
      </c>
      <c r="I69" s="3" t="s">
        <v>353</v>
      </c>
      <c r="J69" s="4" t="str">
        <f>TEXT("5107441100616707084","0")</f>
        <v>5107441100616700000</v>
      </c>
    </row>
    <row r="70" spans="1:10" ht="12.75" x14ac:dyDescent="0.2">
      <c r="A70" s="2">
        <v>44491.649953703702</v>
      </c>
      <c r="B70" s="3" t="s">
        <v>23</v>
      </c>
      <c r="C70" s="3" t="s">
        <v>354</v>
      </c>
      <c r="D70" s="3" t="s">
        <v>355</v>
      </c>
      <c r="E70" s="3" t="s">
        <v>356</v>
      </c>
      <c r="F70" s="3" t="s">
        <v>357</v>
      </c>
      <c r="G70" s="3" t="s">
        <v>358</v>
      </c>
      <c r="H70" s="3" t="s">
        <v>355</v>
      </c>
      <c r="J70" s="4" t="str">
        <f>TEXT("5107441523618091235","0")</f>
        <v>5107441523618090000</v>
      </c>
    </row>
    <row r="71" spans="1:10" ht="12.75" x14ac:dyDescent="0.2">
      <c r="A71" s="2">
        <v>44491.650011574071</v>
      </c>
      <c r="B71" s="3" t="s">
        <v>23</v>
      </c>
      <c r="C71" s="3" t="s">
        <v>359</v>
      </c>
      <c r="D71" s="3" t="s">
        <v>360</v>
      </c>
      <c r="E71" s="3" t="s">
        <v>361</v>
      </c>
      <c r="F71" s="3" t="s">
        <v>361</v>
      </c>
      <c r="G71" s="3" t="s">
        <v>361</v>
      </c>
      <c r="H71" s="3" t="s">
        <v>361</v>
      </c>
      <c r="J71" s="4" t="str">
        <f>TEXT("5107441530799381748","0")</f>
        <v>5107441530799380000</v>
      </c>
    </row>
    <row r="72" spans="1:10" ht="12.75" x14ac:dyDescent="0.2">
      <c r="A72" s="2">
        <v>44491.65053240741</v>
      </c>
      <c r="B72" s="3" t="s">
        <v>23</v>
      </c>
      <c r="C72" s="3" t="s">
        <v>362</v>
      </c>
      <c r="D72" s="3" t="s">
        <v>363</v>
      </c>
      <c r="E72" s="3" t="s">
        <v>364</v>
      </c>
      <c r="F72" s="3" t="s">
        <v>365</v>
      </c>
      <c r="G72" s="3" t="s">
        <v>366</v>
      </c>
      <c r="H72" s="3" t="s">
        <v>367</v>
      </c>
      <c r="J72" s="4" t="str">
        <f>TEXT("5107442039889142127","0")</f>
        <v>5107442039889140000</v>
      </c>
    </row>
    <row r="73" spans="1:10" ht="12.75" x14ac:dyDescent="0.2">
      <c r="A73" s="2">
        <v>44491.650856481479</v>
      </c>
      <c r="B73" s="3" t="s">
        <v>23</v>
      </c>
      <c r="C73" s="3" t="s">
        <v>368</v>
      </c>
      <c r="D73" s="3" t="s">
        <v>369</v>
      </c>
      <c r="E73" s="3" t="s">
        <v>370</v>
      </c>
      <c r="F73" s="3" t="s">
        <v>371</v>
      </c>
      <c r="G73" s="3" t="s">
        <v>372</v>
      </c>
      <c r="H73" s="3" t="s">
        <v>25</v>
      </c>
      <c r="J73" s="4" t="str">
        <f>TEXT("5107442340513339581","0")</f>
        <v>5107442340513330000</v>
      </c>
    </row>
    <row r="74" spans="1:10" ht="12.75" x14ac:dyDescent="0.2">
      <c r="A74" s="2">
        <v>44491.650983796295</v>
      </c>
      <c r="B74" s="3" t="s">
        <v>23</v>
      </c>
      <c r="C74" s="3" t="s">
        <v>373</v>
      </c>
      <c r="D74" s="3" t="s">
        <v>374</v>
      </c>
      <c r="E74" s="3" t="s">
        <v>375</v>
      </c>
      <c r="F74" s="3" t="s">
        <v>156</v>
      </c>
      <c r="G74" s="3" t="s">
        <v>156</v>
      </c>
      <c r="H74" s="3" t="s">
        <v>156</v>
      </c>
      <c r="I74" s="3" t="s">
        <v>376</v>
      </c>
      <c r="J74" s="4" t="str">
        <f>TEXT("5107442442529187265","0")</f>
        <v>5107442442529180000</v>
      </c>
    </row>
    <row r="75" spans="1:10" ht="12.75" x14ac:dyDescent="0.2">
      <c r="A75" s="2">
        <v>44491.651261574072</v>
      </c>
      <c r="B75" s="3" t="s">
        <v>23</v>
      </c>
      <c r="C75" s="3" t="s">
        <v>377</v>
      </c>
      <c r="D75" s="3" t="s">
        <v>378</v>
      </c>
      <c r="E75" s="3" t="s">
        <v>21</v>
      </c>
      <c r="F75" s="3" t="s">
        <v>372</v>
      </c>
      <c r="G75" s="3" t="s">
        <v>379</v>
      </c>
      <c r="H75" s="3" t="s">
        <v>49</v>
      </c>
      <c r="J75" s="4" t="str">
        <f>TEXT("5107442699423196185","0")</f>
        <v>5107442699423190000</v>
      </c>
    </row>
    <row r="76" spans="1:10" ht="12.75" x14ac:dyDescent="0.2">
      <c r="A76" s="2">
        <v>44491.651597222219</v>
      </c>
      <c r="B76" s="3" t="s">
        <v>23</v>
      </c>
      <c r="C76" s="3" t="s">
        <v>380</v>
      </c>
      <c r="D76" s="3" t="s">
        <v>381</v>
      </c>
      <c r="E76" s="3" t="s">
        <v>381</v>
      </c>
      <c r="F76" s="3" t="s">
        <v>381</v>
      </c>
      <c r="G76" s="3" t="s">
        <v>381</v>
      </c>
      <c r="H76" s="3" t="s">
        <v>381</v>
      </c>
      <c r="J76" s="4" t="str">
        <f>TEXT("5107442983399605957","0")</f>
        <v>5107442983399600000</v>
      </c>
    </row>
    <row r="77" spans="1:10" ht="12.75" x14ac:dyDescent="0.2">
      <c r="A77" s="2">
        <v>44491.651678240742</v>
      </c>
      <c r="B77" s="3" t="s">
        <v>23</v>
      </c>
      <c r="C77" s="3" t="s">
        <v>382</v>
      </c>
      <c r="D77" s="3" t="s">
        <v>11</v>
      </c>
      <c r="E77" s="3" t="s">
        <v>77</v>
      </c>
      <c r="F77" s="3" t="s">
        <v>383</v>
      </c>
      <c r="G77" s="3" t="s">
        <v>384</v>
      </c>
      <c r="H77" s="3" t="s">
        <v>385</v>
      </c>
      <c r="J77" s="4" t="str">
        <f>TEXT("5107443056791313600","0")</f>
        <v>5107443056791310000</v>
      </c>
    </row>
    <row r="78" spans="1:10" ht="12.75" x14ac:dyDescent="0.2">
      <c r="A78" s="2">
        <v>44491.652280092596</v>
      </c>
      <c r="B78" s="3" t="s">
        <v>23</v>
      </c>
      <c r="C78" s="3" t="s">
        <v>386</v>
      </c>
      <c r="D78" s="3" t="s">
        <v>387</v>
      </c>
      <c r="E78" s="3" t="s">
        <v>388</v>
      </c>
      <c r="F78" s="3" t="s">
        <v>389</v>
      </c>
      <c r="G78" s="3" t="s">
        <v>390</v>
      </c>
      <c r="H78" s="3" t="s">
        <v>75</v>
      </c>
      <c r="J78" s="4" t="str">
        <f>TEXT("5107443535426216229","0")</f>
        <v>5107443535426210000</v>
      </c>
    </row>
    <row r="79" spans="1:10" ht="12.75" x14ac:dyDescent="0.2">
      <c r="A79" s="2">
        <v>44491.652361111112</v>
      </c>
      <c r="B79" s="3" t="s">
        <v>23</v>
      </c>
      <c r="C79" s="3" t="s">
        <v>391</v>
      </c>
      <c r="D79" s="3" t="s">
        <v>392</v>
      </c>
      <c r="E79" s="3" t="s">
        <v>393</v>
      </c>
      <c r="F79" s="3" t="s">
        <v>394</v>
      </c>
      <c r="G79" s="3" t="s">
        <v>395</v>
      </c>
      <c r="H79" s="3" t="s">
        <v>393</v>
      </c>
      <c r="J79" s="4" t="str">
        <f>TEXT("5107443634224666988","0")</f>
        <v>5107443634224660000</v>
      </c>
    </row>
    <row r="80" spans="1:10" ht="12.75" x14ac:dyDescent="0.2">
      <c r="A80" s="2">
        <v>44491.652627314812</v>
      </c>
      <c r="B80" s="3" t="s">
        <v>23</v>
      </c>
      <c r="C80" s="3" t="s">
        <v>396</v>
      </c>
      <c r="D80" s="3" t="s">
        <v>397</v>
      </c>
      <c r="E80" s="3" t="s">
        <v>161</v>
      </c>
      <c r="F80" s="3" t="s">
        <v>398</v>
      </c>
      <c r="G80" s="3" t="s">
        <v>399</v>
      </c>
      <c r="H80" s="3" t="s">
        <v>400</v>
      </c>
      <c r="J80" s="4" t="str">
        <f>TEXT("5107443865895083577","0")</f>
        <v>5107443865895080000</v>
      </c>
    </row>
    <row r="81" spans="1:10" ht="12.75" x14ac:dyDescent="0.2">
      <c r="A81" s="2">
        <v>44491.652789351851</v>
      </c>
      <c r="B81" s="3" t="s">
        <v>23</v>
      </c>
      <c r="C81" s="3" t="s">
        <v>401</v>
      </c>
      <c r="D81" s="3" t="s">
        <v>340</v>
      </c>
      <c r="E81" s="3" t="s">
        <v>402</v>
      </c>
      <c r="F81" s="3" t="s">
        <v>300</v>
      </c>
      <c r="G81" s="3" t="s">
        <v>403</v>
      </c>
      <c r="H81" s="3" t="s">
        <v>404</v>
      </c>
      <c r="J81" s="4" t="str">
        <f>TEXT("5107444003477477339","0")</f>
        <v>5107444003477470000</v>
      </c>
    </row>
    <row r="82" spans="1:10" ht="12.75" x14ac:dyDescent="0.2">
      <c r="A82" s="2">
        <v>44491.652858796297</v>
      </c>
      <c r="B82" s="3" t="s">
        <v>23</v>
      </c>
      <c r="C82" s="3" t="s">
        <v>405</v>
      </c>
      <c r="D82" s="3" t="s">
        <v>406</v>
      </c>
      <c r="E82" s="3" t="s">
        <v>407</v>
      </c>
      <c r="F82" s="3" t="s">
        <v>408</v>
      </c>
      <c r="G82" s="3" t="s">
        <v>95</v>
      </c>
      <c r="H82" s="3" t="s">
        <v>406</v>
      </c>
      <c r="J82" s="4" t="str">
        <f>TEXT("5107444055387062523","0")</f>
        <v>5107444055387060000</v>
      </c>
    </row>
    <row r="83" spans="1:10" ht="12.75" x14ac:dyDescent="0.2">
      <c r="A83" s="2">
        <v>44491.652974537035</v>
      </c>
      <c r="B83" s="3" t="s">
        <v>23</v>
      </c>
      <c r="C83" s="3" t="s">
        <v>409</v>
      </c>
      <c r="D83" s="3" t="s">
        <v>227</v>
      </c>
      <c r="E83" s="3" t="s">
        <v>410</v>
      </c>
      <c r="F83" s="3" t="s">
        <v>411</v>
      </c>
      <c r="G83" s="3" t="s">
        <v>410</v>
      </c>
      <c r="H83" s="3" t="s">
        <v>25</v>
      </c>
      <c r="I83" s="3" t="s">
        <v>412</v>
      </c>
      <c r="J83" s="4" t="str">
        <f>TEXT("5107444140324806277","0")</f>
        <v>5107444140324800000</v>
      </c>
    </row>
    <row r="84" spans="1:10" ht="12.75" x14ac:dyDescent="0.2">
      <c r="A84" s="2">
        <v>44491.653379629628</v>
      </c>
      <c r="B84" s="3" t="s">
        <v>23</v>
      </c>
      <c r="C84" s="3" t="s">
        <v>413</v>
      </c>
      <c r="D84" s="3" t="s">
        <v>390</v>
      </c>
      <c r="E84" s="3" t="s">
        <v>414</v>
      </c>
      <c r="F84" s="3" t="s">
        <v>415</v>
      </c>
      <c r="G84" s="3" t="s">
        <v>416</v>
      </c>
      <c r="H84" s="3" t="s">
        <v>417</v>
      </c>
      <c r="I84" s="3" t="s">
        <v>46</v>
      </c>
      <c r="J84" s="4" t="str">
        <f>TEXT("5107444512316602220","0")</f>
        <v>5107444512316600000</v>
      </c>
    </row>
    <row r="85" spans="1:10" ht="12.75" x14ac:dyDescent="0.2">
      <c r="A85" s="2">
        <v>44491.653541666667</v>
      </c>
      <c r="B85" s="3" t="s">
        <v>23</v>
      </c>
      <c r="C85" s="3" t="s">
        <v>418</v>
      </c>
      <c r="D85" s="3" t="s">
        <v>419</v>
      </c>
      <c r="E85" s="3" t="s">
        <v>419</v>
      </c>
      <c r="F85" s="3" t="s">
        <v>420</v>
      </c>
      <c r="G85" s="3" t="s">
        <v>421</v>
      </c>
      <c r="H85" s="3" t="s">
        <v>419</v>
      </c>
      <c r="I85" s="3" t="s">
        <v>46</v>
      </c>
      <c r="J85" s="4" t="str">
        <f>TEXT("5107444651413705239","0")</f>
        <v>5107444651413700000</v>
      </c>
    </row>
    <row r="86" spans="1:10" ht="12.75" x14ac:dyDescent="0.2">
      <c r="A86" s="2">
        <v>44491.653564814813</v>
      </c>
      <c r="B86" s="3" t="s">
        <v>23</v>
      </c>
      <c r="C86" s="3" t="s">
        <v>422</v>
      </c>
      <c r="D86" s="3" t="s">
        <v>400</v>
      </c>
      <c r="E86" s="3" t="s">
        <v>423</v>
      </c>
      <c r="F86" s="3" t="s">
        <v>424</v>
      </c>
      <c r="G86" s="3" t="s">
        <v>425</v>
      </c>
      <c r="H86" s="3" t="s">
        <v>120</v>
      </c>
      <c r="I86" s="3" t="s">
        <v>46</v>
      </c>
      <c r="J86" s="4" t="str">
        <f>TEXT("5107444679312112103","0")</f>
        <v>5107444679312110000</v>
      </c>
    </row>
    <row r="87" spans="1:10" ht="12.75" x14ac:dyDescent="0.2">
      <c r="A87" s="2">
        <v>44491.653611111113</v>
      </c>
      <c r="B87" s="3" t="s">
        <v>23</v>
      </c>
      <c r="C87" s="3" t="s">
        <v>426</v>
      </c>
      <c r="D87" s="3" t="s">
        <v>427</v>
      </c>
      <c r="E87" s="3" t="s">
        <v>428</v>
      </c>
      <c r="F87" s="3" t="s">
        <v>428</v>
      </c>
      <c r="G87" s="3" t="s">
        <v>427</v>
      </c>
      <c r="H87" s="3" t="s">
        <v>156</v>
      </c>
      <c r="I87" s="3" t="s">
        <v>429</v>
      </c>
      <c r="J87" s="4" t="str">
        <f>TEXT("5107444356964285669","0")</f>
        <v>5107444356964280000</v>
      </c>
    </row>
    <row r="88" spans="1:10" ht="12.75" x14ac:dyDescent="0.2">
      <c r="A88" s="2">
        <v>44491.653634259259</v>
      </c>
      <c r="B88" s="3" t="s">
        <v>23</v>
      </c>
      <c r="C88" s="3" t="s">
        <v>430</v>
      </c>
      <c r="D88" s="3" t="s">
        <v>320</v>
      </c>
      <c r="E88" s="3" t="s">
        <v>431</v>
      </c>
      <c r="F88" s="3" t="s">
        <v>98</v>
      </c>
      <c r="G88" s="3" t="s">
        <v>229</v>
      </c>
      <c r="H88" s="3" t="s">
        <v>98</v>
      </c>
      <c r="I88" s="3" t="s">
        <v>432</v>
      </c>
      <c r="J88" s="4" t="str">
        <f>TEXT("5107444728173329204","0")</f>
        <v>5107444728173320000</v>
      </c>
    </row>
    <row r="89" spans="1:10" ht="12.75" x14ac:dyDescent="0.2">
      <c r="A89" s="2">
        <v>44491.654108796298</v>
      </c>
      <c r="B89" s="3" t="s">
        <v>23</v>
      </c>
      <c r="C89" s="3" t="s">
        <v>433</v>
      </c>
      <c r="D89" s="3" t="s">
        <v>117</v>
      </c>
      <c r="E89" s="3" t="s">
        <v>292</v>
      </c>
      <c r="F89" s="3" t="s">
        <v>434</v>
      </c>
      <c r="G89" s="3" t="s">
        <v>294</v>
      </c>
      <c r="H89" s="3" t="s">
        <v>435</v>
      </c>
      <c r="J89" s="4" t="str">
        <f>TEXT("5107445155779758035","0")</f>
        <v>5107445155779750000</v>
      </c>
    </row>
    <row r="90" spans="1:10" ht="12.75" x14ac:dyDescent="0.2">
      <c r="A90" s="2">
        <v>44491.654710648145</v>
      </c>
      <c r="B90" s="3" t="s">
        <v>23</v>
      </c>
      <c r="C90" s="3" t="s">
        <v>436</v>
      </c>
      <c r="D90" s="3" t="s">
        <v>437</v>
      </c>
      <c r="E90" s="3" t="s">
        <v>438</v>
      </c>
      <c r="F90" s="3" t="s">
        <v>66</v>
      </c>
      <c r="G90" s="3" t="s">
        <v>439</v>
      </c>
      <c r="H90" s="3" t="s">
        <v>11</v>
      </c>
      <c r="J90" s="4" t="str">
        <f>TEXT("5107445662784801881","0")</f>
        <v>5107445662784800000</v>
      </c>
    </row>
    <row r="91" spans="1:10" ht="12.75" x14ac:dyDescent="0.2">
      <c r="A91" s="2">
        <v>44491.654849537037</v>
      </c>
      <c r="B91" s="3" t="s">
        <v>23</v>
      </c>
      <c r="C91" s="3" t="s">
        <v>440</v>
      </c>
      <c r="D91" s="3" t="s">
        <v>434</v>
      </c>
      <c r="E91" s="3" t="s">
        <v>434</v>
      </c>
      <c r="F91" s="3" t="s">
        <v>434</v>
      </c>
      <c r="G91" s="3" t="s">
        <v>441</v>
      </c>
      <c r="H91" s="3" t="s">
        <v>179</v>
      </c>
      <c r="I91" s="3" t="s">
        <v>442</v>
      </c>
      <c r="J91" s="4" t="str">
        <f>TEXT("5107445793185293666","0")</f>
        <v>5107445793185290000</v>
      </c>
    </row>
    <row r="92" spans="1:10" ht="12.75" x14ac:dyDescent="0.2">
      <c r="A92" s="2">
        <v>44491.656006944446</v>
      </c>
      <c r="B92" s="3" t="s">
        <v>23</v>
      </c>
      <c r="C92" s="3" t="s">
        <v>443</v>
      </c>
      <c r="D92" s="3" t="s">
        <v>444</v>
      </c>
      <c r="E92" s="3" t="s">
        <v>445</v>
      </c>
      <c r="F92" s="3" t="s">
        <v>446</v>
      </c>
      <c r="G92" s="3" t="s">
        <v>447</v>
      </c>
      <c r="H92" s="3" t="s">
        <v>448</v>
      </c>
      <c r="J92" s="4" t="str">
        <f>TEXT("5107446794319371480","0")</f>
        <v>5107446794319370000</v>
      </c>
    </row>
    <row r="93" spans="1:10" ht="12.75" x14ac:dyDescent="0.2">
      <c r="A93" s="2">
        <v>44491.656678240739</v>
      </c>
      <c r="B93" s="3" t="s">
        <v>23</v>
      </c>
      <c r="C93" s="3" t="s">
        <v>449</v>
      </c>
      <c r="D93" s="3" t="s">
        <v>450</v>
      </c>
      <c r="E93" s="3" t="s">
        <v>156</v>
      </c>
      <c r="F93" s="3" t="s">
        <v>451</v>
      </c>
      <c r="G93" s="3" t="s">
        <v>452</v>
      </c>
      <c r="H93" s="3" t="s">
        <v>450</v>
      </c>
      <c r="J93" s="4" t="str">
        <f>TEXT("5107447370148131642","0")</f>
        <v>5107447370148130000</v>
      </c>
    </row>
    <row r="94" spans="1:10" ht="12.75" x14ac:dyDescent="0.2">
      <c r="A94" s="2">
        <v>44491.656701388885</v>
      </c>
      <c r="B94" s="3" t="s">
        <v>23</v>
      </c>
      <c r="C94" s="3" t="s">
        <v>453</v>
      </c>
      <c r="D94" s="3" t="s">
        <v>454</v>
      </c>
      <c r="E94" s="3" t="s">
        <v>455</v>
      </c>
      <c r="F94" s="3" t="s">
        <v>456</v>
      </c>
      <c r="G94" s="3" t="s">
        <v>457</v>
      </c>
      <c r="H94" s="3" t="s">
        <v>458</v>
      </c>
      <c r="I94" s="3" t="s">
        <v>459</v>
      </c>
      <c r="J94" s="4" t="str">
        <f>TEXT("5107447398817346487","0")</f>
        <v>5107447398817340000</v>
      </c>
    </row>
    <row r="95" spans="1:10" ht="12.75" x14ac:dyDescent="0.2">
      <c r="A95" s="2">
        <v>44491.656701388885</v>
      </c>
      <c r="B95" s="3" t="s">
        <v>23</v>
      </c>
      <c r="C95" s="3" t="s">
        <v>460</v>
      </c>
      <c r="D95" s="3" t="s">
        <v>461</v>
      </c>
      <c r="E95" s="3" t="s">
        <v>461</v>
      </c>
      <c r="F95" s="3" t="s">
        <v>462</v>
      </c>
      <c r="G95" s="3" t="s">
        <v>463</v>
      </c>
      <c r="H95" s="3" t="s">
        <v>464</v>
      </c>
      <c r="I95" s="3" t="s">
        <v>46</v>
      </c>
      <c r="J95" s="4" t="str">
        <f>TEXT("5107447392537111778","0")</f>
        <v>5107447392537110000</v>
      </c>
    </row>
    <row r="96" spans="1:10" ht="12.75" x14ac:dyDescent="0.2">
      <c r="A96" s="2">
        <v>44491.656828703701</v>
      </c>
      <c r="B96" s="3" t="s">
        <v>23</v>
      </c>
      <c r="C96" s="3" t="s">
        <v>465</v>
      </c>
      <c r="D96" s="3" t="s">
        <v>466</v>
      </c>
      <c r="E96" s="3" t="s">
        <v>467</v>
      </c>
      <c r="F96" s="3" t="s">
        <v>468</v>
      </c>
      <c r="G96" s="3" t="s">
        <v>214</v>
      </c>
      <c r="H96" s="3" t="s">
        <v>214</v>
      </c>
      <c r="J96" s="4" t="str">
        <f>TEXT("5107447505419091769","0")</f>
        <v>5107447505419090000</v>
      </c>
    </row>
    <row r="97" spans="1:10" ht="12.75" x14ac:dyDescent="0.2">
      <c r="A97" s="2">
        <v>44491.657210648147</v>
      </c>
      <c r="B97" s="3" t="s">
        <v>23</v>
      </c>
      <c r="C97" s="3" t="s">
        <v>469</v>
      </c>
      <c r="D97" s="3" t="s">
        <v>470</v>
      </c>
      <c r="E97" s="3" t="s">
        <v>157</v>
      </c>
      <c r="F97" s="3" t="s">
        <v>157</v>
      </c>
      <c r="G97" s="3" t="s">
        <v>189</v>
      </c>
      <c r="H97" s="3" t="s">
        <v>471</v>
      </c>
      <c r="I97" s="3" t="s">
        <v>472</v>
      </c>
      <c r="J97" s="4" t="str">
        <f>TEXT("5107447839711071678","0")</f>
        <v>5107447839711070000</v>
      </c>
    </row>
    <row r="98" spans="1:10" ht="12.75" x14ac:dyDescent="0.2">
      <c r="A98" s="2">
        <v>44491.657835648148</v>
      </c>
      <c r="B98" s="3" t="s">
        <v>23</v>
      </c>
      <c r="C98" s="3" t="s">
        <v>473</v>
      </c>
      <c r="D98" s="3" t="s">
        <v>474</v>
      </c>
      <c r="E98" s="3" t="s">
        <v>475</v>
      </c>
      <c r="F98" s="3" t="s">
        <v>264</v>
      </c>
      <c r="G98" s="3" t="s">
        <v>42</v>
      </c>
      <c r="H98" s="3" t="s">
        <v>476</v>
      </c>
      <c r="I98" s="3" t="s">
        <v>477</v>
      </c>
      <c r="J98" s="4" t="str">
        <f>TEXT("5107448378212257266","0")</f>
        <v>5107448378212250000</v>
      </c>
    </row>
    <row r="99" spans="1:10" ht="12.75" x14ac:dyDescent="0.2">
      <c r="A99" s="2">
        <v>44491.658090277779</v>
      </c>
      <c r="B99" s="3" t="s">
        <v>23</v>
      </c>
      <c r="C99" s="3" t="s">
        <v>478</v>
      </c>
      <c r="D99" s="3" t="s">
        <v>479</v>
      </c>
      <c r="E99" s="3" t="s">
        <v>480</v>
      </c>
      <c r="F99" s="3" t="s">
        <v>481</v>
      </c>
      <c r="G99" s="3" t="s">
        <v>482</v>
      </c>
      <c r="H99" s="3" t="s">
        <v>483</v>
      </c>
      <c r="I99" s="3" t="s">
        <v>484</v>
      </c>
      <c r="J99" s="4" t="str">
        <f>TEXT("5107448598143574045","0")</f>
        <v>5107448598143570000</v>
      </c>
    </row>
    <row r="100" spans="1:10" ht="12.75" x14ac:dyDescent="0.2">
      <c r="A100" s="2">
        <v>44491.658206018517</v>
      </c>
      <c r="B100" s="3" t="s">
        <v>23</v>
      </c>
      <c r="C100" s="3" t="s">
        <v>478</v>
      </c>
      <c r="D100" s="3" t="s">
        <v>479</v>
      </c>
      <c r="E100" s="3" t="s">
        <v>480</v>
      </c>
      <c r="F100" s="3" t="s">
        <v>481</v>
      </c>
      <c r="G100" s="3" t="s">
        <v>482</v>
      </c>
      <c r="H100" s="3" t="s">
        <v>483</v>
      </c>
      <c r="I100" s="3" t="s">
        <v>484</v>
      </c>
      <c r="J100" s="4" t="str">
        <f>TEXT("5107448698148553061","0")</f>
        <v>5107448698148550000</v>
      </c>
    </row>
    <row r="101" spans="1:10" ht="12.75" x14ac:dyDescent="0.2">
      <c r="A101" s="2">
        <v>44491.658599537041</v>
      </c>
      <c r="B101" s="3" t="s">
        <v>23</v>
      </c>
      <c r="C101" s="3" t="s">
        <v>485</v>
      </c>
      <c r="D101" s="3" t="s">
        <v>486</v>
      </c>
      <c r="E101" s="3" t="s">
        <v>487</v>
      </c>
      <c r="F101" s="3" t="s">
        <v>488</v>
      </c>
      <c r="G101" s="3" t="s">
        <v>85</v>
      </c>
      <c r="H101" s="3" t="s">
        <v>489</v>
      </c>
      <c r="J101" s="4" t="str">
        <f>TEXT("5107449037815742017","0")</f>
        <v>5107449037815740000</v>
      </c>
    </row>
    <row r="102" spans="1:10" ht="12.75" x14ac:dyDescent="0.2">
      <c r="A102" s="2">
        <v>44491.658634259256</v>
      </c>
      <c r="B102" s="3" t="s">
        <v>23</v>
      </c>
      <c r="C102" s="3" t="s">
        <v>490</v>
      </c>
      <c r="D102" s="3" t="s">
        <v>491</v>
      </c>
      <c r="E102" s="3" t="s">
        <v>325</v>
      </c>
      <c r="F102" s="3" t="s">
        <v>407</v>
      </c>
      <c r="G102" s="3" t="s">
        <v>77</v>
      </c>
      <c r="H102" s="3" t="s">
        <v>77</v>
      </c>
      <c r="I102" s="3" t="s">
        <v>46</v>
      </c>
      <c r="J102" s="4" t="str">
        <f>TEXT("5107449069612954519","0")</f>
        <v>5107449069612950000</v>
      </c>
    </row>
    <row r="103" spans="1:10" ht="12.75" x14ac:dyDescent="0.2">
      <c r="A103" s="2">
        <v>44491.659282407411</v>
      </c>
      <c r="B103" s="3" t="s">
        <v>23</v>
      </c>
      <c r="C103" s="3" t="s">
        <v>492</v>
      </c>
      <c r="D103" s="3" t="s">
        <v>50</v>
      </c>
      <c r="E103" s="3" t="s">
        <v>304</v>
      </c>
      <c r="F103" s="3" t="s">
        <v>493</v>
      </c>
      <c r="G103" s="3" t="s">
        <v>49</v>
      </c>
      <c r="H103" s="3" t="s">
        <v>196</v>
      </c>
      <c r="J103" s="4" t="str">
        <f>TEXT("5107449614213798645","0")</f>
        <v>5107449614213790000</v>
      </c>
    </row>
    <row r="104" spans="1:10" ht="12.75" x14ac:dyDescent="0.2">
      <c r="A104" s="2">
        <v>44491.66002314815</v>
      </c>
      <c r="B104" s="3" t="s">
        <v>23</v>
      </c>
      <c r="C104" s="3" t="s">
        <v>494</v>
      </c>
      <c r="D104" s="3" t="s">
        <v>435</v>
      </c>
      <c r="E104" s="3" t="s">
        <v>495</v>
      </c>
      <c r="F104" s="3" t="s">
        <v>495</v>
      </c>
      <c r="G104" s="3" t="s">
        <v>117</v>
      </c>
      <c r="H104" s="3" t="s">
        <v>116</v>
      </c>
      <c r="J104" s="4" t="str">
        <f>TEXT("5107450262686370515","0")</f>
        <v>5107450262686370000</v>
      </c>
    </row>
    <row r="105" spans="1:10" ht="12.75" x14ac:dyDescent="0.2">
      <c r="A105" s="2">
        <v>44491.660509259258</v>
      </c>
      <c r="B105" s="3" t="s">
        <v>23</v>
      </c>
      <c r="C105" s="3" t="s">
        <v>228</v>
      </c>
      <c r="D105" s="3" t="s">
        <v>229</v>
      </c>
      <c r="E105" s="3" t="s">
        <v>229</v>
      </c>
      <c r="F105" s="3" t="s">
        <v>230</v>
      </c>
      <c r="G105" s="3" t="s">
        <v>227</v>
      </c>
      <c r="H105" s="3" t="s">
        <v>227</v>
      </c>
      <c r="J105" s="4" t="str">
        <f>TEXT("5107450686428937877","0")</f>
        <v>5107450686428930000</v>
      </c>
    </row>
    <row r="106" spans="1:10" ht="12.75" x14ac:dyDescent="0.2">
      <c r="A106" s="2">
        <v>44491.66070601852</v>
      </c>
      <c r="B106" s="3" t="s">
        <v>23</v>
      </c>
      <c r="C106" s="3" t="s">
        <v>496</v>
      </c>
      <c r="D106" s="3" t="s">
        <v>497</v>
      </c>
      <c r="E106" s="3" t="s">
        <v>498</v>
      </c>
      <c r="F106" s="3" t="s">
        <v>499</v>
      </c>
      <c r="G106" s="3" t="s">
        <v>500</v>
      </c>
      <c r="H106" s="3" t="s">
        <v>501</v>
      </c>
      <c r="I106" s="3" t="s">
        <v>502</v>
      </c>
      <c r="J106" s="4" t="str">
        <f>TEXT("5107450856462094883","0")</f>
        <v>5107450856462090000</v>
      </c>
    </row>
    <row r="107" spans="1:10" ht="12.75" x14ac:dyDescent="0.2">
      <c r="A107" s="2">
        <v>44491.661643518521</v>
      </c>
      <c r="B107" s="3" t="s">
        <v>23</v>
      </c>
      <c r="C107" s="3" t="s">
        <v>503</v>
      </c>
      <c r="D107" s="3" t="s">
        <v>168</v>
      </c>
      <c r="E107" s="3" t="s">
        <v>504</v>
      </c>
      <c r="F107" s="3" t="s">
        <v>410</v>
      </c>
      <c r="G107" s="3" t="s">
        <v>227</v>
      </c>
      <c r="H107" s="3" t="s">
        <v>49</v>
      </c>
      <c r="J107" s="4" t="str">
        <f>TEXT("5107451661677045717","0")</f>
        <v>5107451661677040000</v>
      </c>
    </row>
    <row r="108" spans="1:10" ht="12.75" x14ac:dyDescent="0.2">
      <c r="A108" s="2">
        <v>44491.661712962959</v>
      </c>
      <c r="B108" s="3" t="s">
        <v>23</v>
      </c>
      <c r="C108" s="3" t="s">
        <v>505</v>
      </c>
      <c r="D108" s="3" t="s">
        <v>506</v>
      </c>
      <c r="E108" s="3" t="s">
        <v>507</v>
      </c>
      <c r="F108" s="3" t="s">
        <v>266</v>
      </c>
      <c r="G108" s="3" t="s">
        <v>209</v>
      </c>
      <c r="H108" s="3" t="s">
        <v>508</v>
      </c>
      <c r="J108" s="4" t="str">
        <f>TEXT("5107451726327221361","0")</f>
        <v>5107451726327220000</v>
      </c>
    </row>
    <row r="109" spans="1:10" ht="12.75" x14ac:dyDescent="0.2">
      <c r="A109" s="2">
        <v>44491.66201388889</v>
      </c>
      <c r="B109" s="3" t="s">
        <v>23</v>
      </c>
      <c r="C109" s="3" t="s">
        <v>509</v>
      </c>
      <c r="D109" s="3" t="s">
        <v>264</v>
      </c>
      <c r="E109" s="3" t="s">
        <v>510</v>
      </c>
      <c r="F109" s="3" t="s">
        <v>316</v>
      </c>
      <c r="G109" s="3" t="s">
        <v>511</v>
      </c>
      <c r="H109" s="3" t="s">
        <v>511</v>
      </c>
      <c r="J109" s="4" t="str">
        <f>TEXT("5107451988117167785","0")</f>
        <v>5107451988117160000</v>
      </c>
    </row>
    <row r="110" spans="1:10" ht="12.75" x14ac:dyDescent="0.2">
      <c r="A110" s="2">
        <v>44491.662465277775</v>
      </c>
      <c r="B110" s="3" t="s">
        <v>23</v>
      </c>
      <c r="C110" s="3" t="s">
        <v>512</v>
      </c>
      <c r="D110" s="3" t="s">
        <v>513</v>
      </c>
      <c r="E110" s="3" t="s">
        <v>514</v>
      </c>
      <c r="F110" s="3" t="s">
        <v>365</v>
      </c>
      <c r="G110" s="3" t="s">
        <v>515</v>
      </c>
      <c r="H110" s="3" t="s">
        <v>516</v>
      </c>
      <c r="I110" s="3" t="s">
        <v>46</v>
      </c>
      <c r="J110" s="4" t="str">
        <f>TEXT("5107452370317343402","0")</f>
        <v>5107452370317340000</v>
      </c>
    </row>
    <row r="111" spans="1:10" ht="12.75" x14ac:dyDescent="0.2">
      <c r="A111" s="2">
        <v>44491.663148148145</v>
      </c>
      <c r="B111" s="3" t="s">
        <v>23</v>
      </c>
      <c r="C111" s="3" t="s">
        <v>517</v>
      </c>
      <c r="D111" s="3" t="s">
        <v>209</v>
      </c>
      <c r="E111" s="3" t="s">
        <v>518</v>
      </c>
      <c r="F111" s="3" t="s">
        <v>519</v>
      </c>
      <c r="G111" s="3" t="s">
        <v>520</v>
      </c>
      <c r="H111" s="3" t="s">
        <v>49</v>
      </c>
      <c r="I111" s="3" t="s">
        <v>46</v>
      </c>
      <c r="J111" s="4" t="str">
        <f>TEXT("5107452965719120711","0")</f>
        <v>5107452965719120000</v>
      </c>
    </row>
    <row r="112" spans="1:10" ht="12.75" x14ac:dyDescent="0.2">
      <c r="A112" s="2">
        <v>44491.665312500001</v>
      </c>
      <c r="B112" s="3" t="s">
        <v>23</v>
      </c>
      <c r="C112" s="3" t="s">
        <v>521</v>
      </c>
      <c r="D112" s="3" t="s">
        <v>522</v>
      </c>
      <c r="E112" s="3" t="s">
        <v>229</v>
      </c>
      <c r="F112" s="3" t="s">
        <v>523</v>
      </c>
      <c r="G112" s="3" t="s">
        <v>524</v>
      </c>
      <c r="H112" s="3" t="s">
        <v>42</v>
      </c>
      <c r="I112" s="3" t="s">
        <v>525</v>
      </c>
      <c r="J112" s="4" t="str">
        <f>TEXT("5107454831011659728","0")</f>
        <v>5107454831011650000</v>
      </c>
    </row>
    <row r="113" spans="1:10" ht="12.75" x14ac:dyDescent="0.2">
      <c r="A113" s="2">
        <v>44491.665335648147</v>
      </c>
      <c r="B113" s="3" t="s">
        <v>23</v>
      </c>
      <c r="C113" s="3" t="s">
        <v>526</v>
      </c>
      <c r="D113" s="3" t="s">
        <v>527</v>
      </c>
      <c r="E113" s="3" t="s">
        <v>528</v>
      </c>
      <c r="F113" s="3" t="s">
        <v>529</v>
      </c>
      <c r="G113" s="3" t="s">
        <v>11</v>
      </c>
      <c r="H113" s="3" t="s">
        <v>199</v>
      </c>
      <c r="I113" s="3" t="s">
        <v>530</v>
      </c>
      <c r="J113" s="4" t="str">
        <f>TEXT("5107454852972461507","0")</f>
        <v>5107454852972460000</v>
      </c>
    </row>
    <row r="114" spans="1:10" ht="12.75" x14ac:dyDescent="0.2">
      <c r="A114" s="2">
        <v>44491.665520833332</v>
      </c>
      <c r="B114" s="3" t="s">
        <v>23</v>
      </c>
      <c r="C114" s="3" t="s">
        <v>531</v>
      </c>
      <c r="D114" s="3" t="s">
        <v>532</v>
      </c>
      <c r="E114" s="3" t="s">
        <v>229</v>
      </c>
      <c r="F114" s="3" t="s">
        <v>533</v>
      </c>
      <c r="G114" s="3" t="s">
        <v>229</v>
      </c>
      <c r="H114" s="3" t="s">
        <v>229</v>
      </c>
      <c r="I114" s="3" t="s">
        <v>534</v>
      </c>
      <c r="J114" s="4" t="str">
        <f>TEXT("5107455015016566420","0")</f>
        <v>5107455015016560000</v>
      </c>
    </row>
    <row r="115" spans="1:10" ht="12.75" x14ac:dyDescent="0.2">
      <c r="A115" s="2">
        <v>44491.665902777779</v>
      </c>
      <c r="B115" s="3" t="s">
        <v>23</v>
      </c>
      <c r="C115" s="3" t="s">
        <v>535</v>
      </c>
      <c r="D115" s="3" t="s">
        <v>536</v>
      </c>
      <c r="E115" s="3" t="s">
        <v>537</v>
      </c>
      <c r="F115" s="3" t="s">
        <v>538</v>
      </c>
      <c r="G115" s="3" t="s">
        <v>539</v>
      </c>
      <c r="H115" s="3" t="s">
        <v>239</v>
      </c>
      <c r="I115" s="3" t="s">
        <v>540</v>
      </c>
      <c r="J115" s="4" t="str">
        <f>TEXT("5107455347497568176","0")</f>
        <v>5107455347497560000</v>
      </c>
    </row>
    <row r="116" spans="1:10" ht="12.75" x14ac:dyDescent="0.2">
      <c r="A116" s="2">
        <v>44491.665972222225</v>
      </c>
      <c r="B116" s="3" t="s">
        <v>23</v>
      </c>
      <c r="C116" s="3" t="s">
        <v>541</v>
      </c>
      <c r="D116" s="3" t="s">
        <v>542</v>
      </c>
      <c r="E116" s="3" t="s">
        <v>427</v>
      </c>
      <c r="F116" s="3" t="s">
        <v>227</v>
      </c>
      <c r="G116" s="3" t="s">
        <v>543</v>
      </c>
      <c r="H116" s="3" t="s">
        <v>544</v>
      </c>
      <c r="J116" s="4" t="str">
        <f>TEXT("5107455402712916594","0")</f>
        <v>5107455402712910000</v>
      </c>
    </row>
    <row r="117" spans="1:10" ht="12.75" x14ac:dyDescent="0.2">
      <c r="A117" s="2">
        <v>44491.666354166664</v>
      </c>
      <c r="B117" s="3" t="s">
        <v>23</v>
      </c>
      <c r="C117" s="3" t="s">
        <v>545</v>
      </c>
      <c r="D117" s="3" t="s">
        <v>546</v>
      </c>
      <c r="E117" s="3" t="s">
        <v>547</v>
      </c>
      <c r="F117" s="3" t="s">
        <v>548</v>
      </c>
      <c r="G117" s="3" t="s">
        <v>179</v>
      </c>
      <c r="H117" s="3" t="s">
        <v>549</v>
      </c>
      <c r="J117" s="4" t="str">
        <f>TEXT("5107455737426368694","0")</f>
        <v>5107455737426360000</v>
      </c>
    </row>
    <row r="118" spans="1:10" ht="12.75" x14ac:dyDescent="0.2">
      <c r="A118" s="2">
        <v>44491.667129629626</v>
      </c>
      <c r="B118" s="3" t="s">
        <v>23</v>
      </c>
      <c r="C118" s="3" t="s">
        <v>526</v>
      </c>
      <c r="D118" s="3" t="s">
        <v>527</v>
      </c>
      <c r="E118" s="3" t="s">
        <v>528</v>
      </c>
      <c r="F118" s="3" t="s">
        <v>529</v>
      </c>
      <c r="G118" s="3" t="s">
        <v>11</v>
      </c>
      <c r="H118" s="3" t="s">
        <v>199</v>
      </c>
      <c r="I118" s="3" t="s">
        <v>530</v>
      </c>
      <c r="J118" s="4" t="str">
        <f>TEXT("5107456402977600816","0")</f>
        <v>5107456402977600000</v>
      </c>
    </row>
    <row r="119" spans="1:10" ht="12.75" x14ac:dyDescent="0.2">
      <c r="A119" s="2">
        <v>44491.667245370372</v>
      </c>
      <c r="B119" s="3" t="s">
        <v>23</v>
      </c>
      <c r="C119" s="3" t="s">
        <v>550</v>
      </c>
      <c r="D119" s="3" t="s">
        <v>551</v>
      </c>
      <c r="E119" s="3" t="s">
        <v>552</v>
      </c>
      <c r="F119" s="3" t="s">
        <v>553</v>
      </c>
      <c r="G119" s="3" t="s">
        <v>554</v>
      </c>
      <c r="H119" s="3" t="s">
        <v>555</v>
      </c>
      <c r="I119" s="3" t="s">
        <v>46</v>
      </c>
      <c r="J119" s="4" t="str">
        <f>TEXT("5107456506719066906","0")</f>
        <v>5107456506719060000</v>
      </c>
    </row>
    <row r="120" spans="1:10" ht="12.75" x14ac:dyDescent="0.2">
      <c r="A120" s="2">
        <v>44491.667708333334</v>
      </c>
      <c r="B120" s="3" t="s">
        <v>23</v>
      </c>
      <c r="C120" s="3" t="s">
        <v>556</v>
      </c>
      <c r="D120" s="3" t="s">
        <v>557</v>
      </c>
      <c r="E120" s="3" t="s">
        <v>558</v>
      </c>
      <c r="F120" s="3" t="s">
        <v>559</v>
      </c>
      <c r="G120" s="3" t="s">
        <v>560</v>
      </c>
      <c r="H120" s="3" t="s">
        <v>561</v>
      </c>
      <c r="I120" s="3" t="s">
        <v>142</v>
      </c>
      <c r="J120" s="4" t="str">
        <f>TEXT("5107456908667710189","0")</f>
        <v>5107456908667710000</v>
      </c>
    </row>
    <row r="121" spans="1:10" ht="12.75" x14ac:dyDescent="0.2">
      <c r="A121" s="2">
        <v>44491.66777777778</v>
      </c>
      <c r="B121" s="3" t="s">
        <v>23</v>
      </c>
      <c r="C121" s="3" t="s">
        <v>562</v>
      </c>
      <c r="D121" s="3" t="s">
        <v>563</v>
      </c>
      <c r="E121" s="3" t="s">
        <v>564</v>
      </c>
      <c r="F121" s="3" t="s">
        <v>19</v>
      </c>
      <c r="G121" s="3" t="s">
        <v>565</v>
      </c>
      <c r="H121" s="3" t="s">
        <v>566</v>
      </c>
      <c r="I121" s="3" t="s">
        <v>567</v>
      </c>
      <c r="J121" s="4" t="str">
        <f>TEXT("5107456960013208570","0")</f>
        <v>5107456960013200000</v>
      </c>
    </row>
    <row r="122" spans="1:10" ht="12.75" x14ac:dyDescent="0.2">
      <c r="A122" s="2">
        <v>44491.668009259258</v>
      </c>
      <c r="B122" s="3" t="s">
        <v>23</v>
      </c>
      <c r="C122" s="3" t="s">
        <v>568</v>
      </c>
      <c r="D122" s="3" t="s">
        <v>569</v>
      </c>
      <c r="E122" s="3" t="s">
        <v>569</v>
      </c>
      <c r="F122" s="3" t="s">
        <v>570</v>
      </c>
      <c r="G122" s="3" t="s">
        <v>571</v>
      </c>
      <c r="H122" s="3" t="s">
        <v>572</v>
      </c>
      <c r="J122" s="4" t="str">
        <f>TEXT("5107457164114327297","0")</f>
        <v>5107457164114320000</v>
      </c>
    </row>
    <row r="123" spans="1:10" ht="12.75" x14ac:dyDescent="0.2">
      <c r="A123" s="2">
        <v>44491.66815972222</v>
      </c>
      <c r="B123" s="3" t="s">
        <v>23</v>
      </c>
      <c r="C123" s="3" t="s">
        <v>573</v>
      </c>
      <c r="D123" s="3" t="s">
        <v>177</v>
      </c>
      <c r="E123" s="3" t="s">
        <v>177</v>
      </c>
      <c r="F123" s="3" t="s">
        <v>574</v>
      </c>
      <c r="G123" s="3" t="s">
        <v>177</v>
      </c>
      <c r="H123" s="3" t="s">
        <v>574</v>
      </c>
      <c r="I123" s="3" t="s">
        <v>142</v>
      </c>
      <c r="J123" s="4" t="str">
        <f>TEXT("5107457299113483124","0")</f>
        <v>5107457299113480000</v>
      </c>
    </row>
    <row r="124" spans="1:10" ht="12.75" x14ac:dyDescent="0.2">
      <c r="A124" s="2">
        <v>44491.668865740743</v>
      </c>
      <c r="B124" s="3" t="s">
        <v>23</v>
      </c>
      <c r="C124" s="3" t="s">
        <v>575</v>
      </c>
      <c r="D124" s="3" t="s">
        <v>576</v>
      </c>
      <c r="E124" s="3" t="s">
        <v>577</v>
      </c>
      <c r="F124" s="3" t="s">
        <v>578</v>
      </c>
      <c r="G124" s="3" t="s">
        <v>579</v>
      </c>
      <c r="H124" s="3" t="s">
        <v>49</v>
      </c>
      <c r="I124" s="3" t="s">
        <v>46</v>
      </c>
      <c r="J124" s="4" t="str">
        <f>TEXT("5107457903357934637","0")</f>
        <v>5107457903357930000</v>
      </c>
    </row>
    <row r="125" spans="1:10" ht="12.75" x14ac:dyDescent="0.2">
      <c r="A125" s="2">
        <v>44491.670856481483</v>
      </c>
      <c r="B125" s="3" t="s">
        <v>23</v>
      </c>
      <c r="C125" s="3" t="s">
        <v>580</v>
      </c>
      <c r="D125" s="3" t="s">
        <v>66</v>
      </c>
      <c r="E125" s="3" t="s">
        <v>581</v>
      </c>
      <c r="F125" s="3" t="s">
        <v>582</v>
      </c>
      <c r="G125" s="3" t="s">
        <v>581</v>
      </c>
      <c r="H125" s="3" t="s">
        <v>583</v>
      </c>
      <c r="J125" s="4" t="str">
        <f>TEXT("5107459626323898476","0")</f>
        <v>5107459626323890000</v>
      </c>
    </row>
    <row r="126" spans="1:10" ht="12.75" x14ac:dyDescent="0.2">
      <c r="A126" s="2">
        <v>44491.671249999999</v>
      </c>
      <c r="B126" s="3" t="s">
        <v>23</v>
      </c>
      <c r="C126" s="3" t="s">
        <v>584</v>
      </c>
      <c r="D126" s="3" t="s">
        <v>585</v>
      </c>
      <c r="E126" s="3" t="s">
        <v>586</v>
      </c>
      <c r="F126" s="3" t="s">
        <v>88</v>
      </c>
      <c r="G126" s="3" t="s">
        <v>587</v>
      </c>
      <c r="H126" s="3" t="s">
        <v>489</v>
      </c>
      <c r="J126" s="4" t="str">
        <f>TEXT("5107459960117994852","0")</f>
        <v>5107459960117990000</v>
      </c>
    </row>
    <row r="127" spans="1:10" ht="12.75" x14ac:dyDescent="0.2">
      <c r="A127" s="2">
        <v>44491.671493055554</v>
      </c>
      <c r="B127" s="3" t="s">
        <v>23</v>
      </c>
      <c r="C127" s="3" t="s">
        <v>588</v>
      </c>
      <c r="D127" s="3" t="s">
        <v>589</v>
      </c>
      <c r="E127" s="3" t="s">
        <v>590</v>
      </c>
      <c r="F127" s="3" t="s">
        <v>591</v>
      </c>
      <c r="G127" s="3" t="s">
        <v>592</v>
      </c>
      <c r="H127" s="3" t="s">
        <v>593</v>
      </c>
      <c r="J127" s="4" t="str">
        <f>TEXT("5107460171119847247","0")</f>
        <v>5107460171119840000</v>
      </c>
    </row>
    <row r="128" spans="1:10" ht="12.75" x14ac:dyDescent="0.2">
      <c r="A128" s="2">
        <v>44491.672233796293</v>
      </c>
      <c r="B128" s="3" t="s">
        <v>23</v>
      </c>
      <c r="C128" s="3" t="s">
        <v>594</v>
      </c>
      <c r="D128" s="3" t="s">
        <v>428</v>
      </c>
      <c r="E128" s="3" t="s">
        <v>427</v>
      </c>
      <c r="F128" s="3" t="s">
        <v>427</v>
      </c>
      <c r="G128" s="3" t="s">
        <v>317</v>
      </c>
      <c r="H128" s="3" t="s">
        <v>427</v>
      </c>
      <c r="I128" s="3" t="s">
        <v>46</v>
      </c>
      <c r="J128" s="4" t="str">
        <f>TEXT("5107460811213638598","0")</f>
        <v>5107460811213630000</v>
      </c>
    </row>
    <row r="129" spans="1:10" ht="12.75" x14ac:dyDescent="0.2">
      <c r="A129" s="2">
        <v>44491.67224537037</v>
      </c>
      <c r="B129" s="3" t="s">
        <v>23</v>
      </c>
      <c r="C129" s="3" t="s">
        <v>595</v>
      </c>
      <c r="D129" s="3" t="s">
        <v>14</v>
      </c>
      <c r="E129" s="3" t="s">
        <v>596</v>
      </c>
      <c r="F129" s="3" t="s">
        <v>14</v>
      </c>
      <c r="G129" s="3" t="s">
        <v>596</v>
      </c>
      <c r="H129" s="3" t="s">
        <v>14</v>
      </c>
      <c r="I129" s="3" t="s">
        <v>46</v>
      </c>
      <c r="J129" s="4" t="str">
        <f>TEXT("5107460827515302668","0")</f>
        <v>5107460827515300000</v>
      </c>
    </row>
    <row r="130" spans="1:10" ht="12.75" x14ac:dyDescent="0.2">
      <c r="A130" s="2">
        <v>44491.673483796294</v>
      </c>
      <c r="B130" s="3" t="s">
        <v>23</v>
      </c>
      <c r="C130" s="3" t="s">
        <v>597</v>
      </c>
      <c r="D130" s="3" t="s">
        <v>146</v>
      </c>
      <c r="E130" s="3" t="s">
        <v>77</v>
      </c>
      <c r="F130" s="3" t="s">
        <v>146</v>
      </c>
      <c r="G130" s="3" t="s">
        <v>146</v>
      </c>
      <c r="H130" s="3" t="s">
        <v>11</v>
      </c>
      <c r="J130" s="4" t="str">
        <f>TEXT("5107461896314229067","0")</f>
        <v>5107461896314220000</v>
      </c>
    </row>
    <row r="131" spans="1:10" ht="12.75" x14ac:dyDescent="0.2">
      <c r="A131" s="2">
        <v>44491.675185185188</v>
      </c>
      <c r="B131" s="3" t="s">
        <v>23</v>
      </c>
      <c r="C131" s="3" t="s">
        <v>598</v>
      </c>
      <c r="D131" s="3" t="s">
        <v>599</v>
      </c>
      <c r="E131" s="3" t="s">
        <v>316</v>
      </c>
      <c r="F131" s="3" t="s">
        <v>131</v>
      </c>
      <c r="G131" s="3" t="s">
        <v>600</v>
      </c>
      <c r="H131" s="3" t="s">
        <v>601</v>
      </c>
      <c r="I131" s="3" t="s">
        <v>142</v>
      </c>
      <c r="J131" s="4" t="str">
        <f>TEXT("5107463366015009232","0")</f>
        <v>5107463366015000000</v>
      </c>
    </row>
    <row r="132" spans="1:10" ht="12.75" x14ac:dyDescent="0.2">
      <c r="A132" s="2">
        <v>44491.675833333335</v>
      </c>
      <c r="B132" s="3" t="s">
        <v>23</v>
      </c>
      <c r="C132" s="3" t="s">
        <v>602</v>
      </c>
      <c r="D132" s="3" t="s">
        <v>389</v>
      </c>
      <c r="E132" s="3" t="s">
        <v>603</v>
      </c>
      <c r="F132" s="3" t="s">
        <v>514</v>
      </c>
      <c r="G132" s="3" t="s">
        <v>603</v>
      </c>
      <c r="H132" s="3" t="s">
        <v>603</v>
      </c>
      <c r="J132" s="4" t="str">
        <f>TEXT("5107463926605343682","0")</f>
        <v>5107463926605340000</v>
      </c>
    </row>
    <row r="133" spans="1:10" ht="12.75" x14ac:dyDescent="0.2">
      <c r="A133" s="2">
        <v>44491.676574074074</v>
      </c>
      <c r="B133" s="3" t="s">
        <v>23</v>
      </c>
      <c r="C133" s="3" t="s">
        <v>604</v>
      </c>
      <c r="D133" s="3" t="s">
        <v>605</v>
      </c>
      <c r="E133" s="3" t="s">
        <v>605</v>
      </c>
      <c r="F133" s="3" t="s">
        <v>605</v>
      </c>
      <c r="G133" s="3" t="s">
        <v>606</v>
      </c>
      <c r="H133" s="3" t="s">
        <v>607</v>
      </c>
      <c r="J133" s="4" t="str">
        <f>TEXT("5107464565342642312","0")</f>
        <v>5107464565342640000</v>
      </c>
    </row>
    <row r="134" spans="1:10" ht="12.75" x14ac:dyDescent="0.2">
      <c r="A134" s="2">
        <v>44491.676585648151</v>
      </c>
      <c r="B134" s="3" t="s">
        <v>23</v>
      </c>
      <c r="C134" s="3" t="s">
        <v>608</v>
      </c>
      <c r="D134" s="3" t="s">
        <v>22</v>
      </c>
      <c r="E134" s="3" t="s">
        <v>87</v>
      </c>
      <c r="F134" s="3" t="s">
        <v>609</v>
      </c>
      <c r="G134" s="3" t="s">
        <v>610</v>
      </c>
      <c r="H134" s="3" t="s">
        <v>18</v>
      </c>
      <c r="I134" s="3" t="s">
        <v>46</v>
      </c>
      <c r="J134" s="4" t="str">
        <f>TEXT("5107464572819136115","0")</f>
        <v>5107464572819130000</v>
      </c>
    </row>
    <row r="135" spans="1:10" ht="12.75" x14ac:dyDescent="0.2">
      <c r="A135" s="2">
        <v>44491.678020833337</v>
      </c>
      <c r="B135" s="3" t="s">
        <v>23</v>
      </c>
      <c r="C135" s="3" t="s">
        <v>611</v>
      </c>
      <c r="D135" s="3" t="s">
        <v>612</v>
      </c>
      <c r="E135" s="3" t="s">
        <v>613</v>
      </c>
      <c r="F135" s="3" t="s">
        <v>614</v>
      </c>
      <c r="G135" s="3" t="s">
        <v>614</v>
      </c>
      <c r="H135" s="3" t="s">
        <v>527</v>
      </c>
      <c r="J135" s="4" t="str">
        <f>TEXT("5107465819718317564","0")</f>
        <v>5107465819718310000</v>
      </c>
    </row>
    <row r="136" spans="1:10" ht="12.75" x14ac:dyDescent="0.2">
      <c r="A136" s="2">
        <v>44491.678368055553</v>
      </c>
      <c r="B136" s="3" t="s">
        <v>23</v>
      </c>
      <c r="C136" s="3" t="s">
        <v>615</v>
      </c>
      <c r="D136" s="3" t="s">
        <v>616</v>
      </c>
      <c r="E136" s="3" t="s">
        <v>617</v>
      </c>
      <c r="F136" s="3" t="s">
        <v>618</v>
      </c>
      <c r="G136" s="3" t="s">
        <v>617</v>
      </c>
      <c r="H136" s="3" t="s">
        <v>618</v>
      </c>
      <c r="I136" s="3" t="s">
        <v>619</v>
      </c>
      <c r="J136" s="4" t="str">
        <f>TEXT("5107466113147771339","0")</f>
        <v>5107466113147770000</v>
      </c>
    </row>
    <row r="137" spans="1:10" ht="12.75" x14ac:dyDescent="0.2">
      <c r="A137" s="2">
        <v>44491.679270833331</v>
      </c>
      <c r="B137" s="3" t="s">
        <v>23</v>
      </c>
      <c r="C137" s="3" t="s">
        <v>620</v>
      </c>
      <c r="D137" s="3" t="s">
        <v>621</v>
      </c>
      <c r="E137" s="3" t="s">
        <v>261</v>
      </c>
      <c r="F137" s="3" t="s">
        <v>622</v>
      </c>
      <c r="G137" s="3" t="s">
        <v>623</v>
      </c>
      <c r="H137" s="3" t="s">
        <v>300</v>
      </c>
      <c r="J137" s="4" t="str">
        <f>TEXT("5107466896439466641","0")</f>
        <v>5107466896439460000</v>
      </c>
    </row>
    <row r="138" spans="1:10" ht="12.75" x14ac:dyDescent="0.2">
      <c r="A138" s="2">
        <v>44491.679270833331</v>
      </c>
      <c r="B138" s="3" t="s">
        <v>23</v>
      </c>
      <c r="C138" s="3" t="s">
        <v>624</v>
      </c>
      <c r="D138" s="3" t="s">
        <v>625</v>
      </c>
      <c r="E138" s="3" t="s">
        <v>91</v>
      </c>
      <c r="F138" s="3" t="s">
        <v>192</v>
      </c>
      <c r="G138" s="3" t="s">
        <v>30</v>
      </c>
      <c r="H138" s="3" t="s">
        <v>626</v>
      </c>
      <c r="I138" s="3" t="s">
        <v>627</v>
      </c>
      <c r="J138" s="4" t="str">
        <f>TEXT("5107466897329918253","0")</f>
        <v>5107466897329910000</v>
      </c>
    </row>
    <row r="139" spans="1:10" ht="12.75" x14ac:dyDescent="0.2">
      <c r="A139" s="2">
        <v>44491.680995370371</v>
      </c>
      <c r="B139" s="3" t="s">
        <v>23</v>
      </c>
      <c r="C139" s="3" t="s">
        <v>628</v>
      </c>
      <c r="D139" s="3" t="s">
        <v>629</v>
      </c>
      <c r="E139" s="3" t="s">
        <v>630</v>
      </c>
      <c r="F139" s="3" t="s">
        <v>631</v>
      </c>
      <c r="G139" s="3" t="s">
        <v>630</v>
      </c>
      <c r="H139" s="3" t="s">
        <v>632</v>
      </c>
      <c r="I139" s="3" t="s">
        <v>46</v>
      </c>
      <c r="J139" s="4" t="str">
        <f>TEXT("5107468388717050018","0")</f>
        <v>5107468388717050000</v>
      </c>
    </row>
    <row r="140" spans="1:10" ht="12.75" x14ac:dyDescent="0.2">
      <c r="A140" s="2">
        <v>44491.681261574071</v>
      </c>
      <c r="B140" s="3" t="s">
        <v>23</v>
      </c>
      <c r="C140" s="3" t="s">
        <v>633</v>
      </c>
      <c r="D140" s="3" t="s">
        <v>634</v>
      </c>
      <c r="E140" s="3" t="s">
        <v>441</v>
      </c>
      <c r="F140" s="3" t="s">
        <v>183</v>
      </c>
      <c r="G140" s="3" t="s">
        <v>131</v>
      </c>
      <c r="H140" s="3" t="s">
        <v>37</v>
      </c>
      <c r="I140" s="3" t="s">
        <v>635</v>
      </c>
      <c r="J140" s="4" t="str">
        <f>TEXT("5107468612212229092","0")</f>
        <v>5107468612212220000</v>
      </c>
    </row>
    <row r="141" spans="1:10" ht="12.75" x14ac:dyDescent="0.2">
      <c r="A141" s="2">
        <v>44491.683194444442</v>
      </c>
      <c r="B141" s="3" t="s">
        <v>23</v>
      </c>
      <c r="C141" s="3" t="s">
        <v>636</v>
      </c>
      <c r="D141" s="3" t="s">
        <v>22</v>
      </c>
      <c r="E141" s="3" t="s">
        <v>209</v>
      </c>
      <c r="F141" s="3" t="s">
        <v>22</v>
      </c>
      <c r="G141" s="3" t="s">
        <v>637</v>
      </c>
      <c r="H141" s="3" t="s">
        <v>22</v>
      </c>
      <c r="J141" s="4" t="str">
        <f>TEXT("5107470280026909900","0")</f>
        <v>5107470280026900000</v>
      </c>
    </row>
    <row r="142" spans="1:10" ht="12.75" x14ac:dyDescent="0.2">
      <c r="A142" s="2">
        <v>44491.683819444443</v>
      </c>
      <c r="B142" s="3" t="s">
        <v>23</v>
      </c>
      <c r="C142" s="3" t="s">
        <v>638</v>
      </c>
      <c r="D142" s="3" t="s">
        <v>639</v>
      </c>
      <c r="E142" s="3" t="s">
        <v>639</v>
      </c>
      <c r="F142" s="3" t="s">
        <v>640</v>
      </c>
      <c r="G142" s="3" t="s">
        <v>641</v>
      </c>
      <c r="H142" s="3" t="s">
        <v>642</v>
      </c>
      <c r="J142" s="4" t="str">
        <f>TEXT("5107470823432696800","0")</f>
        <v>5107470823432690000</v>
      </c>
    </row>
    <row r="143" spans="1:10" ht="12.75" x14ac:dyDescent="0.2">
      <c r="A143" s="2">
        <v>44491.684479166666</v>
      </c>
      <c r="B143" s="3" t="s">
        <v>23</v>
      </c>
      <c r="C143" s="3" t="s">
        <v>643</v>
      </c>
      <c r="D143" s="3" t="s">
        <v>644</v>
      </c>
      <c r="E143" s="3" t="s">
        <v>13</v>
      </c>
      <c r="F143" s="3" t="s">
        <v>13</v>
      </c>
      <c r="G143" s="3" t="s">
        <v>13</v>
      </c>
      <c r="H143" s="3" t="s">
        <v>13</v>
      </c>
      <c r="J143" s="4" t="str">
        <f>TEXT("5107471392399321509","0")</f>
        <v>5107471392399320000</v>
      </c>
    </row>
    <row r="144" spans="1:10" ht="12.75" x14ac:dyDescent="0.2">
      <c r="A144" s="2">
        <v>44491.684537037036</v>
      </c>
      <c r="B144" s="3" t="s">
        <v>23</v>
      </c>
      <c r="C144" s="3" t="s">
        <v>645</v>
      </c>
      <c r="D144" s="3" t="s">
        <v>646</v>
      </c>
      <c r="E144" s="3" t="s">
        <v>647</v>
      </c>
      <c r="F144" s="3" t="s">
        <v>648</v>
      </c>
      <c r="G144" s="3" t="s">
        <v>647</v>
      </c>
      <c r="H144" s="3" t="s">
        <v>390</v>
      </c>
      <c r="J144" s="4" t="str">
        <f>TEXT("5107471449876534923","0")</f>
        <v>5107471449876530000</v>
      </c>
    </row>
    <row r="145" spans="1:10" ht="12.75" x14ac:dyDescent="0.2">
      <c r="A145" s="2">
        <v>44491.684629629628</v>
      </c>
      <c r="B145" s="3" t="s">
        <v>23</v>
      </c>
      <c r="C145" s="3" t="s">
        <v>645</v>
      </c>
      <c r="D145" s="3" t="s">
        <v>646</v>
      </c>
      <c r="E145" s="3" t="s">
        <v>647</v>
      </c>
      <c r="F145" s="3" t="s">
        <v>648</v>
      </c>
      <c r="G145" s="3" t="s">
        <v>647</v>
      </c>
      <c r="H145" s="3" t="s">
        <v>390</v>
      </c>
      <c r="J145" s="4" t="str">
        <f>TEXT("5107471519871172585","0")</f>
        <v>5107471519871170000</v>
      </c>
    </row>
    <row r="146" spans="1:10" ht="12.75" x14ac:dyDescent="0.2">
      <c r="A146" s="2">
        <v>44491.684641203705</v>
      </c>
      <c r="B146" s="3" t="s">
        <v>23</v>
      </c>
      <c r="C146" s="3" t="s">
        <v>649</v>
      </c>
      <c r="D146" s="3" t="s">
        <v>630</v>
      </c>
      <c r="E146" s="3" t="s">
        <v>323</v>
      </c>
      <c r="F146" s="3" t="s">
        <v>650</v>
      </c>
      <c r="G146" s="3" t="s">
        <v>25</v>
      </c>
      <c r="H146" s="3" t="s">
        <v>229</v>
      </c>
      <c r="I146" s="3" t="s">
        <v>100</v>
      </c>
      <c r="J146" s="4" t="str">
        <f>TEXT("5107471539126336843","0")</f>
        <v>5107471539126330000</v>
      </c>
    </row>
    <row r="147" spans="1:10" ht="12.75" x14ac:dyDescent="0.2">
      <c r="A147" s="2">
        <v>44491.685532407406</v>
      </c>
      <c r="B147" s="3" t="s">
        <v>23</v>
      </c>
      <c r="C147" s="3" t="s">
        <v>651</v>
      </c>
      <c r="D147" s="3" t="s">
        <v>652</v>
      </c>
      <c r="E147" s="3" t="s">
        <v>653</v>
      </c>
      <c r="F147" s="3" t="s">
        <v>654</v>
      </c>
      <c r="G147" s="3" t="s">
        <v>365</v>
      </c>
      <c r="H147" s="3" t="s">
        <v>364</v>
      </c>
      <c r="I147" s="3" t="s">
        <v>46</v>
      </c>
      <c r="J147" s="4" t="str">
        <f>TEXT("5107472302351204997","0")</f>
        <v>5107472302351200000</v>
      </c>
    </row>
    <row r="148" spans="1:10" ht="12.75" x14ac:dyDescent="0.2">
      <c r="A148" s="2">
        <v>44491.687372685185</v>
      </c>
      <c r="B148" s="3" t="s">
        <v>23</v>
      </c>
      <c r="C148" s="3" t="s">
        <v>655</v>
      </c>
      <c r="D148" s="3" t="s">
        <v>419</v>
      </c>
      <c r="E148" s="3" t="s">
        <v>656</v>
      </c>
      <c r="F148" s="3" t="s">
        <v>657</v>
      </c>
      <c r="G148" s="3" t="s">
        <v>658</v>
      </c>
      <c r="H148" s="3" t="s">
        <v>25</v>
      </c>
      <c r="J148" s="4" t="str">
        <f>TEXT("5107473891848638565","0")</f>
        <v>5107473891848630000</v>
      </c>
    </row>
    <row r="149" spans="1:10" ht="12.75" x14ac:dyDescent="0.2">
      <c r="A149" s="2">
        <v>44491.687650462962</v>
      </c>
      <c r="B149" s="3" t="s">
        <v>23</v>
      </c>
      <c r="C149" s="3" t="s">
        <v>659</v>
      </c>
      <c r="D149" s="3" t="s">
        <v>660</v>
      </c>
      <c r="E149" s="3" t="s">
        <v>657</v>
      </c>
      <c r="F149" s="3" t="s">
        <v>281</v>
      </c>
      <c r="G149" s="3" t="s">
        <v>661</v>
      </c>
      <c r="H149" s="3" t="s">
        <v>75</v>
      </c>
      <c r="J149" s="4" t="str">
        <f>TEXT("5107474134222168418","0")</f>
        <v>5107474134222160000</v>
      </c>
    </row>
    <row r="150" spans="1:10" ht="12.75" x14ac:dyDescent="0.2">
      <c r="A150" s="2">
        <v>44491.687650462962</v>
      </c>
      <c r="B150" s="3" t="s">
        <v>23</v>
      </c>
      <c r="C150" s="3" t="s">
        <v>659</v>
      </c>
      <c r="D150" s="3" t="s">
        <v>660</v>
      </c>
      <c r="E150" s="3" t="s">
        <v>657</v>
      </c>
      <c r="F150" s="3" t="s">
        <v>281</v>
      </c>
      <c r="G150" s="3" t="s">
        <v>661</v>
      </c>
      <c r="H150" s="3" t="s">
        <v>75</v>
      </c>
      <c r="J150" s="4" t="str">
        <f>TEXT("5107474134227622335","0")</f>
        <v>5107474134227620000</v>
      </c>
    </row>
    <row r="151" spans="1:10" ht="12.75" x14ac:dyDescent="0.2">
      <c r="A151" s="2">
        <v>44491.688576388886</v>
      </c>
      <c r="B151" s="3" t="s">
        <v>23</v>
      </c>
      <c r="C151" s="3" t="s">
        <v>662</v>
      </c>
      <c r="D151" s="3" t="s">
        <v>663</v>
      </c>
      <c r="E151" s="3" t="s">
        <v>664</v>
      </c>
      <c r="F151" s="3" t="s">
        <v>31</v>
      </c>
      <c r="G151" s="3" t="s">
        <v>665</v>
      </c>
      <c r="H151" s="3" t="s">
        <v>666</v>
      </c>
      <c r="J151" s="4" t="str">
        <f>TEXT("5107474938093647920","0")</f>
        <v>5107474938093640000</v>
      </c>
    </row>
    <row r="152" spans="1:10" ht="12.75" x14ac:dyDescent="0.2">
      <c r="A152" s="2">
        <v>44491.689270833333</v>
      </c>
      <c r="B152" s="3" t="s">
        <v>23</v>
      </c>
      <c r="C152" s="3" t="s">
        <v>667</v>
      </c>
      <c r="D152" s="3" t="s">
        <v>657</v>
      </c>
      <c r="E152" s="3" t="s">
        <v>668</v>
      </c>
      <c r="F152" s="3" t="s">
        <v>669</v>
      </c>
      <c r="G152" s="3" t="s">
        <v>670</v>
      </c>
      <c r="H152" s="3" t="s">
        <v>671</v>
      </c>
      <c r="I152" s="3" t="s">
        <v>672</v>
      </c>
      <c r="J152" s="4" t="str">
        <f>TEXT("5107475528122347364","0")</f>
        <v>5107475528122340000</v>
      </c>
    </row>
    <row r="153" spans="1:10" ht="12.75" x14ac:dyDescent="0.2">
      <c r="A153" s="2">
        <v>44491.689525462964</v>
      </c>
      <c r="B153" s="3" t="s">
        <v>23</v>
      </c>
      <c r="C153" s="3" t="s">
        <v>673</v>
      </c>
      <c r="D153" s="3" t="s">
        <v>132</v>
      </c>
      <c r="E153" s="3" t="s">
        <v>674</v>
      </c>
      <c r="F153" s="3" t="s">
        <v>129</v>
      </c>
      <c r="G153" s="3" t="s">
        <v>37</v>
      </c>
      <c r="H153" s="3" t="s">
        <v>37</v>
      </c>
      <c r="I153" s="3" t="s">
        <v>46</v>
      </c>
      <c r="J153" s="4" t="str">
        <f>TEXT("5107475750123404884","0")</f>
        <v>5107475750123400000</v>
      </c>
    </row>
    <row r="154" spans="1:10" ht="12.75" x14ac:dyDescent="0.2">
      <c r="A154" s="2">
        <v>44491.689733796295</v>
      </c>
      <c r="B154" s="3" t="s">
        <v>23</v>
      </c>
      <c r="C154" s="3" t="s">
        <v>675</v>
      </c>
      <c r="D154" s="3" t="s">
        <v>676</v>
      </c>
      <c r="E154" s="3" t="s">
        <v>677</v>
      </c>
      <c r="F154" s="3" t="s">
        <v>427</v>
      </c>
      <c r="G154" s="3" t="s">
        <v>678</v>
      </c>
      <c r="H154" s="3" t="s">
        <v>679</v>
      </c>
      <c r="J154" s="4" t="str">
        <f>TEXT("5107475935895710633","0")</f>
        <v>5107475935895710000</v>
      </c>
    </row>
    <row r="155" spans="1:10" ht="12.75" x14ac:dyDescent="0.2">
      <c r="A155" s="2">
        <v>44491.689872685187</v>
      </c>
      <c r="B155" s="3" t="s">
        <v>23</v>
      </c>
      <c r="C155" s="3" t="s">
        <v>680</v>
      </c>
      <c r="D155" s="3" t="s">
        <v>264</v>
      </c>
      <c r="E155" s="3" t="s">
        <v>317</v>
      </c>
      <c r="F155" s="3" t="s">
        <v>317</v>
      </c>
      <c r="G155" s="3" t="s">
        <v>511</v>
      </c>
      <c r="H155" s="3" t="s">
        <v>263</v>
      </c>
      <c r="J155" s="4" t="str">
        <f>TEXT("5107476055048387685","0")</f>
        <v>5107476055048380000</v>
      </c>
    </row>
    <row r="156" spans="1:10" ht="12.75" x14ac:dyDescent="0.2">
      <c r="A156" s="2">
        <v>44491.690023148149</v>
      </c>
      <c r="B156" s="3" t="s">
        <v>23</v>
      </c>
      <c r="C156" s="3" t="s">
        <v>681</v>
      </c>
      <c r="D156" s="3" t="s">
        <v>682</v>
      </c>
      <c r="E156" s="3" t="s">
        <v>682</v>
      </c>
      <c r="F156" s="3" t="s">
        <v>683</v>
      </c>
      <c r="G156" s="3" t="s">
        <v>682</v>
      </c>
      <c r="H156" s="3" t="s">
        <v>684</v>
      </c>
      <c r="I156" s="3" t="s">
        <v>685</v>
      </c>
      <c r="J156" s="4" t="str">
        <f>TEXT("5107476181717395976","0")</f>
        <v>5107476181717390000</v>
      </c>
    </row>
    <row r="157" spans="1:10" ht="12.75" x14ac:dyDescent="0.2">
      <c r="A157" s="2">
        <v>44491.690509259257</v>
      </c>
      <c r="B157" s="3" t="s">
        <v>23</v>
      </c>
      <c r="C157" s="3" t="s">
        <v>686</v>
      </c>
      <c r="D157" s="3" t="s">
        <v>687</v>
      </c>
      <c r="E157" s="3" t="s">
        <v>606</v>
      </c>
      <c r="F157" s="3" t="s">
        <v>30</v>
      </c>
      <c r="G157" s="3" t="s">
        <v>606</v>
      </c>
      <c r="H157" s="3" t="s">
        <v>688</v>
      </c>
      <c r="I157" s="3" t="s">
        <v>46</v>
      </c>
      <c r="J157" s="4" t="str">
        <f>TEXT("5107476602811381221","0")</f>
        <v>5107476602811380000</v>
      </c>
    </row>
    <row r="158" spans="1:10" ht="12.75" x14ac:dyDescent="0.2">
      <c r="A158" s="2">
        <v>44491.690601851849</v>
      </c>
      <c r="B158" s="3" t="s">
        <v>23</v>
      </c>
      <c r="C158" s="3" t="s">
        <v>686</v>
      </c>
      <c r="D158" s="3" t="s">
        <v>687</v>
      </c>
      <c r="E158" s="3" t="s">
        <v>606</v>
      </c>
      <c r="F158" s="3" t="s">
        <v>30</v>
      </c>
      <c r="G158" s="3" t="s">
        <v>606</v>
      </c>
      <c r="H158" s="3" t="s">
        <v>688</v>
      </c>
      <c r="I158" s="3" t="s">
        <v>46</v>
      </c>
      <c r="J158" s="4" t="str">
        <f>TEXT("5107476672811709559","0")</f>
        <v>5107476672811700000</v>
      </c>
    </row>
    <row r="159" spans="1:10" ht="12.75" x14ac:dyDescent="0.2">
      <c r="A159" s="2">
        <v>44491.692453703705</v>
      </c>
      <c r="B159" s="3" t="s">
        <v>23</v>
      </c>
      <c r="C159" s="3" t="s">
        <v>689</v>
      </c>
      <c r="D159" s="3" t="s">
        <v>690</v>
      </c>
      <c r="E159" s="3" t="s">
        <v>99</v>
      </c>
      <c r="F159" s="3" t="s">
        <v>99</v>
      </c>
      <c r="G159" s="3" t="s">
        <v>99</v>
      </c>
      <c r="H159" s="3" t="s">
        <v>229</v>
      </c>
      <c r="I159" s="3" t="s">
        <v>691</v>
      </c>
      <c r="J159" s="4" t="str">
        <f>TEXT("5107478286419029854","0")</f>
        <v>5107478286419020000</v>
      </c>
    </row>
    <row r="160" spans="1:10" ht="12.75" x14ac:dyDescent="0.2">
      <c r="A160" s="2">
        <v>44491.692650462966</v>
      </c>
      <c r="B160" s="3" t="s">
        <v>23</v>
      </c>
      <c r="C160" s="3" t="s">
        <v>692</v>
      </c>
      <c r="D160" s="3" t="s">
        <v>693</v>
      </c>
      <c r="E160" s="3" t="s">
        <v>694</v>
      </c>
      <c r="F160" s="3" t="s">
        <v>606</v>
      </c>
      <c r="G160" s="3" t="s">
        <v>694</v>
      </c>
      <c r="H160" s="3" t="s">
        <v>693</v>
      </c>
      <c r="I160" s="3" t="s">
        <v>695</v>
      </c>
      <c r="J160" s="4" t="str">
        <f>TEXT("5107478456277142921","0")</f>
        <v>5107478456277140000</v>
      </c>
    </row>
    <row r="161" spans="1:10" ht="12.75" x14ac:dyDescent="0.2">
      <c r="A161" s="2">
        <v>44491.692731481482</v>
      </c>
      <c r="B161" s="3" t="s">
        <v>23</v>
      </c>
      <c r="C161" s="3" t="s">
        <v>692</v>
      </c>
      <c r="D161" s="3" t="s">
        <v>693</v>
      </c>
      <c r="E161" s="3" t="s">
        <v>694</v>
      </c>
      <c r="F161" s="3" t="s">
        <v>606</v>
      </c>
      <c r="G161" s="3" t="s">
        <v>694</v>
      </c>
      <c r="H161" s="3" t="s">
        <v>693</v>
      </c>
      <c r="I161" s="3" t="s">
        <v>695</v>
      </c>
      <c r="J161" s="4" t="str">
        <f>TEXT("5107478526278790091","0")</f>
        <v>5107478526278790000</v>
      </c>
    </row>
    <row r="162" spans="1:10" ht="12.75" x14ac:dyDescent="0.2">
      <c r="A162" s="2">
        <v>44491.69290509259</v>
      </c>
      <c r="B162" s="3" t="s">
        <v>23</v>
      </c>
      <c r="C162" s="3" t="s">
        <v>692</v>
      </c>
      <c r="D162" s="3" t="s">
        <v>693</v>
      </c>
      <c r="E162" s="3" t="s">
        <v>694</v>
      </c>
      <c r="F162" s="3" t="s">
        <v>606</v>
      </c>
      <c r="G162" s="3" t="s">
        <v>694</v>
      </c>
      <c r="H162" s="3" t="s">
        <v>693</v>
      </c>
      <c r="I162" s="3" t="s">
        <v>695</v>
      </c>
      <c r="J162" s="4" t="str">
        <f>TEXT("5107478676272674653","0")</f>
        <v>5107478676272670000</v>
      </c>
    </row>
    <row r="163" spans="1:10" ht="12.75" x14ac:dyDescent="0.2">
      <c r="A163" s="2">
        <v>44491.694687499999</v>
      </c>
      <c r="B163" s="3" t="s">
        <v>23</v>
      </c>
      <c r="C163" s="3" t="s">
        <v>696</v>
      </c>
      <c r="D163" s="3" t="s">
        <v>482</v>
      </c>
      <c r="E163" s="3" t="s">
        <v>697</v>
      </c>
      <c r="F163" s="3" t="s">
        <v>698</v>
      </c>
      <c r="G163" s="3" t="s">
        <v>417</v>
      </c>
      <c r="H163" s="3" t="s">
        <v>699</v>
      </c>
      <c r="I163" s="3" t="s">
        <v>700</v>
      </c>
      <c r="J163" s="4" t="str">
        <f>TEXT("5107480211579370130","0")</f>
        <v>5107480211579370000</v>
      </c>
    </row>
    <row r="164" spans="1:10" ht="12.75" x14ac:dyDescent="0.2">
      <c r="A164" s="2">
        <v>44491.694976851853</v>
      </c>
      <c r="B164" s="3" t="s">
        <v>23</v>
      </c>
      <c r="C164" s="3" t="s">
        <v>701</v>
      </c>
      <c r="D164" s="3" t="s">
        <v>702</v>
      </c>
      <c r="E164" s="3" t="s">
        <v>703</v>
      </c>
      <c r="F164" s="3" t="s">
        <v>702</v>
      </c>
      <c r="G164" s="3" t="s">
        <v>703</v>
      </c>
      <c r="H164" s="3" t="s">
        <v>704</v>
      </c>
      <c r="J164" s="4" t="str">
        <f>TEXT("5107480461417911811","0")</f>
        <v>5107480461417910000</v>
      </c>
    </row>
    <row r="165" spans="1:10" ht="12.75" x14ac:dyDescent="0.2">
      <c r="A165" s="2">
        <v>44491.695231481484</v>
      </c>
      <c r="B165" s="3" t="s">
        <v>23</v>
      </c>
      <c r="C165" s="3" t="s">
        <v>705</v>
      </c>
      <c r="D165" s="3" t="s">
        <v>379</v>
      </c>
      <c r="E165" s="3" t="s">
        <v>379</v>
      </c>
      <c r="F165" s="3" t="s">
        <v>706</v>
      </c>
      <c r="G165" s="3" t="s">
        <v>707</v>
      </c>
      <c r="H165" s="3" t="s">
        <v>379</v>
      </c>
      <c r="J165" s="4" t="str">
        <f>TEXT("5107480682421600612","0")</f>
        <v>5107480682421600000</v>
      </c>
    </row>
    <row r="166" spans="1:10" ht="12.75" x14ac:dyDescent="0.2">
      <c r="A166" s="2">
        <v>44491.696331018517</v>
      </c>
      <c r="B166" s="3" t="s">
        <v>23</v>
      </c>
      <c r="C166" s="3" t="s">
        <v>708</v>
      </c>
      <c r="D166" s="3" t="s">
        <v>252</v>
      </c>
      <c r="E166" s="3" t="s">
        <v>83</v>
      </c>
      <c r="F166" s="3" t="s">
        <v>51</v>
      </c>
      <c r="G166" s="3" t="s">
        <v>518</v>
      </c>
      <c r="H166" s="3" t="s">
        <v>266</v>
      </c>
      <c r="J166" s="4" t="str">
        <f>TEXT("5107481633049059297","0")</f>
        <v>5107481633049050000</v>
      </c>
    </row>
    <row r="167" spans="1:10" ht="12.75" x14ac:dyDescent="0.2">
      <c r="A167" s="2">
        <v>44491.696666666663</v>
      </c>
      <c r="B167" s="3" t="s">
        <v>23</v>
      </c>
      <c r="C167" s="3" t="s">
        <v>709</v>
      </c>
      <c r="D167" s="3" t="s">
        <v>623</v>
      </c>
      <c r="E167" s="3" t="s">
        <v>710</v>
      </c>
      <c r="F167" s="3" t="s">
        <v>230</v>
      </c>
      <c r="G167" s="3" t="s">
        <v>189</v>
      </c>
      <c r="H167" s="3" t="s">
        <v>300</v>
      </c>
      <c r="J167" s="4" t="str">
        <f>TEXT("5107481924915704957","0")</f>
        <v>5107481924915700000</v>
      </c>
    </row>
    <row r="168" spans="1:10" ht="12.75" x14ac:dyDescent="0.2">
      <c r="A168" s="2">
        <v>44491.696759259263</v>
      </c>
      <c r="B168" s="3" t="s">
        <v>23</v>
      </c>
      <c r="C168" s="3" t="s">
        <v>711</v>
      </c>
      <c r="D168" s="3" t="s">
        <v>712</v>
      </c>
      <c r="E168" s="3" t="s">
        <v>475</v>
      </c>
      <c r="F168" s="3" t="s">
        <v>316</v>
      </c>
      <c r="G168" s="3" t="s">
        <v>713</v>
      </c>
      <c r="H168" s="3" t="s">
        <v>365</v>
      </c>
      <c r="I168" s="3" t="s">
        <v>714</v>
      </c>
      <c r="J168" s="4" t="str">
        <f>TEXT("5107482001412665981","0")</f>
        <v>5107482001412660000</v>
      </c>
    </row>
    <row r="169" spans="1:10" ht="12.75" x14ac:dyDescent="0.2">
      <c r="A169" s="2">
        <v>44491.697025462963</v>
      </c>
      <c r="B169" s="3" t="s">
        <v>23</v>
      </c>
      <c r="C169" s="3" t="s">
        <v>715</v>
      </c>
      <c r="D169" s="3" t="s">
        <v>716</v>
      </c>
      <c r="E169" s="3" t="s">
        <v>88</v>
      </c>
      <c r="F169" s="3" t="s">
        <v>209</v>
      </c>
      <c r="G169" s="3" t="s">
        <v>52</v>
      </c>
      <c r="H169" s="3" t="s">
        <v>717</v>
      </c>
      <c r="I169" s="3" t="s">
        <v>718</v>
      </c>
      <c r="J169" s="4" t="str">
        <f>TEXT("5107482235998632949","0")</f>
        <v>5107482235998630000</v>
      </c>
    </row>
    <row r="170" spans="1:10" ht="12.75" x14ac:dyDescent="0.2">
      <c r="A170" s="2">
        <v>44491.697881944441</v>
      </c>
      <c r="B170" s="3" t="s">
        <v>23</v>
      </c>
      <c r="C170" s="3" t="s">
        <v>719</v>
      </c>
      <c r="D170" s="3" t="s">
        <v>569</v>
      </c>
      <c r="E170" s="3" t="s">
        <v>720</v>
      </c>
      <c r="F170" s="3" t="s">
        <v>322</v>
      </c>
      <c r="G170" s="3" t="s">
        <v>324</v>
      </c>
      <c r="H170" s="3" t="s">
        <v>721</v>
      </c>
      <c r="J170" s="4" t="str">
        <f>TEXT("5107482975386353423","0")</f>
        <v>5107482975386350000</v>
      </c>
    </row>
    <row r="171" spans="1:10" ht="12.75" x14ac:dyDescent="0.2">
      <c r="A171" s="2">
        <v>44491.698055555556</v>
      </c>
      <c r="B171" s="3" t="s">
        <v>23</v>
      </c>
      <c r="C171" s="3" t="s">
        <v>722</v>
      </c>
      <c r="D171" s="3" t="s">
        <v>723</v>
      </c>
      <c r="E171" s="3" t="s">
        <v>367</v>
      </c>
      <c r="F171" s="3" t="s">
        <v>724</v>
      </c>
      <c r="G171" s="3" t="s">
        <v>262</v>
      </c>
      <c r="H171" s="3" t="s">
        <v>13</v>
      </c>
      <c r="J171" s="4" t="str">
        <f>TEXT("5107483122212275541","0")</f>
        <v>5107483122212270000</v>
      </c>
    </row>
    <row r="172" spans="1:10" ht="12.75" x14ac:dyDescent="0.2">
      <c r="A172" s="2">
        <v>44491.699884259258</v>
      </c>
      <c r="B172" s="3" t="s">
        <v>23</v>
      </c>
      <c r="C172" s="3" t="s">
        <v>725</v>
      </c>
      <c r="D172" s="3" t="s">
        <v>726</v>
      </c>
      <c r="E172" s="3" t="s">
        <v>727</v>
      </c>
      <c r="F172" s="3" t="s">
        <v>727</v>
      </c>
      <c r="G172" s="3" t="s">
        <v>727</v>
      </c>
      <c r="H172" s="3" t="s">
        <v>727</v>
      </c>
      <c r="I172" s="3" t="s">
        <v>728</v>
      </c>
      <c r="J172" s="4" t="str">
        <f>TEXT("5107484705914195173","0")</f>
        <v>5107484705914190000</v>
      </c>
    </row>
    <row r="173" spans="1:10" ht="12.75" x14ac:dyDescent="0.2">
      <c r="A173" s="2">
        <v>44491.7028587963</v>
      </c>
      <c r="B173" s="3" t="s">
        <v>23</v>
      </c>
      <c r="C173" s="3" t="s">
        <v>729</v>
      </c>
      <c r="D173" s="3" t="s">
        <v>730</v>
      </c>
      <c r="E173" s="3" t="s">
        <v>349</v>
      </c>
      <c r="F173" s="3" t="s">
        <v>487</v>
      </c>
      <c r="G173" s="3" t="s">
        <v>44</v>
      </c>
      <c r="H173" s="3" t="s">
        <v>486</v>
      </c>
      <c r="I173" s="3" t="s">
        <v>731</v>
      </c>
      <c r="J173" s="4" t="str">
        <f>TEXT("5107487273616973388","0")</f>
        <v>5107487273616970000</v>
      </c>
    </row>
    <row r="174" spans="1:10" ht="12.75" x14ac:dyDescent="0.2">
      <c r="A174" s="2">
        <v>44491.703252314815</v>
      </c>
      <c r="B174" s="3" t="s">
        <v>23</v>
      </c>
      <c r="C174" s="3" t="s">
        <v>732</v>
      </c>
      <c r="D174" s="3" t="s">
        <v>733</v>
      </c>
      <c r="E174" s="3" t="s">
        <v>734</v>
      </c>
      <c r="F174" s="3" t="s">
        <v>733</v>
      </c>
      <c r="G174" s="3" t="s">
        <v>735</v>
      </c>
      <c r="H174" s="3" t="s">
        <v>736</v>
      </c>
      <c r="I174" s="3" t="s">
        <v>46</v>
      </c>
      <c r="J174" s="4" t="str">
        <f>TEXT("5107487613112499426","0")</f>
        <v>5107487613112490000</v>
      </c>
    </row>
    <row r="175" spans="1:10" ht="12.75" x14ac:dyDescent="0.2">
      <c r="A175" s="2">
        <v>44491.706192129626</v>
      </c>
      <c r="B175" s="3" t="s">
        <v>23</v>
      </c>
      <c r="C175" s="3" t="s">
        <v>737</v>
      </c>
      <c r="D175" s="3" t="s">
        <v>723</v>
      </c>
      <c r="E175" s="3" t="s">
        <v>738</v>
      </c>
      <c r="F175" s="3" t="s">
        <v>256</v>
      </c>
      <c r="G175" s="3" t="s">
        <v>610</v>
      </c>
      <c r="H175" s="3" t="s">
        <v>384</v>
      </c>
      <c r="I175" s="3" t="s">
        <v>731</v>
      </c>
      <c r="J175" s="4" t="str">
        <f>TEXT("5107490155717828065","0")</f>
        <v>5107490155717820000</v>
      </c>
    </row>
    <row r="176" spans="1:10" ht="12.75" x14ac:dyDescent="0.2">
      <c r="A176" s="2">
        <v>44491.709594907406</v>
      </c>
      <c r="B176" s="3" t="s">
        <v>23</v>
      </c>
      <c r="C176" s="3" t="s">
        <v>739</v>
      </c>
      <c r="D176" s="3" t="s">
        <v>740</v>
      </c>
      <c r="E176" s="3" t="s">
        <v>741</v>
      </c>
      <c r="F176" s="3" t="s">
        <v>742</v>
      </c>
      <c r="G176" s="3" t="s">
        <v>743</v>
      </c>
      <c r="H176" s="3" t="s">
        <v>744</v>
      </c>
      <c r="I176" s="3" t="s">
        <v>745</v>
      </c>
      <c r="J176" s="4" t="str">
        <f>TEXT("5107493094277775447","0")</f>
        <v>5107493094277770000</v>
      </c>
    </row>
    <row r="177" spans="1:10" ht="12.75" x14ac:dyDescent="0.2">
      <c r="A177" s="2">
        <v>44491.709780092591</v>
      </c>
      <c r="B177" s="3" t="s">
        <v>23</v>
      </c>
      <c r="C177" s="3" t="s">
        <v>746</v>
      </c>
      <c r="D177" s="3" t="s">
        <v>317</v>
      </c>
      <c r="E177" s="3" t="s">
        <v>263</v>
      </c>
      <c r="F177" s="3" t="s">
        <v>263</v>
      </c>
      <c r="G177" s="3" t="s">
        <v>37</v>
      </c>
      <c r="H177" s="3" t="s">
        <v>747</v>
      </c>
      <c r="J177" s="4" t="str">
        <f>TEXT("5107493255317694151","0")</f>
        <v>5107493255317690000</v>
      </c>
    </row>
    <row r="178" spans="1:10" ht="12.75" x14ac:dyDescent="0.2">
      <c r="A178" s="2">
        <v>44491.710196759261</v>
      </c>
      <c r="B178" s="3" t="s">
        <v>23</v>
      </c>
      <c r="C178" s="3" t="s">
        <v>748</v>
      </c>
      <c r="D178" s="3" t="s">
        <v>749</v>
      </c>
      <c r="E178" s="3" t="s">
        <v>750</v>
      </c>
      <c r="F178" s="3" t="s">
        <v>751</v>
      </c>
      <c r="G178" s="3" t="s">
        <v>752</v>
      </c>
      <c r="H178" s="3" t="s">
        <v>753</v>
      </c>
      <c r="I178" s="3" t="s">
        <v>46</v>
      </c>
      <c r="J178" s="4" t="str">
        <f>TEXT("5107493610179063250","0")</f>
        <v>5107493610179060000</v>
      </c>
    </row>
    <row r="179" spans="1:10" ht="12.75" x14ac:dyDescent="0.2">
      <c r="A179" s="2">
        <v>44491.712245370371</v>
      </c>
      <c r="B179" s="3" t="s">
        <v>23</v>
      </c>
      <c r="C179" s="3" t="s">
        <v>754</v>
      </c>
      <c r="D179" s="3" t="s">
        <v>755</v>
      </c>
      <c r="E179" s="3" t="s">
        <v>756</v>
      </c>
      <c r="F179" s="3" t="s">
        <v>757</v>
      </c>
      <c r="G179" s="3" t="s">
        <v>758</v>
      </c>
      <c r="H179" s="3" t="s">
        <v>759</v>
      </c>
      <c r="I179" s="3" t="s">
        <v>760</v>
      </c>
      <c r="J179" s="4" t="str">
        <f>TEXT("5107495381326145355","0")</f>
        <v>5107495381326140000</v>
      </c>
    </row>
    <row r="180" spans="1:10" ht="12.75" x14ac:dyDescent="0.2">
      <c r="A180" s="2">
        <v>44491.713078703702</v>
      </c>
      <c r="B180" s="3" t="s">
        <v>23</v>
      </c>
      <c r="C180" s="3" t="s">
        <v>761</v>
      </c>
      <c r="D180" s="3" t="s">
        <v>762</v>
      </c>
      <c r="E180" s="3" t="s">
        <v>763</v>
      </c>
      <c r="F180" s="3" t="s">
        <v>764</v>
      </c>
      <c r="G180" s="3" t="s">
        <v>590</v>
      </c>
      <c r="H180" s="3" t="s">
        <v>765</v>
      </c>
      <c r="J180" s="4" t="str">
        <f>TEXT("5107496101997853936","0")</f>
        <v>5107496101997850000</v>
      </c>
    </row>
    <row r="181" spans="1:10" ht="12.75" x14ac:dyDescent="0.2">
      <c r="A181" s="2">
        <v>44491.713356481479</v>
      </c>
      <c r="B181" s="3" t="s">
        <v>23</v>
      </c>
      <c r="C181" s="3" t="s">
        <v>766</v>
      </c>
      <c r="D181" s="3" t="s">
        <v>767</v>
      </c>
      <c r="E181" s="3" t="s">
        <v>214</v>
      </c>
      <c r="F181" s="3" t="s">
        <v>710</v>
      </c>
      <c r="G181" s="3" t="s">
        <v>768</v>
      </c>
      <c r="H181" s="3" t="s">
        <v>769</v>
      </c>
      <c r="I181" s="3" t="s">
        <v>770</v>
      </c>
      <c r="J181" s="4" t="str">
        <f>TEXT("5107496344215603078","0")</f>
        <v>5107496344215600000</v>
      </c>
    </row>
    <row r="182" spans="1:10" ht="12.75" x14ac:dyDescent="0.2">
      <c r="A182" s="2">
        <v>44491.713761574072</v>
      </c>
      <c r="B182" s="3" t="s">
        <v>23</v>
      </c>
      <c r="C182" s="3" t="s">
        <v>771</v>
      </c>
      <c r="D182" s="3" t="s">
        <v>772</v>
      </c>
      <c r="E182" s="3" t="s">
        <v>763</v>
      </c>
      <c r="F182" s="3" t="s">
        <v>773</v>
      </c>
      <c r="G182" s="3" t="s">
        <v>774</v>
      </c>
      <c r="H182" s="3" t="s">
        <v>317</v>
      </c>
      <c r="I182" s="3" t="s">
        <v>775</v>
      </c>
      <c r="J182" s="4" t="str">
        <f>TEXT("5107496692428518781","0")</f>
        <v>5107496692428510000</v>
      </c>
    </row>
    <row r="183" spans="1:10" ht="12.75" x14ac:dyDescent="0.2">
      <c r="A183" s="2">
        <v>44491.718078703707</v>
      </c>
      <c r="B183" s="3" t="s">
        <v>23</v>
      </c>
      <c r="C183" s="3" t="s">
        <v>776</v>
      </c>
      <c r="D183" s="3" t="s">
        <v>56</v>
      </c>
      <c r="E183" s="3" t="s">
        <v>657</v>
      </c>
      <c r="F183" s="3" t="s">
        <v>777</v>
      </c>
      <c r="G183" s="3" t="s">
        <v>162</v>
      </c>
      <c r="H183" s="3" t="s">
        <v>778</v>
      </c>
      <c r="J183" s="4" t="str">
        <f>TEXT("5107500423329239309","0")</f>
        <v>5107500423329230000</v>
      </c>
    </row>
    <row r="184" spans="1:10" ht="12.75" x14ac:dyDescent="0.2">
      <c r="A184" s="2">
        <v>44491.718321759261</v>
      </c>
      <c r="B184" s="3" t="s">
        <v>23</v>
      </c>
      <c r="C184" s="3" t="s">
        <v>779</v>
      </c>
      <c r="D184" s="3" t="s">
        <v>417</v>
      </c>
      <c r="E184" s="3" t="s">
        <v>762</v>
      </c>
      <c r="F184" s="3" t="s">
        <v>86</v>
      </c>
      <c r="G184" s="3" t="s">
        <v>637</v>
      </c>
      <c r="H184" s="3" t="s">
        <v>780</v>
      </c>
      <c r="J184" s="4" t="str">
        <f>TEXT("5107500637599475694","0")</f>
        <v>5107500637599470000</v>
      </c>
    </row>
    <row r="185" spans="1:10" ht="12.75" x14ac:dyDescent="0.2">
      <c r="A185" s="2">
        <v>44491.71837962963</v>
      </c>
      <c r="B185" s="3" t="s">
        <v>23</v>
      </c>
      <c r="C185" s="3" t="s">
        <v>781</v>
      </c>
      <c r="D185" s="3" t="s">
        <v>782</v>
      </c>
      <c r="E185" s="3" t="s">
        <v>783</v>
      </c>
      <c r="F185" s="3" t="s">
        <v>782</v>
      </c>
      <c r="G185" s="3" t="s">
        <v>294</v>
      </c>
      <c r="H185" s="3" t="s">
        <v>559</v>
      </c>
      <c r="J185" s="4" t="str">
        <f>TEXT("5107500687112299403","0")</f>
        <v>5107500687112290000</v>
      </c>
    </row>
    <row r="186" spans="1:10" ht="12.75" x14ac:dyDescent="0.2">
      <c r="A186" s="2">
        <v>44491.719456018516</v>
      </c>
      <c r="B186" s="3" t="s">
        <v>23</v>
      </c>
      <c r="C186" s="3" t="s">
        <v>784</v>
      </c>
      <c r="D186" s="3" t="s">
        <v>52</v>
      </c>
      <c r="E186" s="3" t="s">
        <v>85</v>
      </c>
      <c r="F186" s="3" t="s">
        <v>52</v>
      </c>
      <c r="G186" s="3" t="s">
        <v>86</v>
      </c>
      <c r="H186" s="3" t="s">
        <v>87</v>
      </c>
      <c r="I186" s="3" t="s">
        <v>46</v>
      </c>
      <c r="J186" s="4" t="str">
        <f>TEXT("5107501619221444721","0")</f>
        <v>5107501619221440000</v>
      </c>
    </row>
    <row r="187" spans="1:10" ht="12.75" x14ac:dyDescent="0.2">
      <c r="A187" s="2">
        <v>44491.719548611109</v>
      </c>
      <c r="B187" s="3" t="s">
        <v>23</v>
      </c>
      <c r="C187" s="3" t="s">
        <v>785</v>
      </c>
      <c r="D187" s="3" t="s">
        <v>786</v>
      </c>
      <c r="E187" s="3" t="s">
        <v>787</v>
      </c>
      <c r="F187" s="3" t="s">
        <v>788</v>
      </c>
      <c r="G187" s="3" t="s">
        <v>787</v>
      </c>
      <c r="H187" s="3" t="s">
        <v>786</v>
      </c>
      <c r="J187" s="4" t="str">
        <f>TEXT("5107501695511094413","0")</f>
        <v>5107501695511090000</v>
      </c>
    </row>
    <row r="188" spans="1:10" ht="12.75" x14ac:dyDescent="0.2">
      <c r="A188" s="2">
        <v>44491.720891203702</v>
      </c>
      <c r="B188" s="3" t="s">
        <v>23</v>
      </c>
      <c r="C188" s="3" t="s">
        <v>789</v>
      </c>
      <c r="D188" s="3" t="s">
        <v>113</v>
      </c>
      <c r="E188" s="3" t="s">
        <v>790</v>
      </c>
      <c r="F188" s="3" t="s">
        <v>263</v>
      </c>
      <c r="G188" s="3" t="s">
        <v>112</v>
      </c>
      <c r="H188" s="3" t="s">
        <v>428</v>
      </c>
      <c r="J188" s="4" t="str">
        <f>TEXT("5107502855716519869","0")</f>
        <v>5107502855716510000</v>
      </c>
    </row>
    <row r="189" spans="1:10" ht="12.75" x14ac:dyDescent="0.2">
      <c r="A189" s="2">
        <v>44491.721458333333</v>
      </c>
      <c r="B189" s="3" t="s">
        <v>23</v>
      </c>
      <c r="C189" s="3" t="s">
        <v>791</v>
      </c>
      <c r="D189" s="3" t="s">
        <v>707</v>
      </c>
      <c r="E189" s="3" t="s">
        <v>792</v>
      </c>
      <c r="F189" s="3" t="s">
        <v>105</v>
      </c>
      <c r="G189" s="3" t="s">
        <v>419</v>
      </c>
      <c r="H189" s="3" t="s">
        <v>793</v>
      </c>
      <c r="J189" s="4" t="str">
        <f>TEXT("5107503343812434125","0")</f>
        <v>5107503343812430000</v>
      </c>
    </row>
    <row r="190" spans="1:10" ht="12.75" x14ac:dyDescent="0.2">
      <c r="A190" s="2">
        <v>44491.722430555557</v>
      </c>
      <c r="B190" s="3" t="s">
        <v>23</v>
      </c>
      <c r="C190" s="3" t="s">
        <v>794</v>
      </c>
      <c r="D190" s="3" t="s">
        <v>795</v>
      </c>
      <c r="E190" s="3" t="s">
        <v>317</v>
      </c>
      <c r="F190" s="3" t="s">
        <v>77</v>
      </c>
      <c r="G190" s="3" t="s">
        <v>796</v>
      </c>
      <c r="H190" s="3" t="s">
        <v>12</v>
      </c>
      <c r="I190" s="3" t="s">
        <v>797</v>
      </c>
      <c r="J190" s="4" t="str">
        <f>TEXT("5107504183374953186","0")</f>
        <v>5107504183374950000</v>
      </c>
    </row>
    <row r="191" spans="1:10" ht="12.75" x14ac:dyDescent="0.2">
      <c r="A191" s="2">
        <v>44491.723067129627</v>
      </c>
      <c r="B191" s="3" t="s">
        <v>23</v>
      </c>
      <c r="C191" s="3" t="s">
        <v>798</v>
      </c>
      <c r="D191" s="3" t="s">
        <v>799</v>
      </c>
      <c r="E191" s="3" t="s">
        <v>800</v>
      </c>
      <c r="F191" s="3" t="s">
        <v>801</v>
      </c>
      <c r="G191" s="3" t="s">
        <v>802</v>
      </c>
      <c r="H191" s="3" t="s">
        <v>803</v>
      </c>
      <c r="I191" s="3" t="s">
        <v>46</v>
      </c>
      <c r="J191" s="4" t="str">
        <f>TEXT("5107504732216163534","0")</f>
        <v>5107504732216160000</v>
      </c>
    </row>
    <row r="192" spans="1:10" ht="12.75" x14ac:dyDescent="0.2">
      <c r="A192" s="2">
        <v>44491.723101851851</v>
      </c>
      <c r="B192" s="3" t="s">
        <v>23</v>
      </c>
      <c r="C192" s="3" t="s">
        <v>804</v>
      </c>
      <c r="D192" s="3" t="s">
        <v>805</v>
      </c>
      <c r="E192" s="3" t="s">
        <v>806</v>
      </c>
      <c r="F192" s="3" t="s">
        <v>807</v>
      </c>
      <c r="G192" s="3" t="s">
        <v>808</v>
      </c>
      <c r="H192" s="3" t="s">
        <v>809</v>
      </c>
      <c r="I192" s="3" t="s">
        <v>810</v>
      </c>
      <c r="J192" s="4" t="str">
        <f>TEXT("5107504769124365993","0")</f>
        <v>5107504769124360000</v>
      </c>
    </row>
    <row r="193" spans="1:10" ht="12.75" x14ac:dyDescent="0.2">
      <c r="A193" s="2">
        <v>44491.725601851853</v>
      </c>
      <c r="B193" s="3" t="s">
        <v>23</v>
      </c>
      <c r="C193" s="3" t="s">
        <v>811</v>
      </c>
      <c r="D193" s="3" t="s">
        <v>361</v>
      </c>
      <c r="E193" s="3" t="s">
        <v>812</v>
      </c>
      <c r="F193" s="3" t="s">
        <v>361</v>
      </c>
      <c r="G193" s="3" t="s">
        <v>813</v>
      </c>
      <c r="H193" s="3" t="s">
        <v>361</v>
      </c>
      <c r="I193" s="3" t="s">
        <v>46</v>
      </c>
      <c r="J193" s="4" t="str">
        <f>TEXT("5107506928812127576","0")</f>
        <v>5107506928812120000</v>
      </c>
    </row>
    <row r="194" spans="1:10" ht="12.75" x14ac:dyDescent="0.2">
      <c r="A194" s="2">
        <v>44491.726215277777</v>
      </c>
      <c r="B194" s="3" t="s">
        <v>23</v>
      </c>
      <c r="C194" s="3" t="s">
        <v>814</v>
      </c>
      <c r="D194" s="3" t="s">
        <v>815</v>
      </c>
      <c r="E194" s="3" t="s">
        <v>816</v>
      </c>
      <c r="F194" s="3" t="s">
        <v>817</v>
      </c>
      <c r="G194" s="3" t="s">
        <v>379</v>
      </c>
      <c r="H194" s="3" t="s">
        <v>786</v>
      </c>
      <c r="J194" s="4" t="str">
        <f>TEXT("5107507459515879291","0")</f>
        <v>5107507459515870000</v>
      </c>
    </row>
    <row r="195" spans="1:10" ht="12.75" x14ac:dyDescent="0.2">
      <c r="A195" s="2">
        <v>44491.727881944447</v>
      </c>
      <c r="B195" s="3" t="s">
        <v>23</v>
      </c>
      <c r="C195" s="3" t="s">
        <v>818</v>
      </c>
      <c r="D195" s="3" t="s">
        <v>819</v>
      </c>
      <c r="E195" s="3" t="s">
        <v>820</v>
      </c>
      <c r="F195" s="3" t="s">
        <v>820</v>
      </c>
      <c r="G195" s="3" t="s">
        <v>820</v>
      </c>
      <c r="H195" s="3" t="s">
        <v>821</v>
      </c>
      <c r="I195" s="3" t="s">
        <v>822</v>
      </c>
      <c r="J195" s="4" t="str">
        <f>TEXT("5107508891796183688","0")</f>
        <v>5107508891796180000</v>
      </c>
    </row>
    <row r="196" spans="1:10" ht="12.75" x14ac:dyDescent="0.2">
      <c r="A196" s="2">
        <v>44491.729537037034</v>
      </c>
      <c r="B196" s="3" t="s">
        <v>23</v>
      </c>
      <c r="C196" s="3" t="s">
        <v>823</v>
      </c>
      <c r="D196" s="3" t="s">
        <v>372</v>
      </c>
      <c r="E196" s="3" t="s">
        <v>49</v>
      </c>
      <c r="F196" s="3" t="s">
        <v>372</v>
      </c>
      <c r="G196" s="3" t="s">
        <v>49</v>
      </c>
      <c r="H196" s="3" t="s">
        <v>49</v>
      </c>
      <c r="J196" s="4" t="str">
        <f>TEXT("5107510320604026432","0")</f>
        <v>5107510320604020000</v>
      </c>
    </row>
    <row r="197" spans="1:10" ht="12.75" x14ac:dyDescent="0.2">
      <c r="A197" s="2">
        <v>44491.729664351849</v>
      </c>
      <c r="B197" s="3" t="s">
        <v>23</v>
      </c>
      <c r="C197" s="3" t="s">
        <v>824</v>
      </c>
      <c r="D197" s="3" t="s">
        <v>825</v>
      </c>
      <c r="E197" s="3" t="s">
        <v>826</v>
      </c>
      <c r="F197" s="3" t="s">
        <v>322</v>
      </c>
      <c r="G197" s="3" t="s">
        <v>826</v>
      </c>
      <c r="H197" s="3" t="s">
        <v>394</v>
      </c>
      <c r="I197" s="3" t="s">
        <v>827</v>
      </c>
      <c r="J197" s="4" t="str">
        <f>TEXT("5107510432843806813","0")</f>
        <v>5107510432843800000</v>
      </c>
    </row>
    <row r="198" spans="1:10" ht="12.75" x14ac:dyDescent="0.2">
      <c r="A198" s="2">
        <v>44491.72997685185</v>
      </c>
      <c r="B198" s="3" t="s">
        <v>23</v>
      </c>
      <c r="C198" s="3" t="s">
        <v>828</v>
      </c>
      <c r="D198" s="3" t="s">
        <v>829</v>
      </c>
      <c r="E198" s="3" t="s">
        <v>830</v>
      </c>
      <c r="F198" s="3" t="s">
        <v>831</v>
      </c>
      <c r="G198" s="3" t="s">
        <v>832</v>
      </c>
      <c r="H198" s="3" t="s">
        <v>833</v>
      </c>
      <c r="J198" s="4" t="str">
        <f>TEXT("5107510708174050374","0")</f>
        <v>5107510708174050000</v>
      </c>
    </row>
    <row r="199" spans="1:10" ht="12.75" x14ac:dyDescent="0.2">
      <c r="A199" s="2">
        <v>44491.734340277777</v>
      </c>
      <c r="B199" s="3" t="s">
        <v>23</v>
      </c>
      <c r="C199" s="3" t="s">
        <v>834</v>
      </c>
      <c r="D199" s="3" t="s">
        <v>835</v>
      </c>
      <c r="E199" s="3" t="s">
        <v>293</v>
      </c>
      <c r="F199" s="3" t="s">
        <v>836</v>
      </c>
      <c r="G199" s="3" t="s">
        <v>294</v>
      </c>
      <c r="H199" s="3" t="s">
        <v>293</v>
      </c>
      <c r="I199" s="3" t="s">
        <v>46</v>
      </c>
      <c r="J199" s="4" t="str">
        <f>TEXT("5107514477019720978","0")</f>
        <v>5107514477019720000</v>
      </c>
    </row>
    <row r="200" spans="1:10" ht="12.75" x14ac:dyDescent="0.2">
      <c r="A200" s="2">
        <v>44491.738900462966</v>
      </c>
      <c r="B200" s="3" t="s">
        <v>23</v>
      </c>
      <c r="C200" s="3" t="s">
        <v>837</v>
      </c>
      <c r="D200" s="3" t="s">
        <v>435</v>
      </c>
      <c r="E200" s="3" t="s">
        <v>838</v>
      </c>
      <c r="F200" s="3" t="s">
        <v>839</v>
      </c>
      <c r="G200" s="3" t="s">
        <v>840</v>
      </c>
      <c r="H200" s="3" t="s">
        <v>841</v>
      </c>
      <c r="I200" s="3" t="s">
        <v>46</v>
      </c>
      <c r="J200" s="4" t="str">
        <f>TEXT("5107518415617661481","0")</f>
        <v>5107518415617660000</v>
      </c>
    </row>
    <row r="201" spans="1:10" ht="12.75" x14ac:dyDescent="0.2">
      <c r="A201" s="2">
        <v>44491.740601851852</v>
      </c>
      <c r="B201" s="3" t="s">
        <v>23</v>
      </c>
      <c r="C201" s="3" t="s">
        <v>842</v>
      </c>
      <c r="D201" s="3" t="s">
        <v>843</v>
      </c>
      <c r="E201" s="3" t="s">
        <v>844</v>
      </c>
      <c r="F201" s="3" t="s">
        <v>572</v>
      </c>
      <c r="G201" s="3" t="s">
        <v>845</v>
      </c>
      <c r="H201" s="3" t="s">
        <v>607</v>
      </c>
      <c r="J201" s="4" t="str">
        <f>TEXT("5107519885204092969","0")</f>
        <v>5107519885204090000</v>
      </c>
    </row>
    <row r="202" spans="1:10" ht="12.75" x14ac:dyDescent="0.2">
      <c r="A202" s="2">
        <v>44491.741238425922</v>
      </c>
      <c r="B202" s="3" t="s">
        <v>23</v>
      </c>
      <c r="C202" s="3" t="s">
        <v>846</v>
      </c>
      <c r="D202" s="3" t="s">
        <v>108</v>
      </c>
      <c r="E202" s="3" t="s">
        <v>641</v>
      </c>
      <c r="F202" s="3" t="s">
        <v>699</v>
      </c>
      <c r="G202" s="3" t="s">
        <v>847</v>
      </c>
      <c r="H202" s="3" t="s">
        <v>848</v>
      </c>
      <c r="J202" s="4" t="str">
        <f>TEXT("5107520430998808973","0")</f>
        <v>5107520430998800000</v>
      </c>
    </row>
    <row r="203" spans="1:10" ht="12.75" x14ac:dyDescent="0.2">
      <c r="A203" s="2">
        <v>44491.744687500002</v>
      </c>
      <c r="B203" s="3" t="s">
        <v>23</v>
      </c>
      <c r="C203" s="3" t="s">
        <v>849</v>
      </c>
      <c r="D203" s="3" t="s">
        <v>850</v>
      </c>
      <c r="E203" s="3" t="s">
        <v>122</v>
      </c>
      <c r="F203" s="3" t="s">
        <v>390</v>
      </c>
      <c r="G203" s="3" t="s">
        <v>851</v>
      </c>
      <c r="H203" s="3" t="s">
        <v>87</v>
      </c>
      <c r="J203" s="4" t="str">
        <f>TEXT("5107523415587982844","0")</f>
        <v>5107523415587980000</v>
      </c>
    </row>
    <row r="204" spans="1:10" ht="12.75" x14ac:dyDescent="0.2">
      <c r="A204" s="2">
        <v>44491.74554398148</v>
      </c>
      <c r="B204" s="3" t="s">
        <v>23</v>
      </c>
      <c r="C204" s="3" t="s">
        <v>852</v>
      </c>
      <c r="D204" s="3" t="s">
        <v>88</v>
      </c>
      <c r="E204" s="3" t="s">
        <v>853</v>
      </c>
      <c r="F204" s="3" t="s">
        <v>87</v>
      </c>
      <c r="G204" s="3" t="s">
        <v>854</v>
      </c>
      <c r="H204" s="3" t="s">
        <v>854</v>
      </c>
      <c r="I204" s="3" t="s">
        <v>46</v>
      </c>
      <c r="J204" s="4" t="str">
        <f>TEXT("5107524155916553202","0")</f>
        <v>5107524155916550000</v>
      </c>
    </row>
    <row r="205" spans="1:10" ht="12.75" x14ac:dyDescent="0.2">
      <c r="A205" s="2">
        <v>44491.749710648146</v>
      </c>
      <c r="B205" s="3" t="s">
        <v>23</v>
      </c>
      <c r="C205" s="3" t="s">
        <v>855</v>
      </c>
      <c r="D205" s="3" t="s">
        <v>623</v>
      </c>
      <c r="E205" s="3" t="s">
        <v>123</v>
      </c>
      <c r="F205" s="3" t="s">
        <v>856</v>
      </c>
      <c r="G205" s="3" t="s">
        <v>389</v>
      </c>
      <c r="H205" s="3" t="s">
        <v>857</v>
      </c>
      <c r="J205" s="4" t="str">
        <f>TEXT("5107527757889513590","0")</f>
        <v>5107527757889510000</v>
      </c>
    </row>
    <row r="206" spans="1:10" ht="12.75" x14ac:dyDescent="0.2">
      <c r="A206" s="2">
        <v>44491.750324074077</v>
      </c>
      <c r="B206" s="3" t="s">
        <v>23</v>
      </c>
      <c r="C206" s="3" t="s">
        <v>858</v>
      </c>
      <c r="D206" s="3" t="s">
        <v>859</v>
      </c>
      <c r="E206" s="3" t="s">
        <v>518</v>
      </c>
      <c r="F206" s="3" t="s">
        <v>860</v>
      </c>
      <c r="G206" s="3" t="s">
        <v>147</v>
      </c>
      <c r="H206" s="3" t="s">
        <v>859</v>
      </c>
      <c r="I206" s="3" t="s">
        <v>861</v>
      </c>
      <c r="J206" s="4" t="str">
        <f>TEXT("5107528287374081509","0")</f>
        <v>5107528287374080000</v>
      </c>
    </row>
    <row r="207" spans="1:10" ht="12.75" x14ac:dyDescent="0.2">
      <c r="A207" s="2">
        <v>44491.754826388889</v>
      </c>
      <c r="B207" s="3" t="s">
        <v>23</v>
      </c>
      <c r="C207" s="3" t="s">
        <v>862</v>
      </c>
      <c r="D207" s="3" t="s">
        <v>103</v>
      </c>
      <c r="E207" s="3" t="s">
        <v>863</v>
      </c>
      <c r="F207" s="3" t="s">
        <v>864</v>
      </c>
      <c r="G207" s="3" t="s">
        <v>865</v>
      </c>
      <c r="H207" s="3" t="s">
        <v>109</v>
      </c>
      <c r="I207" s="3" t="s">
        <v>866</v>
      </c>
      <c r="J207" s="4" t="str">
        <f>TEXT("5107532170127322184","0")</f>
        <v>5107532170127320000</v>
      </c>
    </row>
    <row r="208" spans="1:10" ht="12.75" x14ac:dyDescent="0.2">
      <c r="A208" s="2">
        <v>44491.756203703706</v>
      </c>
      <c r="B208" s="3" t="s">
        <v>23</v>
      </c>
      <c r="C208" s="3" t="s">
        <v>867</v>
      </c>
      <c r="D208" s="3" t="s">
        <v>868</v>
      </c>
      <c r="E208" s="3" t="s">
        <v>869</v>
      </c>
      <c r="F208" s="3" t="s">
        <v>870</v>
      </c>
      <c r="G208" s="3" t="s">
        <v>871</v>
      </c>
      <c r="H208" s="3" t="s">
        <v>817</v>
      </c>
      <c r="I208" s="3" t="s">
        <v>46</v>
      </c>
      <c r="J208" s="4" t="str">
        <f>TEXT("5107533360418572665","0")</f>
        <v>5107533360418570000</v>
      </c>
    </row>
    <row r="209" spans="1:10" ht="12.75" x14ac:dyDescent="0.2">
      <c r="A209" s="2">
        <v>44491.756331018521</v>
      </c>
      <c r="B209" s="3" t="s">
        <v>23</v>
      </c>
      <c r="C209" s="3" t="s">
        <v>872</v>
      </c>
      <c r="D209" s="3" t="s">
        <v>743</v>
      </c>
      <c r="E209" s="3" t="s">
        <v>743</v>
      </c>
      <c r="F209" s="3" t="s">
        <v>873</v>
      </c>
      <c r="G209" s="3" t="s">
        <v>874</v>
      </c>
      <c r="H209" s="3" t="s">
        <v>873</v>
      </c>
      <c r="J209" s="4" t="str">
        <f>TEXT("5107533470578190249","0")</f>
        <v>5107533470578190000</v>
      </c>
    </row>
    <row r="210" spans="1:10" ht="12.75" x14ac:dyDescent="0.2">
      <c r="A210" s="2">
        <v>44491.756481481483</v>
      </c>
      <c r="B210" s="3" t="s">
        <v>23</v>
      </c>
      <c r="C210" s="3" t="s">
        <v>875</v>
      </c>
      <c r="D210" s="3" t="s">
        <v>876</v>
      </c>
      <c r="E210" s="3" t="s">
        <v>877</v>
      </c>
      <c r="F210" s="3" t="s">
        <v>878</v>
      </c>
      <c r="G210" s="3" t="s">
        <v>879</v>
      </c>
      <c r="H210" s="3" t="s">
        <v>879</v>
      </c>
      <c r="J210" s="4" t="str">
        <f>TEXT("5107533600481611912","0")</f>
        <v>5107533600481610000</v>
      </c>
    </row>
    <row r="211" spans="1:10" ht="12.75" x14ac:dyDescent="0.2">
      <c r="A211" s="2">
        <v>44491.760347222225</v>
      </c>
      <c r="B211" s="3" t="s">
        <v>23</v>
      </c>
      <c r="C211" s="3" t="s">
        <v>880</v>
      </c>
      <c r="D211" s="3" t="s">
        <v>881</v>
      </c>
      <c r="E211" s="3" t="s">
        <v>407</v>
      </c>
      <c r="F211" s="3" t="s">
        <v>882</v>
      </c>
      <c r="G211" s="3" t="s">
        <v>883</v>
      </c>
      <c r="H211" s="3" t="s">
        <v>884</v>
      </c>
      <c r="I211" s="3" t="s">
        <v>885</v>
      </c>
      <c r="J211" s="4" t="str">
        <f>TEXT("5107536941516019513","0")</f>
        <v>5107536941516010000</v>
      </c>
    </row>
    <row r="212" spans="1:10" ht="12.75" x14ac:dyDescent="0.2">
      <c r="A212" s="2">
        <v>44491.760694444441</v>
      </c>
      <c r="B212" s="3" t="s">
        <v>23</v>
      </c>
      <c r="C212" s="3" t="s">
        <v>880</v>
      </c>
      <c r="D212" s="3" t="s">
        <v>886</v>
      </c>
      <c r="E212" s="3" t="s">
        <v>887</v>
      </c>
      <c r="F212" s="3" t="s">
        <v>888</v>
      </c>
      <c r="G212" s="3" t="s">
        <v>889</v>
      </c>
      <c r="H212" s="3" t="s">
        <v>890</v>
      </c>
      <c r="I212" s="3" t="s">
        <v>885</v>
      </c>
      <c r="J212" s="4" t="str">
        <f>TEXT("5107537241514696967","0")</f>
        <v>5107537241514690000</v>
      </c>
    </row>
    <row r="213" spans="1:10" ht="12.75" x14ac:dyDescent="0.2">
      <c r="A213" s="2">
        <v>44491.764733796299</v>
      </c>
      <c r="B213" s="3" t="s">
        <v>23</v>
      </c>
      <c r="C213" s="3" t="s">
        <v>891</v>
      </c>
      <c r="D213" s="3" t="s">
        <v>87</v>
      </c>
      <c r="E213" s="3" t="s">
        <v>892</v>
      </c>
      <c r="F213" s="3" t="s">
        <v>468</v>
      </c>
      <c r="G213" s="3" t="s">
        <v>893</v>
      </c>
      <c r="H213" s="3" t="s">
        <v>894</v>
      </c>
      <c r="J213" s="4" t="str">
        <f>TEXT("5107540738213070892","0")</f>
        <v>5107540738213070000</v>
      </c>
    </row>
    <row r="214" spans="1:10" ht="12.75" x14ac:dyDescent="0.2">
      <c r="A214" s="2">
        <v>44491.766817129632</v>
      </c>
      <c r="B214" s="3" t="s">
        <v>23</v>
      </c>
      <c r="C214" s="3" t="s">
        <v>895</v>
      </c>
      <c r="D214" s="3" t="s">
        <v>896</v>
      </c>
      <c r="E214" s="3" t="s">
        <v>897</v>
      </c>
      <c r="F214" s="3" t="s">
        <v>898</v>
      </c>
      <c r="G214" s="3" t="s">
        <v>427</v>
      </c>
      <c r="H214" s="3" t="s">
        <v>427</v>
      </c>
      <c r="I214" s="3" t="s">
        <v>46</v>
      </c>
      <c r="J214" s="4" t="str">
        <f>TEXT("5107542539323811739","0")</f>
        <v>5107542539323810000</v>
      </c>
    </row>
    <row r="215" spans="1:10" ht="12.75" x14ac:dyDescent="0.2">
      <c r="A215" s="2">
        <v>44491.76972222222</v>
      </c>
      <c r="B215" s="3" t="s">
        <v>23</v>
      </c>
      <c r="C215" s="3" t="s">
        <v>899</v>
      </c>
      <c r="D215" s="3" t="s">
        <v>900</v>
      </c>
      <c r="E215" s="3" t="s">
        <v>901</v>
      </c>
      <c r="F215" s="3" t="s">
        <v>902</v>
      </c>
      <c r="G215" s="3" t="s">
        <v>903</v>
      </c>
      <c r="H215" s="3" t="s">
        <v>904</v>
      </c>
      <c r="I215" s="3" t="s">
        <v>46</v>
      </c>
      <c r="J215" s="4" t="str">
        <f>TEXT("5107545044023764392","0")</f>
        <v>5107545044023760000</v>
      </c>
    </row>
    <row r="216" spans="1:10" ht="12.75" x14ac:dyDescent="0.2">
      <c r="A216" s="2">
        <v>44491.770810185182</v>
      </c>
      <c r="B216" s="3" t="s">
        <v>23</v>
      </c>
      <c r="C216" s="3" t="s">
        <v>905</v>
      </c>
      <c r="D216" s="3" t="s">
        <v>906</v>
      </c>
      <c r="E216" s="3" t="s">
        <v>907</v>
      </c>
      <c r="F216" s="3" t="s">
        <v>908</v>
      </c>
      <c r="G216" s="3" t="s">
        <v>908</v>
      </c>
      <c r="H216" s="3" t="s">
        <v>908</v>
      </c>
      <c r="I216" s="3" t="s">
        <v>909</v>
      </c>
      <c r="J216" s="4" t="str">
        <f>TEXT("5107545988183642164","0")</f>
        <v>5107545988183640000</v>
      </c>
    </row>
    <row r="217" spans="1:10" ht="12.75" x14ac:dyDescent="0.2">
      <c r="A217" s="2">
        <v>44491.770995370367</v>
      </c>
      <c r="B217" s="3" t="s">
        <v>23</v>
      </c>
      <c r="C217" s="3" t="s">
        <v>910</v>
      </c>
      <c r="D217" s="3" t="s">
        <v>911</v>
      </c>
      <c r="E217" s="3" t="s">
        <v>912</v>
      </c>
      <c r="F217" s="3" t="s">
        <v>913</v>
      </c>
      <c r="G217" s="3" t="s">
        <v>914</v>
      </c>
      <c r="H217" s="3" t="s">
        <v>915</v>
      </c>
      <c r="I217" s="3" t="s">
        <v>46</v>
      </c>
      <c r="J217" s="4" t="str">
        <f>TEXT("5107546142428118765","0")</f>
        <v>5107546142428110000</v>
      </c>
    </row>
    <row r="218" spans="1:10" ht="12.75" x14ac:dyDescent="0.2">
      <c r="A218" s="2">
        <v>44491.773530092592</v>
      </c>
      <c r="B218" s="3" t="s">
        <v>23</v>
      </c>
      <c r="C218" s="3" t="s">
        <v>916</v>
      </c>
      <c r="D218" s="3" t="s">
        <v>917</v>
      </c>
      <c r="E218" s="3" t="s">
        <v>243</v>
      </c>
      <c r="F218" s="3" t="s">
        <v>622</v>
      </c>
      <c r="G218" s="3" t="s">
        <v>243</v>
      </c>
      <c r="H218" s="3" t="s">
        <v>243</v>
      </c>
      <c r="J218" s="4" t="str">
        <f>TEXT("5107548337784588273","0")</f>
        <v>5107548337784580000</v>
      </c>
    </row>
    <row r="219" spans="1:10" ht="12.75" x14ac:dyDescent="0.2">
      <c r="A219" s="2">
        <v>44491.774583333332</v>
      </c>
      <c r="B219" s="3" t="s">
        <v>23</v>
      </c>
      <c r="C219" s="3" t="s">
        <v>918</v>
      </c>
      <c r="D219" s="3" t="s">
        <v>919</v>
      </c>
      <c r="E219" s="3" t="s">
        <v>920</v>
      </c>
      <c r="F219" s="3" t="s">
        <v>921</v>
      </c>
      <c r="G219" s="3" t="s">
        <v>922</v>
      </c>
      <c r="H219" s="3" t="s">
        <v>923</v>
      </c>
      <c r="I219" s="3" t="s">
        <v>924</v>
      </c>
      <c r="J219" s="4" t="str">
        <f>TEXT("5107549243164637523","0")</f>
        <v>5107549243164630000</v>
      </c>
    </row>
    <row r="220" spans="1:10" ht="12.75" x14ac:dyDescent="0.2">
      <c r="A220" s="2">
        <v>44491.777905092589</v>
      </c>
      <c r="B220" s="3" t="s">
        <v>23</v>
      </c>
      <c r="C220" s="3" t="s">
        <v>925</v>
      </c>
      <c r="D220" s="3" t="s">
        <v>926</v>
      </c>
      <c r="E220" s="3" t="s">
        <v>927</v>
      </c>
      <c r="F220" s="3" t="s">
        <v>926</v>
      </c>
      <c r="G220" s="3" t="s">
        <v>393</v>
      </c>
      <c r="H220" s="3" t="s">
        <v>928</v>
      </c>
      <c r="J220" s="4" t="str">
        <f>TEXT("5107552115114246983","0")</f>
        <v>5107552115114240000</v>
      </c>
    </row>
    <row r="221" spans="1:10" ht="12.75" x14ac:dyDescent="0.2">
      <c r="A221" s="2">
        <v>44491.781238425923</v>
      </c>
      <c r="B221" s="3" t="s">
        <v>23</v>
      </c>
      <c r="C221" s="3" t="s">
        <v>929</v>
      </c>
      <c r="D221" s="3" t="s">
        <v>114</v>
      </c>
      <c r="E221" s="3" t="s">
        <v>112</v>
      </c>
      <c r="F221" s="3" t="s">
        <v>790</v>
      </c>
      <c r="G221" s="3" t="s">
        <v>790</v>
      </c>
      <c r="H221" s="3" t="s">
        <v>112</v>
      </c>
      <c r="I221" s="3" t="s">
        <v>731</v>
      </c>
      <c r="J221" s="4" t="str">
        <f>TEXT("5107554999742546135","0")</f>
        <v>5107554999742540000</v>
      </c>
    </row>
    <row r="222" spans="1:10" ht="12.75" x14ac:dyDescent="0.2">
      <c r="A222" s="2">
        <v>44491.78224537037</v>
      </c>
      <c r="B222" s="3" t="s">
        <v>23</v>
      </c>
      <c r="C222" s="3" t="s">
        <v>930</v>
      </c>
      <c r="D222" s="3" t="s">
        <v>452</v>
      </c>
      <c r="E222" s="3" t="s">
        <v>790</v>
      </c>
      <c r="F222" s="3" t="s">
        <v>931</v>
      </c>
      <c r="G222" s="3" t="s">
        <v>118</v>
      </c>
      <c r="H222" s="3" t="s">
        <v>932</v>
      </c>
      <c r="J222" s="4" t="str">
        <f>TEXT("5107555867615935111","0")</f>
        <v>5107555867615930000</v>
      </c>
    </row>
    <row r="223" spans="1:10" ht="12.75" x14ac:dyDescent="0.2">
      <c r="A223" s="2">
        <v>44491.782488425924</v>
      </c>
      <c r="B223" s="3" t="s">
        <v>23</v>
      </c>
      <c r="C223" s="3" t="s">
        <v>933</v>
      </c>
      <c r="D223" s="3" t="s">
        <v>934</v>
      </c>
      <c r="E223" s="3" t="s">
        <v>935</v>
      </c>
      <c r="F223" s="3" t="s">
        <v>935</v>
      </c>
      <c r="G223" s="3" t="s">
        <v>350</v>
      </c>
      <c r="H223" s="3" t="s">
        <v>765</v>
      </c>
      <c r="I223" s="3" t="s">
        <v>46</v>
      </c>
      <c r="J223" s="4" t="str">
        <f>TEXT("5107556075111161656","0")</f>
        <v>5107556075111160000</v>
      </c>
    </row>
    <row r="224" spans="1:10" ht="12.75" x14ac:dyDescent="0.2">
      <c r="A224" s="2">
        <v>44491.784351851849</v>
      </c>
      <c r="B224" s="3" t="s">
        <v>23</v>
      </c>
      <c r="C224" s="3" t="s">
        <v>936</v>
      </c>
      <c r="D224" s="3" t="s">
        <v>86</v>
      </c>
      <c r="E224" s="3" t="s">
        <v>937</v>
      </c>
      <c r="F224" s="3" t="s">
        <v>938</v>
      </c>
      <c r="G224" s="3" t="s">
        <v>939</v>
      </c>
      <c r="H224" s="3" t="s">
        <v>369</v>
      </c>
      <c r="I224" s="3" t="s">
        <v>46</v>
      </c>
      <c r="J224" s="4" t="str">
        <f>TEXT("5107557688627636882","0")</f>
        <v>5107557688627630000</v>
      </c>
    </row>
    <row r="225" spans="1:10" ht="12.75" x14ac:dyDescent="0.2">
      <c r="A225" s="2">
        <v>44491.785254629627</v>
      </c>
      <c r="B225" s="3" t="s">
        <v>23</v>
      </c>
      <c r="C225" s="3" t="s">
        <v>940</v>
      </c>
      <c r="D225" s="3" t="s">
        <v>552</v>
      </c>
      <c r="E225" s="3" t="s">
        <v>941</v>
      </c>
      <c r="F225" s="3" t="s">
        <v>847</v>
      </c>
      <c r="G225" s="3" t="s">
        <v>942</v>
      </c>
      <c r="H225" s="3" t="s">
        <v>943</v>
      </c>
      <c r="I225" s="3" t="s">
        <v>944</v>
      </c>
      <c r="J225" s="4" t="str">
        <f>TEXT("5107558461141118819","0")</f>
        <v>5107558461141110000</v>
      </c>
    </row>
    <row r="226" spans="1:10" ht="12.75" x14ac:dyDescent="0.2">
      <c r="A226" s="2">
        <v>44491.785949074074</v>
      </c>
      <c r="B226" s="3" t="s">
        <v>23</v>
      </c>
      <c r="C226" s="3" t="s">
        <v>945</v>
      </c>
      <c r="D226" s="3" t="s">
        <v>379</v>
      </c>
      <c r="E226" s="3" t="s">
        <v>379</v>
      </c>
      <c r="F226" s="3" t="s">
        <v>507</v>
      </c>
      <c r="G226" s="3" t="s">
        <v>379</v>
      </c>
      <c r="H226" s="3" t="s">
        <v>946</v>
      </c>
      <c r="I226" s="3" t="s">
        <v>46</v>
      </c>
      <c r="J226" s="4" t="str">
        <f>TEXT("5107559062429117280","0")</f>
        <v>5107559062429110000</v>
      </c>
    </row>
    <row r="227" spans="1:10" ht="12.75" x14ac:dyDescent="0.2">
      <c r="A227" s="2">
        <v>44491.791354166664</v>
      </c>
      <c r="B227" s="3" t="s">
        <v>23</v>
      </c>
      <c r="C227" s="3" t="s">
        <v>947</v>
      </c>
      <c r="D227" s="3" t="s">
        <v>948</v>
      </c>
      <c r="E227" s="3" t="s">
        <v>949</v>
      </c>
      <c r="F227" s="3" t="s">
        <v>514</v>
      </c>
      <c r="G227" s="3" t="s">
        <v>950</v>
      </c>
      <c r="H227" s="3" t="s">
        <v>607</v>
      </c>
      <c r="I227" s="3" t="s">
        <v>951</v>
      </c>
      <c r="J227" s="4" t="str">
        <f>TEXT("5107563737422618019","0")</f>
        <v>5107563737422610000</v>
      </c>
    </row>
    <row r="228" spans="1:10" ht="12.75" x14ac:dyDescent="0.2">
      <c r="A228" s="2">
        <v>44491.792048611111</v>
      </c>
      <c r="B228" s="3" t="s">
        <v>23</v>
      </c>
      <c r="C228" s="3" t="s">
        <v>952</v>
      </c>
      <c r="D228" s="3" t="s">
        <v>384</v>
      </c>
      <c r="E228" s="3" t="s">
        <v>612</v>
      </c>
      <c r="F228" s="3" t="s">
        <v>623</v>
      </c>
      <c r="G228" s="3" t="s">
        <v>225</v>
      </c>
      <c r="H228" s="3" t="s">
        <v>92</v>
      </c>
      <c r="J228" s="4" t="str">
        <f>TEXT("5107564333124789212","0")</f>
        <v>5107564333124780000</v>
      </c>
    </row>
    <row r="229" spans="1:10" ht="12.75" x14ac:dyDescent="0.2">
      <c r="A229" s="2">
        <v>44491.792893518519</v>
      </c>
      <c r="B229" s="3" t="s">
        <v>23</v>
      </c>
      <c r="C229" s="3" t="s">
        <v>953</v>
      </c>
      <c r="D229" s="3" t="s">
        <v>954</v>
      </c>
      <c r="E229" s="3" t="s">
        <v>955</v>
      </c>
      <c r="F229" s="3" t="s">
        <v>956</v>
      </c>
      <c r="G229" s="3" t="s">
        <v>957</v>
      </c>
      <c r="H229" s="3" t="s">
        <v>958</v>
      </c>
      <c r="J229" s="4" t="str">
        <f>TEXT("5107565065022697307","0")</f>
        <v>5107565065022690000</v>
      </c>
    </row>
    <row r="230" spans="1:10" ht="12.75" x14ac:dyDescent="0.2">
      <c r="A230" s="2">
        <v>44491.794699074075</v>
      </c>
      <c r="B230" s="3" t="s">
        <v>23</v>
      </c>
      <c r="C230" s="3" t="s">
        <v>959</v>
      </c>
      <c r="D230" s="3" t="s">
        <v>134</v>
      </c>
      <c r="E230" s="3" t="s">
        <v>960</v>
      </c>
      <c r="F230" s="3" t="s">
        <v>961</v>
      </c>
      <c r="G230" s="3" t="s">
        <v>682</v>
      </c>
      <c r="H230" s="3" t="s">
        <v>962</v>
      </c>
      <c r="I230" s="3" t="s">
        <v>963</v>
      </c>
      <c r="J230" s="4" t="str">
        <f>TEXT("5107566623461382794","0")</f>
        <v>5107566623461380000</v>
      </c>
    </row>
    <row r="231" spans="1:10" ht="12.75" x14ac:dyDescent="0.2">
      <c r="A231" s="2">
        <v>44491.806261574071</v>
      </c>
      <c r="B231" s="3" t="s">
        <v>23</v>
      </c>
      <c r="C231" s="3" t="s">
        <v>964</v>
      </c>
      <c r="D231" s="3" t="s">
        <v>965</v>
      </c>
      <c r="E231" s="3" t="s">
        <v>965</v>
      </c>
      <c r="F231" s="3" t="s">
        <v>965</v>
      </c>
      <c r="G231" s="3" t="s">
        <v>966</v>
      </c>
      <c r="H231" s="3" t="s">
        <v>965</v>
      </c>
      <c r="J231" s="4" t="str">
        <f>TEXT("5107576618618214633","0")</f>
        <v>5107576618618210000</v>
      </c>
    </row>
    <row r="232" spans="1:10" ht="12.75" x14ac:dyDescent="0.2">
      <c r="A232" s="2">
        <v>44491.810960648145</v>
      </c>
      <c r="B232" s="3" t="s">
        <v>23</v>
      </c>
      <c r="C232" s="3" t="s">
        <v>967</v>
      </c>
      <c r="D232" s="3" t="s">
        <v>968</v>
      </c>
      <c r="E232" s="3" t="s">
        <v>109</v>
      </c>
      <c r="F232" s="3" t="s">
        <v>109</v>
      </c>
      <c r="G232" s="3" t="s">
        <v>969</v>
      </c>
      <c r="H232" s="3" t="s">
        <v>768</v>
      </c>
      <c r="I232" s="3" t="s">
        <v>970</v>
      </c>
      <c r="J232" s="4" t="str">
        <f>TEXT("5107580671212234944","0")</f>
        <v>5107580671212230000</v>
      </c>
    </row>
    <row r="233" spans="1:10" ht="12.75" x14ac:dyDescent="0.2">
      <c r="A233" s="2">
        <v>44491.811435185184</v>
      </c>
      <c r="B233" s="3" t="s">
        <v>23</v>
      </c>
      <c r="C233" s="3" t="s">
        <v>967</v>
      </c>
      <c r="D233" s="3" t="s">
        <v>971</v>
      </c>
      <c r="E233" s="3" t="s">
        <v>108</v>
      </c>
      <c r="F233" s="3" t="s">
        <v>972</v>
      </c>
      <c r="G233" s="3" t="s">
        <v>973</v>
      </c>
      <c r="H233" s="3" t="s">
        <v>515</v>
      </c>
      <c r="I233" s="3" t="s">
        <v>970</v>
      </c>
      <c r="J233" s="4" t="str">
        <f>TEXT("5107581081213314698","0")</f>
        <v>5107581081213310000</v>
      </c>
    </row>
    <row r="234" spans="1:10" ht="12.75" x14ac:dyDescent="0.2">
      <c r="A234" s="2">
        <v>44491.81318287037</v>
      </c>
      <c r="B234" s="3" t="s">
        <v>23</v>
      </c>
      <c r="C234" s="3" t="s">
        <v>974</v>
      </c>
      <c r="D234" s="3" t="s">
        <v>975</v>
      </c>
      <c r="E234" s="3" t="s">
        <v>683</v>
      </c>
      <c r="F234" s="3" t="s">
        <v>66</v>
      </c>
      <c r="G234" s="3" t="s">
        <v>189</v>
      </c>
      <c r="H234" s="3" t="s">
        <v>976</v>
      </c>
      <c r="I234" s="3" t="s">
        <v>46</v>
      </c>
      <c r="J234" s="4" t="str">
        <f>TEXT("5107582592218515138","0")</f>
        <v>5107582592218510000</v>
      </c>
    </row>
    <row r="235" spans="1:10" ht="12.75" x14ac:dyDescent="0.2">
      <c r="A235" s="2">
        <v>44491.814629629633</v>
      </c>
      <c r="B235" s="3" t="s">
        <v>23</v>
      </c>
      <c r="C235" s="3" t="s">
        <v>977</v>
      </c>
      <c r="D235" s="3" t="s">
        <v>978</v>
      </c>
      <c r="E235" s="3" t="s">
        <v>232</v>
      </c>
      <c r="F235" s="3" t="s">
        <v>978</v>
      </c>
      <c r="G235" s="3" t="s">
        <v>978</v>
      </c>
      <c r="H235" s="3" t="s">
        <v>978</v>
      </c>
      <c r="J235" s="4" t="str">
        <f>TEXT("5107583840213390355","0")</f>
        <v>5107583840213390000</v>
      </c>
    </row>
    <row r="236" spans="1:10" ht="12.75" x14ac:dyDescent="0.2">
      <c r="A236" s="2">
        <v>44491.81689814815</v>
      </c>
      <c r="B236" s="3" t="s">
        <v>23</v>
      </c>
      <c r="C236" s="3" t="s">
        <v>979</v>
      </c>
      <c r="D236" s="3" t="s">
        <v>980</v>
      </c>
      <c r="E236" s="3" t="s">
        <v>981</v>
      </c>
      <c r="F236" s="3" t="s">
        <v>981</v>
      </c>
      <c r="G236" s="3" t="s">
        <v>982</v>
      </c>
      <c r="H236" s="3" t="s">
        <v>982</v>
      </c>
      <c r="J236" s="4" t="str">
        <f>TEXT("5107585802216422082","0")</f>
        <v>5107585802216420000</v>
      </c>
    </row>
    <row r="237" spans="1:10" ht="12.75" x14ac:dyDescent="0.2">
      <c r="A237" s="2">
        <v>44491.817650462966</v>
      </c>
      <c r="B237" s="3" t="s">
        <v>23</v>
      </c>
      <c r="C237" s="3" t="s">
        <v>983</v>
      </c>
      <c r="D237" s="3" t="s">
        <v>984</v>
      </c>
      <c r="E237" s="3" t="s">
        <v>452</v>
      </c>
      <c r="F237" s="3" t="s">
        <v>985</v>
      </c>
      <c r="G237" s="3" t="s">
        <v>942</v>
      </c>
      <c r="H237" s="3" t="s">
        <v>942</v>
      </c>
      <c r="I237" s="3" t="s">
        <v>46</v>
      </c>
      <c r="J237" s="4" t="str">
        <f>TEXT("5107586452913792031","0")</f>
        <v>5107586452913790000</v>
      </c>
    </row>
    <row r="238" spans="1:10" ht="12.75" x14ac:dyDescent="0.2">
      <c r="A238" s="2">
        <v>44491.820648148147</v>
      </c>
      <c r="B238" s="3" t="s">
        <v>23</v>
      </c>
      <c r="C238" s="3" t="s">
        <v>986</v>
      </c>
      <c r="D238" s="3" t="s">
        <v>987</v>
      </c>
      <c r="E238" s="3" t="s">
        <v>988</v>
      </c>
      <c r="F238" s="3" t="s">
        <v>989</v>
      </c>
      <c r="G238" s="3" t="s">
        <v>92</v>
      </c>
      <c r="H238" s="3" t="s">
        <v>990</v>
      </c>
      <c r="I238" s="3" t="s">
        <v>100</v>
      </c>
      <c r="J238" s="4" t="str">
        <f>TEXT("5107589044527076414","0")</f>
        <v>5107589044527070000</v>
      </c>
    </row>
    <row r="239" spans="1:10" ht="12.75" x14ac:dyDescent="0.2">
      <c r="A239" s="2">
        <v>44491.827673611115</v>
      </c>
      <c r="B239" s="3" t="s">
        <v>23</v>
      </c>
      <c r="C239" s="3" t="s">
        <v>705</v>
      </c>
      <c r="D239" s="3" t="s">
        <v>379</v>
      </c>
      <c r="E239" s="3" t="s">
        <v>379</v>
      </c>
      <c r="F239" s="3" t="s">
        <v>706</v>
      </c>
      <c r="G239" s="3" t="s">
        <v>707</v>
      </c>
      <c r="H239" s="3" t="s">
        <v>379</v>
      </c>
      <c r="J239" s="4" t="str">
        <f>TEXT("5107595112426326419","0")</f>
        <v>5107595112426320000</v>
      </c>
    </row>
    <row r="240" spans="1:10" ht="12.75" x14ac:dyDescent="0.2">
      <c r="A240" s="2">
        <v>44491.828842592593</v>
      </c>
      <c r="B240" s="3" t="s">
        <v>23</v>
      </c>
      <c r="C240" s="3" t="s">
        <v>991</v>
      </c>
      <c r="D240" s="3" t="s">
        <v>992</v>
      </c>
      <c r="E240" s="3" t="s">
        <v>993</v>
      </c>
      <c r="F240" s="3" t="s">
        <v>994</v>
      </c>
      <c r="G240" s="3" t="s">
        <v>161</v>
      </c>
      <c r="H240" s="3" t="s">
        <v>995</v>
      </c>
      <c r="J240" s="4" t="str">
        <f>TEXT("5107596128713889158","0")</f>
        <v>5107596128713880000</v>
      </c>
    </row>
    <row r="241" spans="1:10" ht="12.75" x14ac:dyDescent="0.2">
      <c r="A241" s="2">
        <v>44491.838622685187</v>
      </c>
      <c r="B241" s="3" t="s">
        <v>23</v>
      </c>
      <c r="C241" s="3" t="s">
        <v>996</v>
      </c>
      <c r="D241" s="3" t="s">
        <v>997</v>
      </c>
      <c r="E241" s="3" t="s">
        <v>998</v>
      </c>
      <c r="F241" s="3" t="s">
        <v>468</v>
      </c>
      <c r="G241" s="3" t="s">
        <v>999</v>
      </c>
      <c r="H241" s="3" t="s">
        <v>1000</v>
      </c>
      <c r="I241" s="3" t="s">
        <v>1001</v>
      </c>
      <c r="J241" s="4" t="str">
        <f>TEXT("5107604575507497863","0")</f>
        <v>5107604575507490000</v>
      </c>
    </row>
    <row r="242" spans="1:10" ht="12.75" x14ac:dyDescent="0.2">
      <c r="A242" s="2">
        <v>44491.841516203705</v>
      </c>
      <c r="B242" s="3" t="s">
        <v>23</v>
      </c>
      <c r="C242" s="3" t="s">
        <v>1002</v>
      </c>
      <c r="D242" s="3" t="s">
        <v>1003</v>
      </c>
      <c r="E242" s="3" t="s">
        <v>507</v>
      </c>
      <c r="F242" s="3" t="s">
        <v>383</v>
      </c>
      <c r="G242" s="3" t="s">
        <v>383</v>
      </c>
      <c r="H242" s="3" t="s">
        <v>1004</v>
      </c>
      <c r="I242" s="3" t="s">
        <v>1005</v>
      </c>
      <c r="J242" s="4" t="str">
        <f>TEXT("5107607078012386629","0")</f>
        <v>5107607078012380000</v>
      </c>
    </row>
    <row r="243" spans="1:10" ht="12.75" x14ac:dyDescent="0.2">
      <c r="A243" s="2">
        <v>44491.844837962963</v>
      </c>
      <c r="B243" s="3" t="s">
        <v>23</v>
      </c>
      <c r="C243" s="3" t="s">
        <v>1006</v>
      </c>
      <c r="D243" s="3" t="s">
        <v>13</v>
      </c>
      <c r="E243" s="3" t="s">
        <v>13</v>
      </c>
      <c r="F243" s="3" t="s">
        <v>13</v>
      </c>
      <c r="G243" s="3" t="s">
        <v>644</v>
      </c>
      <c r="H243" s="3" t="s">
        <v>1007</v>
      </c>
      <c r="I243" s="3" t="s">
        <v>46</v>
      </c>
      <c r="J243" s="4" t="str">
        <f>TEXT("5107609931929541293","0")</f>
        <v>5107609931929540000</v>
      </c>
    </row>
    <row r="244" spans="1:10" ht="12.75" x14ac:dyDescent="0.2">
      <c r="A244" s="2">
        <v>44491.844849537039</v>
      </c>
      <c r="B244" s="3" t="s">
        <v>23</v>
      </c>
      <c r="C244" s="3" t="s">
        <v>1006</v>
      </c>
      <c r="D244" s="3" t="s">
        <v>13</v>
      </c>
      <c r="E244" s="3" t="s">
        <v>13</v>
      </c>
      <c r="F244" s="3" t="s">
        <v>13</v>
      </c>
      <c r="G244" s="3" t="s">
        <v>644</v>
      </c>
      <c r="H244" s="3" t="s">
        <v>1007</v>
      </c>
      <c r="I244" s="3" t="s">
        <v>46</v>
      </c>
      <c r="J244" s="4" t="str">
        <f>TEXT("5107609951924571970","0")</f>
        <v>5107609951924570000</v>
      </c>
    </row>
    <row r="245" spans="1:10" ht="12.75" x14ac:dyDescent="0.2">
      <c r="A245" s="2">
        <v>44491.848912037036</v>
      </c>
      <c r="B245" s="3" t="s">
        <v>23</v>
      </c>
      <c r="C245" s="3" t="s">
        <v>1008</v>
      </c>
      <c r="D245" s="3" t="s">
        <v>1009</v>
      </c>
      <c r="E245" s="3" t="s">
        <v>192</v>
      </c>
      <c r="F245" s="3" t="s">
        <v>1010</v>
      </c>
      <c r="G245" s="3" t="s">
        <v>1011</v>
      </c>
      <c r="H245" s="3" t="s">
        <v>1012</v>
      </c>
      <c r="I245" s="3" t="s">
        <v>46</v>
      </c>
      <c r="J245" s="4" t="str">
        <f>TEXT("5107613469512770794","0")</f>
        <v>5107613469512770000</v>
      </c>
    </row>
    <row r="246" spans="1:10" ht="12.75" x14ac:dyDescent="0.2">
      <c r="A246" s="2">
        <v>44491.860868055555</v>
      </c>
      <c r="B246" s="3" t="s">
        <v>23</v>
      </c>
      <c r="C246" s="3" t="s">
        <v>1013</v>
      </c>
      <c r="D246" s="3" t="s">
        <v>1014</v>
      </c>
      <c r="E246" s="3" t="s">
        <v>1015</v>
      </c>
      <c r="F246" s="3" t="s">
        <v>1014</v>
      </c>
      <c r="G246" s="3" t="s">
        <v>1016</v>
      </c>
      <c r="H246" s="3" t="s">
        <v>1017</v>
      </c>
      <c r="J246" s="4" t="str">
        <f>TEXT("5107623792217592479","0")</f>
        <v>5107623792217590000</v>
      </c>
    </row>
    <row r="247" spans="1:10" ht="12.75" x14ac:dyDescent="0.2">
      <c r="A247" s="2">
        <v>44491.864710648151</v>
      </c>
      <c r="B247" s="3" t="s">
        <v>23</v>
      </c>
      <c r="C247" s="3" t="s">
        <v>1018</v>
      </c>
      <c r="D247" s="3" t="s">
        <v>1019</v>
      </c>
      <c r="E247" s="3" t="s">
        <v>199</v>
      </c>
      <c r="F247" s="3" t="s">
        <v>1020</v>
      </c>
      <c r="G247" s="3" t="s">
        <v>1021</v>
      </c>
      <c r="H247" s="3" t="s">
        <v>1022</v>
      </c>
      <c r="I247" s="3" t="s">
        <v>46</v>
      </c>
      <c r="J247" s="4" t="str">
        <f>TEXT("5107627115139861555","0")</f>
        <v>5107627115139860000</v>
      </c>
    </row>
    <row r="248" spans="1:10" ht="12.75" x14ac:dyDescent="0.2">
      <c r="A248" s="2">
        <v>44491.878472222219</v>
      </c>
      <c r="B248" s="3" t="s">
        <v>23</v>
      </c>
      <c r="C248" s="3" t="s">
        <v>1023</v>
      </c>
      <c r="D248" s="3" t="s">
        <v>1024</v>
      </c>
      <c r="E248" s="3" t="s">
        <v>1025</v>
      </c>
      <c r="F248" s="3" t="s">
        <v>214</v>
      </c>
      <c r="G248" s="3" t="s">
        <v>1024</v>
      </c>
      <c r="H248" s="3" t="s">
        <v>1025</v>
      </c>
      <c r="I248" s="3" t="s">
        <v>1026</v>
      </c>
      <c r="J248" s="4" t="str">
        <f>TEXT("5107639008225966743","0")</f>
        <v>5107639008225960000</v>
      </c>
    </row>
    <row r="249" spans="1:10" ht="12.75" x14ac:dyDescent="0.2">
      <c r="A249" s="2">
        <v>44491.888113425928</v>
      </c>
      <c r="B249" s="3" t="s">
        <v>23</v>
      </c>
      <c r="C249" s="3" t="s">
        <v>1027</v>
      </c>
      <c r="D249" s="3" t="s">
        <v>1028</v>
      </c>
      <c r="E249" s="3" t="s">
        <v>587</v>
      </c>
      <c r="F249" s="3" t="s">
        <v>634</v>
      </c>
      <c r="G249" s="3" t="s">
        <v>1029</v>
      </c>
      <c r="H249" s="3" t="s">
        <v>1029</v>
      </c>
      <c r="J249" s="4" t="str">
        <f>TEXT("5107647338225595719","0")</f>
        <v>5107647338225590000</v>
      </c>
    </row>
    <row r="250" spans="1:10" ht="12.75" x14ac:dyDescent="0.2">
      <c r="A250" s="2">
        <v>44491.88857638889</v>
      </c>
      <c r="B250" s="3" t="s">
        <v>23</v>
      </c>
      <c r="C250" s="3" t="s">
        <v>1027</v>
      </c>
      <c r="D250" s="3" t="s">
        <v>1030</v>
      </c>
      <c r="E250" s="3" t="s">
        <v>1031</v>
      </c>
      <c r="F250" s="3" t="s">
        <v>1032</v>
      </c>
      <c r="G250" s="3" t="s">
        <v>536</v>
      </c>
      <c r="H250" s="3" t="s">
        <v>1033</v>
      </c>
      <c r="J250" s="4" t="str">
        <f>TEXT("5107647738229045306","0")</f>
        <v>5107647738229040000</v>
      </c>
    </row>
    <row r="251" spans="1:10" ht="12.75" x14ac:dyDescent="0.2">
      <c r="A251" s="2">
        <v>44491.889710648145</v>
      </c>
      <c r="B251" s="3" t="s">
        <v>23</v>
      </c>
      <c r="C251" s="3" t="s">
        <v>1034</v>
      </c>
      <c r="D251" s="3" t="s">
        <v>1035</v>
      </c>
      <c r="E251" s="3" t="s">
        <v>199</v>
      </c>
      <c r="F251" s="3" t="s">
        <v>196</v>
      </c>
      <c r="G251" s="3" t="s">
        <v>1036</v>
      </c>
      <c r="H251" s="3" t="s">
        <v>1037</v>
      </c>
      <c r="I251" s="3" t="s">
        <v>46</v>
      </c>
      <c r="J251" s="4" t="str">
        <f>TEXT("5107648713892824620","0")</f>
        <v>5107648713892820000</v>
      </c>
    </row>
    <row r="252" spans="1:10" ht="12.75" x14ac:dyDescent="0.2">
      <c r="A252" s="2">
        <v>44491.891793981478</v>
      </c>
      <c r="B252" s="3" t="s">
        <v>23</v>
      </c>
      <c r="C252" s="3" t="s">
        <v>1038</v>
      </c>
      <c r="D252" s="3" t="s">
        <v>564</v>
      </c>
      <c r="E252" s="3" t="s">
        <v>1039</v>
      </c>
      <c r="F252" s="3" t="s">
        <v>1040</v>
      </c>
      <c r="G252" s="3" t="s">
        <v>1041</v>
      </c>
      <c r="H252" s="3" t="s">
        <v>1042</v>
      </c>
      <c r="I252" s="3" t="s">
        <v>963</v>
      </c>
      <c r="J252" s="4" t="str">
        <f>TEXT("5107650517219243485","0")</f>
        <v>5107650517219240000</v>
      </c>
    </row>
    <row r="253" spans="1:10" ht="12.75" x14ac:dyDescent="0.2">
      <c r="A253" s="2">
        <v>44491.891851851855</v>
      </c>
      <c r="B253" s="3" t="s">
        <v>23</v>
      </c>
      <c r="C253" s="3" t="s">
        <v>1043</v>
      </c>
      <c r="D253" s="3" t="s">
        <v>1044</v>
      </c>
      <c r="E253" s="3" t="s">
        <v>1045</v>
      </c>
      <c r="F253" s="3" t="s">
        <v>1046</v>
      </c>
      <c r="G253" s="3" t="s">
        <v>1047</v>
      </c>
      <c r="H253" s="3" t="s">
        <v>1048</v>
      </c>
      <c r="I253" s="3" t="s">
        <v>1049</v>
      </c>
      <c r="J253" s="4" t="str">
        <f>TEXT("5107650562528237809","0")</f>
        <v>5107650562528230000</v>
      </c>
    </row>
    <row r="254" spans="1:10" ht="12.75" x14ac:dyDescent="0.2">
      <c r="A254" s="2">
        <v>44491.89199074074</v>
      </c>
      <c r="B254" s="3" t="s">
        <v>23</v>
      </c>
      <c r="C254" s="3" t="s">
        <v>1043</v>
      </c>
      <c r="D254" s="3" t="s">
        <v>1044</v>
      </c>
      <c r="E254" s="3" t="s">
        <v>1045</v>
      </c>
      <c r="F254" s="3" t="s">
        <v>1046</v>
      </c>
      <c r="G254" s="3" t="s">
        <v>1047</v>
      </c>
      <c r="H254" s="3" t="s">
        <v>1048</v>
      </c>
      <c r="I254" s="3" t="s">
        <v>1049</v>
      </c>
      <c r="J254" s="4" t="str">
        <f>TEXT("5107650682522814784","0")</f>
        <v>5107650682522810000</v>
      </c>
    </row>
    <row r="255" spans="1:10" ht="12.75" x14ac:dyDescent="0.2">
      <c r="A255" s="2">
        <v>44491.896122685182</v>
      </c>
      <c r="B255" s="3" t="s">
        <v>23</v>
      </c>
      <c r="C255" s="3" t="s">
        <v>1050</v>
      </c>
      <c r="D255" s="3" t="s">
        <v>1051</v>
      </c>
      <c r="E255" s="3" t="s">
        <v>224</v>
      </c>
      <c r="F255" s="3" t="s">
        <v>1051</v>
      </c>
      <c r="G255" s="3" t="s">
        <v>1052</v>
      </c>
      <c r="H255" s="3" t="s">
        <v>1052</v>
      </c>
      <c r="J255" s="4" t="str">
        <f>TEXT("5107654258617776765","0")</f>
        <v>5107654258617770000</v>
      </c>
    </row>
    <row r="256" spans="1:10" ht="12.75" x14ac:dyDescent="0.2">
      <c r="A256" s="2">
        <v>44491.908622685187</v>
      </c>
      <c r="B256" s="3" t="s">
        <v>23</v>
      </c>
      <c r="C256" s="3" t="s">
        <v>1053</v>
      </c>
      <c r="D256" s="3" t="s">
        <v>1054</v>
      </c>
      <c r="E256" s="3" t="s">
        <v>1055</v>
      </c>
      <c r="F256" s="3" t="s">
        <v>1056</v>
      </c>
      <c r="G256" s="3" t="s">
        <v>1057</v>
      </c>
      <c r="H256" s="3" t="s">
        <v>1055</v>
      </c>
      <c r="I256" s="3" t="s">
        <v>1058</v>
      </c>
      <c r="J256" s="4" t="str">
        <f>TEXT("5107665055611586556","0")</f>
        <v>5107665055611580000</v>
      </c>
    </row>
    <row r="257" spans="1:10" ht="12.75" x14ac:dyDescent="0.2">
      <c r="A257" s="2">
        <v>44491.910509259258</v>
      </c>
      <c r="B257" s="3" t="s">
        <v>23</v>
      </c>
      <c r="C257" s="3" t="s">
        <v>1059</v>
      </c>
      <c r="D257" s="3" t="s">
        <v>946</v>
      </c>
      <c r="E257" s="3" t="s">
        <v>66</v>
      </c>
      <c r="F257" s="3" t="s">
        <v>587</v>
      </c>
      <c r="G257" s="3" t="s">
        <v>468</v>
      </c>
      <c r="H257" s="3" t="s">
        <v>1060</v>
      </c>
      <c r="I257" s="3" t="s">
        <v>731</v>
      </c>
      <c r="J257" s="4" t="str">
        <f>TEXT("5107666684213012101","0")</f>
        <v>5107666684213010000</v>
      </c>
    </row>
    <row r="258" spans="1:10" ht="12.75" x14ac:dyDescent="0.2">
      <c r="A258" s="2">
        <v>44491.913726851853</v>
      </c>
      <c r="B258" s="3" t="s">
        <v>23</v>
      </c>
      <c r="C258" s="3" t="s">
        <v>1061</v>
      </c>
      <c r="D258" s="3" t="s">
        <v>1062</v>
      </c>
      <c r="E258" s="3" t="s">
        <v>1063</v>
      </c>
      <c r="F258" s="3" t="s">
        <v>1064</v>
      </c>
      <c r="G258" s="3" t="s">
        <v>1065</v>
      </c>
      <c r="H258" s="3" t="s">
        <v>1066</v>
      </c>
      <c r="J258" s="4" t="str">
        <f>TEXT("5107669464749582014","0")</f>
        <v>5107669464749580000</v>
      </c>
    </row>
    <row r="259" spans="1:10" ht="12.75" x14ac:dyDescent="0.2">
      <c r="A259" s="2">
        <v>44491.91920138889</v>
      </c>
      <c r="B259" s="3" t="s">
        <v>23</v>
      </c>
      <c r="C259" s="3" t="s">
        <v>1067</v>
      </c>
      <c r="D259" s="3" t="s">
        <v>1068</v>
      </c>
      <c r="E259" s="3" t="s">
        <v>1069</v>
      </c>
      <c r="F259" s="3" t="s">
        <v>125</v>
      </c>
      <c r="G259" s="3" t="s">
        <v>1070</v>
      </c>
      <c r="H259" s="3" t="s">
        <v>1071</v>
      </c>
      <c r="I259" s="3" t="s">
        <v>1072</v>
      </c>
      <c r="J259" s="4" t="str">
        <f>TEXT("5107674197311354094","0")</f>
        <v>5107674197311350000</v>
      </c>
    </row>
    <row r="260" spans="1:10" ht="12.75" x14ac:dyDescent="0.2">
      <c r="A260" s="2">
        <v>44491.921249999999</v>
      </c>
      <c r="B260" s="3" t="s">
        <v>23</v>
      </c>
      <c r="C260" s="3" t="s">
        <v>1073</v>
      </c>
      <c r="D260" s="3" t="s">
        <v>1074</v>
      </c>
      <c r="E260" s="3" t="s">
        <v>1075</v>
      </c>
      <c r="F260" s="3" t="s">
        <v>1076</v>
      </c>
      <c r="G260" s="3" t="s">
        <v>888</v>
      </c>
      <c r="H260" s="3" t="s">
        <v>682</v>
      </c>
      <c r="I260" s="3" t="s">
        <v>46</v>
      </c>
      <c r="J260" s="4" t="str">
        <f>TEXT("5107675965311872074","0")</f>
        <v>5107675965311870000</v>
      </c>
    </row>
    <row r="261" spans="1:10" ht="12.75" x14ac:dyDescent="0.2">
      <c r="A261" s="2">
        <v>44491.924976851849</v>
      </c>
      <c r="B261" s="3" t="s">
        <v>23</v>
      </c>
      <c r="C261" s="3" t="s">
        <v>1077</v>
      </c>
      <c r="D261" s="3" t="s">
        <v>349</v>
      </c>
      <c r="E261" s="3" t="s">
        <v>1078</v>
      </c>
      <c r="F261" s="3" t="s">
        <v>1079</v>
      </c>
      <c r="G261" s="3" t="s">
        <v>536</v>
      </c>
      <c r="H261" s="3" t="s">
        <v>1080</v>
      </c>
      <c r="J261" s="4" t="str">
        <f>TEXT("5107679187224162480","0")</f>
        <v>5107679187224160000</v>
      </c>
    </row>
    <row r="262" spans="1:10" ht="12.75" x14ac:dyDescent="0.2">
      <c r="A262" s="2">
        <v>44491.925532407404</v>
      </c>
      <c r="B262" s="3" t="s">
        <v>23</v>
      </c>
      <c r="C262" s="3" t="s">
        <v>1081</v>
      </c>
      <c r="D262" s="3" t="s">
        <v>1082</v>
      </c>
      <c r="E262" s="3" t="s">
        <v>1083</v>
      </c>
      <c r="F262" s="3" t="s">
        <v>98</v>
      </c>
      <c r="G262" s="3" t="s">
        <v>533</v>
      </c>
      <c r="H262" s="3" t="s">
        <v>120</v>
      </c>
      <c r="J262" s="4" t="str">
        <f>TEXT("5107679666991515052","0")</f>
        <v>5107679666991510000</v>
      </c>
    </row>
    <row r="263" spans="1:10" ht="12.75" x14ac:dyDescent="0.2">
      <c r="A263" s="2">
        <v>44491.928784722222</v>
      </c>
      <c r="B263" s="3" t="s">
        <v>23</v>
      </c>
      <c r="C263" s="3" t="s">
        <v>1084</v>
      </c>
      <c r="D263" s="3" t="s">
        <v>1054</v>
      </c>
      <c r="E263" s="3" t="s">
        <v>984</v>
      </c>
      <c r="F263" s="3" t="s">
        <v>450</v>
      </c>
      <c r="G263" s="3" t="s">
        <v>984</v>
      </c>
      <c r="H263" s="3" t="s">
        <v>984</v>
      </c>
      <c r="J263" s="4" t="str">
        <f>TEXT("5107682474026543255","0")</f>
        <v>5107682474026540000</v>
      </c>
    </row>
    <row r="264" spans="1:10" ht="12.75" x14ac:dyDescent="0.2">
      <c r="A264" s="2">
        <v>44491.92900462963</v>
      </c>
      <c r="B264" s="3" t="s">
        <v>23</v>
      </c>
      <c r="C264" s="3" t="s">
        <v>1085</v>
      </c>
      <c r="D264" s="3" t="s">
        <v>225</v>
      </c>
      <c r="E264" s="3" t="s">
        <v>614</v>
      </c>
      <c r="F264" s="3" t="s">
        <v>438</v>
      </c>
      <c r="G264" s="3" t="s">
        <v>39</v>
      </c>
      <c r="H264" s="3" t="s">
        <v>39</v>
      </c>
      <c r="I264" s="3" t="s">
        <v>46</v>
      </c>
      <c r="J264" s="4" t="str">
        <f>TEXT("5107682665016795702","0")</f>
        <v>5107682665016790000</v>
      </c>
    </row>
    <row r="265" spans="1:10" ht="12.75" x14ac:dyDescent="0.2">
      <c r="A265" s="2">
        <v>44491.929768518516</v>
      </c>
      <c r="B265" s="3" t="s">
        <v>23</v>
      </c>
      <c r="C265" s="3" t="s">
        <v>1086</v>
      </c>
      <c r="D265" s="3" t="s">
        <v>1087</v>
      </c>
      <c r="E265" s="3" t="s">
        <v>230</v>
      </c>
      <c r="F265" s="3" t="s">
        <v>189</v>
      </c>
      <c r="G265" s="3" t="s">
        <v>1088</v>
      </c>
      <c r="H265" s="3" t="s">
        <v>157</v>
      </c>
      <c r="I265" s="3" t="s">
        <v>1089</v>
      </c>
      <c r="J265" s="4" t="str">
        <f>TEXT("5107683321415515375","0")</f>
        <v>5107683321415510000</v>
      </c>
    </row>
    <row r="266" spans="1:10" ht="12.75" x14ac:dyDescent="0.2">
      <c r="A266" s="2">
        <v>44491.934363425928</v>
      </c>
      <c r="B266" s="3" t="s">
        <v>23</v>
      </c>
      <c r="C266" s="3" t="s">
        <v>1090</v>
      </c>
      <c r="D266" s="3" t="s">
        <v>511</v>
      </c>
      <c r="E266" s="3" t="s">
        <v>511</v>
      </c>
      <c r="F266" s="3" t="s">
        <v>1091</v>
      </c>
      <c r="G266" s="3" t="s">
        <v>468</v>
      </c>
      <c r="H266" s="3" t="s">
        <v>1092</v>
      </c>
      <c r="I266" s="3" t="s">
        <v>46</v>
      </c>
      <c r="J266" s="4" t="str">
        <f>TEXT("5107687299756796625","0")</f>
        <v>5107687299756790000</v>
      </c>
    </row>
    <row r="267" spans="1:10" ht="12.75" x14ac:dyDescent="0.2">
      <c r="A267" s="2">
        <v>44491.939687500002</v>
      </c>
      <c r="B267" s="3" t="s">
        <v>23</v>
      </c>
      <c r="C267" s="3" t="s">
        <v>1093</v>
      </c>
      <c r="D267" s="3" t="s">
        <v>1094</v>
      </c>
      <c r="E267" s="3" t="s">
        <v>1095</v>
      </c>
      <c r="F267" s="3" t="s">
        <v>1095</v>
      </c>
      <c r="G267" s="3" t="s">
        <v>475</v>
      </c>
      <c r="H267" s="3" t="s">
        <v>1096</v>
      </c>
      <c r="I267" s="3" t="s">
        <v>1097</v>
      </c>
      <c r="J267" s="4" t="str">
        <f>TEXT("5107691894972130394","0")</f>
        <v>5107691894972130000</v>
      </c>
    </row>
    <row r="268" spans="1:10" ht="12.75" x14ac:dyDescent="0.2">
      <c r="A268" s="2">
        <v>44491.94332175926</v>
      </c>
      <c r="B268" s="3" t="s">
        <v>23</v>
      </c>
      <c r="C268" s="3" t="s">
        <v>1098</v>
      </c>
      <c r="D268" s="3" t="s">
        <v>323</v>
      </c>
      <c r="E268" s="3" t="s">
        <v>323</v>
      </c>
      <c r="F268" s="3" t="s">
        <v>238</v>
      </c>
      <c r="G268" s="3" t="s">
        <v>323</v>
      </c>
      <c r="H268" s="3" t="s">
        <v>324</v>
      </c>
      <c r="I268" s="3" t="s">
        <v>46</v>
      </c>
      <c r="J268" s="4" t="str">
        <f>TEXT("5107695034414230752","0")</f>
        <v>5107695034414230000</v>
      </c>
    </row>
    <row r="269" spans="1:10" ht="12.75" x14ac:dyDescent="0.2">
      <c r="A269" s="2">
        <v>44491.946423611109</v>
      </c>
      <c r="B269" s="3" t="s">
        <v>23</v>
      </c>
      <c r="C269" s="3" t="s">
        <v>1099</v>
      </c>
      <c r="D269" s="3" t="s">
        <v>427</v>
      </c>
      <c r="E269" s="3" t="s">
        <v>1100</v>
      </c>
      <c r="F269" s="3" t="s">
        <v>1022</v>
      </c>
      <c r="G269" s="3" t="s">
        <v>1101</v>
      </c>
      <c r="H269" s="3" t="s">
        <v>1102</v>
      </c>
      <c r="I269" s="3" t="s">
        <v>46</v>
      </c>
      <c r="J269" s="4" t="str">
        <f>TEXT("5107697713198749851","0")</f>
        <v>5107697713198740000</v>
      </c>
    </row>
    <row r="270" spans="1:10" ht="12.75" x14ac:dyDescent="0.2">
      <c r="A270" s="2">
        <v>44491.957245370373</v>
      </c>
      <c r="B270" s="3" t="s">
        <v>23</v>
      </c>
      <c r="C270" s="3" t="s">
        <v>1103</v>
      </c>
      <c r="D270" s="3" t="s">
        <v>360</v>
      </c>
      <c r="E270" s="3" t="s">
        <v>610</v>
      </c>
      <c r="F270" s="3" t="s">
        <v>82</v>
      </c>
      <c r="G270" s="3" t="s">
        <v>393</v>
      </c>
      <c r="H270" s="3" t="s">
        <v>395</v>
      </c>
      <c r="J270" s="4" t="str">
        <f>TEXT("5107707063316721657","0")</f>
        <v>5107707063316720000</v>
      </c>
    </row>
    <row r="271" spans="1:10" ht="12.75" x14ac:dyDescent="0.2">
      <c r="A271" s="2">
        <v>44491.960162037038</v>
      </c>
      <c r="B271" s="3" t="s">
        <v>23</v>
      </c>
      <c r="C271" s="3" t="s">
        <v>1081</v>
      </c>
      <c r="D271" s="3" t="s">
        <v>1082</v>
      </c>
      <c r="E271" s="3" t="s">
        <v>1083</v>
      </c>
      <c r="F271" s="3" t="s">
        <v>98</v>
      </c>
      <c r="G271" s="3" t="s">
        <v>533</v>
      </c>
      <c r="H271" s="3" t="s">
        <v>120</v>
      </c>
      <c r="J271" s="4" t="str">
        <f>TEXT("5107709586992729872","0")</f>
        <v>5107709586992720000</v>
      </c>
    </row>
    <row r="272" spans="1:10" ht="12.75" x14ac:dyDescent="0.2">
      <c r="A272" s="2">
        <v>44491.96266203704</v>
      </c>
      <c r="B272" s="3" t="s">
        <v>23</v>
      </c>
      <c r="C272" s="3" t="s">
        <v>986</v>
      </c>
      <c r="D272" s="3" t="s">
        <v>987</v>
      </c>
      <c r="E272" s="3" t="s">
        <v>988</v>
      </c>
      <c r="F272" s="3" t="s">
        <v>989</v>
      </c>
      <c r="G272" s="3" t="s">
        <v>92</v>
      </c>
      <c r="H272" s="3" t="s">
        <v>990</v>
      </c>
      <c r="I272" s="3" t="s">
        <v>100</v>
      </c>
      <c r="J272" s="4" t="str">
        <f>TEXT("5107711745425159773","0")</f>
        <v>5107711745425150000</v>
      </c>
    </row>
    <row r="273" spans="1:10" ht="12.75" x14ac:dyDescent="0.2">
      <c r="A273" s="2">
        <v>44491.963078703702</v>
      </c>
      <c r="B273" s="3" t="s">
        <v>23</v>
      </c>
      <c r="C273" s="3" t="s">
        <v>986</v>
      </c>
      <c r="D273" s="3" t="s">
        <v>987</v>
      </c>
      <c r="E273" s="3" t="s">
        <v>988</v>
      </c>
      <c r="F273" s="3" t="s">
        <v>989</v>
      </c>
      <c r="G273" s="3" t="s">
        <v>92</v>
      </c>
      <c r="H273" s="3" t="s">
        <v>990</v>
      </c>
      <c r="I273" s="3" t="s">
        <v>100</v>
      </c>
      <c r="J273" s="4" t="str">
        <f>TEXT("5107712105426943669","0")</f>
        <v>5107712105426940000</v>
      </c>
    </row>
    <row r="274" spans="1:10" ht="12.75" x14ac:dyDescent="0.2">
      <c r="A274" s="2">
        <v>44491.985682870371</v>
      </c>
      <c r="B274" s="3" t="s">
        <v>23</v>
      </c>
      <c r="C274" s="3" t="s">
        <v>1104</v>
      </c>
      <c r="D274" s="3" t="s">
        <v>1105</v>
      </c>
      <c r="E274" s="3" t="s">
        <v>383</v>
      </c>
      <c r="F274" s="3" t="s">
        <v>1106</v>
      </c>
      <c r="G274" s="3" t="s">
        <v>389</v>
      </c>
      <c r="H274" s="3" t="s">
        <v>450</v>
      </c>
      <c r="I274" s="3" t="s">
        <v>1107</v>
      </c>
      <c r="J274" s="4" t="str">
        <f>TEXT("5107731622975254170","0")</f>
        <v>5107731622975250000</v>
      </c>
    </row>
    <row r="275" spans="1:10" ht="12.75" x14ac:dyDescent="0.2">
      <c r="A275" s="2">
        <v>44491.991747685184</v>
      </c>
      <c r="B275" s="3" t="s">
        <v>23</v>
      </c>
      <c r="C275" s="3" t="s">
        <v>1108</v>
      </c>
      <c r="D275" s="3" t="s">
        <v>1054</v>
      </c>
      <c r="E275" s="3" t="s">
        <v>229</v>
      </c>
      <c r="F275" s="3" t="s">
        <v>229</v>
      </c>
      <c r="G275" s="3" t="s">
        <v>320</v>
      </c>
      <c r="H275" s="3" t="s">
        <v>320</v>
      </c>
      <c r="J275" s="4" t="str">
        <f>TEXT("5107736877411580331","0")</f>
        <v>5107736877411580000</v>
      </c>
    </row>
    <row r="276" spans="1:10" ht="12.75" x14ac:dyDescent="0.2">
      <c r="A276" s="2">
        <v>44492.002476851849</v>
      </c>
      <c r="B276" s="3" t="s">
        <v>23</v>
      </c>
      <c r="C276" s="3" t="s">
        <v>1109</v>
      </c>
      <c r="D276" s="3" t="s">
        <v>605</v>
      </c>
      <c r="E276" s="3" t="s">
        <v>607</v>
      </c>
      <c r="F276" s="3" t="s">
        <v>605</v>
      </c>
      <c r="G276" s="3" t="s">
        <v>606</v>
      </c>
      <c r="H276" s="3" t="s">
        <v>654</v>
      </c>
      <c r="J276" s="4" t="str">
        <f>TEXT("5107746146128271703","0")</f>
        <v>5107746146128270000</v>
      </c>
    </row>
    <row r="277" spans="1:10" ht="12.75" x14ac:dyDescent="0.2">
      <c r="A277" s="2">
        <v>44492.02171296296</v>
      </c>
      <c r="B277" s="3" t="s">
        <v>23</v>
      </c>
      <c r="C277" s="3" t="s">
        <v>1110</v>
      </c>
      <c r="D277" s="3" t="s">
        <v>1111</v>
      </c>
      <c r="E277" s="3" t="s">
        <v>1112</v>
      </c>
      <c r="F277" s="3" t="s">
        <v>1113</v>
      </c>
      <c r="G277" s="3" t="s">
        <v>1111</v>
      </c>
      <c r="H277" s="3" t="s">
        <v>783</v>
      </c>
      <c r="J277" s="4" t="str">
        <f>TEXT("5107762763023870064","0")</f>
        <v>5107762763023870000</v>
      </c>
    </row>
    <row r="278" spans="1:10" ht="12.75" x14ac:dyDescent="0.2">
      <c r="A278" s="2">
        <v>44492.022824074076</v>
      </c>
      <c r="B278" s="3" t="s">
        <v>23</v>
      </c>
      <c r="C278" s="3" t="s">
        <v>1114</v>
      </c>
      <c r="D278" s="3" t="s">
        <v>1115</v>
      </c>
      <c r="E278" s="3" t="s">
        <v>1116</v>
      </c>
      <c r="F278" s="3" t="s">
        <v>1117</v>
      </c>
      <c r="G278" s="3" t="s">
        <v>527</v>
      </c>
      <c r="H278" s="3" t="s">
        <v>1118</v>
      </c>
      <c r="I278" s="3" t="s">
        <v>1119</v>
      </c>
      <c r="J278" s="4" t="str">
        <f>TEXT("5107763725986710349","0")</f>
        <v>5107763725986710000</v>
      </c>
    </row>
    <row r="279" spans="1:10" ht="12.75" x14ac:dyDescent="0.2">
      <c r="A279" s="2">
        <v>44492.033449074072</v>
      </c>
      <c r="B279" s="3" t="s">
        <v>23</v>
      </c>
      <c r="C279" s="3" t="s">
        <v>1120</v>
      </c>
      <c r="D279" s="3" t="s">
        <v>1121</v>
      </c>
      <c r="E279" s="3" t="s">
        <v>1122</v>
      </c>
      <c r="F279" s="3" t="s">
        <v>631</v>
      </c>
      <c r="G279" s="3" t="s">
        <v>1123</v>
      </c>
      <c r="H279" s="3" t="s">
        <v>631</v>
      </c>
      <c r="J279" s="4" t="str">
        <f>TEXT("5107772907328958210","0")</f>
        <v>5107772907328950000</v>
      </c>
    </row>
    <row r="280" spans="1:10" ht="12.75" x14ac:dyDescent="0.2">
      <c r="A280" s="2">
        <v>44492.036736111113</v>
      </c>
      <c r="B280" s="3" t="s">
        <v>23</v>
      </c>
      <c r="C280" s="3" t="s">
        <v>1124</v>
      </c>
      <c r="D280" s="3" t="s">
        <v>1125</v>
      </c>
      <c r="E280" s="3" t="s">
        <v>1126</v>
      </c>
      <c r="F280" s="3" t="s">
        <v>1127</v>
      </c>
      <c r="G280" s="3" t="s">
        <v>1127</v>
      </c>
      <c r="H280" s="3" t="s">
        <v>1127</v>
      </c>
      <c r="J280" s="4" t="str">
        <f>TEXT("5107775747127458528","0")</f>
        <v>5107775747127450000</v>
      </c>
    </row>
    <row r="281" spans="1:10" ht="12.75" x14ac:dyDescent="0.2">
      <c r="A281" s="2">
        <v>44492.037511574075</v>
      </c>
      <c r="B281" s="3" t="s">
        <v>23</v>
      </c>
      <c r="C281" s="3" t="s">
        <v>1128</v>
      </c>
      <c r="D281" s="3" t="s">
        <v>1129</v>
      </c>
      <c r="E281" s="3" t="s">
        <v>1025</v>
      </c>
      <c r="F281" s="3" t="s">
        <v>1129</v>
      </c>
      <c r="G281" s="3" t="s">
        <v>1130</v>
      </c>
      <c r="H281" s="3" t="s">
        <v>1131</v>
      </c>
      <c r="I281" s="3" t="s">
        <v>1132</v>
      </c>
      <c r="J281" s="4" t="str">
        <f>TEXT("5107776416344936077","0")</f>
        <v>5107776416344930000</v>
      </c>
    </row>
    <row r="282" spans="1:10" ht="12.75" x14ac:dyDescent="0.2">
      <c r="A282" s="2">
        <v>44492.048159722224</v>
      </c>
      <c r="B282" s="3" t="s">
        <v>23</v>
      </c>
      <c r="C282" s="3" t="s">
        <v>1081</v>
      </c>
      <c r="D282" s="3" t="s">
        <v>1082</v>
      </c>
      <c r="E282" s="3" t="s">
        <v>1083</v>
      </c>
      <c r="F282" s="3" t="s">
        <v>98</v>
      </c>
      <c r="G282" s="3" t="s">
        <v>533</v>
      </c>
      <c r="H282" s="3" t="s">
        <v>120</v>
      </c>
      <c r="J282" s="4" t="str">
        <f>TEXT("5107785616992651646","0")</f>
        <v>5107785616992650000</v>
      </c>
    </row>
    <row r="283" spans="1:10" ht="12.75" x14ac:dyDescent="0.2">
      <c r="A283" s="2">
        <v>44492.049340277779</v>
      </c>
      <c r="B283" s="3" t="s">
        <v>23</v>
      </c>
      <c r="C283" s="3" t="s">
        <v>1133</v>
      </c>
      <c r="D283" s="3" t="s">
        <v>1134</v>
      </c>
      <c r="E283" s="3" t="s">
        <v>1135</v>
      </c>
      <c r="F283" s="3" t="s">
        <v>1136</v>
      </c>
      <c r="G283" s="3" t="s">
        <v>1137</v>
      </c>
      <c r="H283" s="3" t="s">
        <v>1138</v>
      </c>
      <c r="J283" s="4" t="str">
        <f>TEXT("5107786636316155715","0")</f>
        <v>5107786636316150000</v>
      </c>
    </row>
    <row r="284" spans="1:10" ht="12.75" x14ac:dyDescent="0.2">
      <c r="A284" s="2">
        <v>44492.049456018518</v>
      </c>
      <c r="B284" s="3" t="s">
        <v>23</v>
      </c>
      <c r="C284" s="3" t="s">
        <v>1139</v>
      </c>
      <c r="D284" s="3" t="s">
        <v>1140</v>
      </c>
      <c r="E284" s="3" t="s">
        <v>1141</v>
      </c>
      <c r="F284" s="3" t="s">
        <v>1142</v>
      </c>
      <c r="G284" s="3" t="s">
        <v>1143</v>
      </c>
      <c r="H284" s="3" t="s">
        <v>1144</v>
      </c>
      <c r="I284" s="5" t="s">
        <v>1145</v>
      </c>
      <c r="J284" s="4" t="str">
        <f>TEXT("5107786730965370167","0")</f>
        <v>5107786730965370000</v>
      </c>
    </row>
    <row r="285" spans="1:10" ht="12.75" x14ac:dyDescent="0.2">
      <c r="A285" s="2">
        <v>44492.051874999997</v>
      </c>
      <c r="B285" s="3" t="s">
        <v>23</v>
      </c>
      <c r="C285" s="3" t="s">
        <v>1146</v>
      </c>
      <c r="D285" s="3" t="s">
        <v>1147</v>
      </c>
      <c r="E285" s="3" t="s">
        <v>468</v>
      </c>
      <c r="F285" s="3" t="s">
        <v>468</v>
      </c>
      <c r="G285" s="3" t="s">
        <v>196</v>
      </c>
      <c r="H285" s="3" t="s">
        <v>11</v>
      </c>
      <c r="I285" s="3" t="s">
        <v>1148</v>
      </c>
      <c r="J285" s="4" t="str">
        <f>TEXT("5107788827221643343","0")</f>
        <v>5107788827221640000</v>
      </c>
    </row>
    <row r="286" spans="1:10" ht="12.75" x14ac:dyDescent="0.2">
      <c r="A286" s="2">
        <v>44492.052766203706</v>
      </c>
      <c r="B286" s="3" t="s">
        <v>23</v>
      </c>
      <c r="C286" s="3" t="s">
        <v>1149</v>
      </c>
      <c r="D286" s="3" t="s">
        <v>1150</v>
      </c>
      <c r="E286" s="3" t="s">
        <v>1151</v>
      </c>
      <c r="F286" s="3" t="s">
        <v>1152</v>
      </c>
      <c r="G286" s="3" t="s">
        <v>209</v>
      </c>
      <c r="H286" s="3" t="s">
        <v>398</v>
      </c>
      <c r="J286" s="4" t="str">
        <f>TEXT("5107789596207041280","0")</f>
        <v>5107789596207040000</v>
      </c>
    </row>
    <row r="287" spans="1:10" ht="12.75" x14ac:dyDescent="0.2">
      <c r="A287" s="2">
        <v>44492.061284722222</v>
      </c>
      <c r="B287" s="3" t="s">
        <v>23</v>
      </c>
      <c r="C287" s="3" t="s">
        <v>1153</v>
      </c>
      <c r="D287" s="3" t="s">
        <v>1154</v>
      </c>
      <c r="E287" s="3" t="s">
        <v>1154</v>
      </c>
      <c r="F287" s="3" t="s">
        <v>656</v>
      </c>
      <c r="G287" s="3" t="s">
        <v>1155</v>
      </c>
      <c r="H287" s="3" t="s">
        <v>1156</v>
      </c>
      <c r="J287" s="4" t="str">
        <f>TEXT("5107796952317073078","0")</f>
        <v>5107796952317070000</v>
      </c>
    </row>
    <row r="288" spans="1:10" ht="12.75" x14ac:dyDescent="0.2">
      <c r="A288" s="2">
        <v>44492.063460648147</v>
      </c>
      <c r="B288" s="3" t="s">
        <v>23</v>
      </c>
      <c r="C288" s="3" t="s">
        <v>1157</v>
      </c>
      <c r="D288" s="3" t="s">
        <v>1158</v>
      </c>
      <c r="E288" s="3" t="s">
        <v>1159</v>
      </c>
      <c r="F288" s="3" t="s">
        <v>1160</v>
      </c>
      <c r="G288" s="3" t="s">
        <v>1161</v>
      </c>
      <c r="H288" s="3" t="s">
        <v>1162</v>
      </c>
      <c r="I288" s="3" t="s">
        <v>46</v>
      </c>
      <c r="J288" s="4" t="str">
        <f>TEXT("5107798832244923535","0")</f>
        <v>5107798832244920000</v>
      </c>
    </row>
    <row r="289" spans="1:10" ht="12.75" x14ac:dyDescent="0.2">
      <c r="A289" s="2">
        <v>44492.075902777775</v>
      </c>
      <c r="B289" s="3" t="s">
        <v>23</v>
      </c>
      <c r="C289" s="3" t="s">
        <v>1163</v>
      </c>
      <c r="D289" s="3" t="s">
        <v>320</v>
      </c>
      <c r="E289" s="3" t="s">
        <v>1164</v>
      </c>
      <c r="F289" s="3" t="s">
        <v>183</v>
      </c>
      <c r="G289" s="3" t="s">
        <v>1165</v>
      </c>
      <c r="H289" s="3" t="s">
        <v>452</v>
      </c>
      <c r="J289" s="4" t="str">
        <f>TEXT("5107809586532411189","0")</f>
        <v>5107809586532410000</v>
      </c>
    </row>
    <row r="290" spans="1:10" ht="12.75" x14ac:dyDescent="0.2">
      <c r="A290" s="2">
        <v>44492.088090277779</v>
      </c>
      <c r="B290" s="3" t="s">
        <v>23</v>
      </c>
      <c r="C290" s="3" t="s">
        <v>1166</v>
      </c>
      <c r="D290" s="3" t="s">
        <v>1167</v>
      </c>
      <c r="E290" s="3" t="s">
        <v>476</v>
      </c>
      <c r="F290" s="3" t="s">
        <v>37</v>
      </c>
      <c r="G290" s="3" t="s">
        <v>1168</v>
      </c>
      <c r="H290" s="3" t="s">
        <v>1169</v>
      </c>
      <c r="I290" s="3" t="s">
        <v>1170</v>
      </c>
      <c r="J290" s="4" t="str">
        <f>TEXT("5107820114419952728","0")</f>
        <v>5107820114419950000</v>
      </c>
    </row>
    <row r="291" spans="1:10" ht="12.75" x14ac:dyDescent="0.2">
      <c r="A291" s="2">
        <v>44492.095416666663</v>
      </c>
      <c r="B291" s="3" t="s">
        <v>23</v>
      </c>
      <c r="C291" s="3" t="s">
        <v>1171</v>
      </c>
      <c r="D291" s="3" t="s">
        <v>1172</v>
      </c>
      <c r="E291" s="3" t="s">
        <v>394</v>
      </c>
      <c r="F291" s="3" t="s">
        <v>394</v>
      </c>
      <c r="G291" s="3" t="s">
        <v>394</v>
      </c>
      <c r="H291" s="3" t="s">
        <v>394</v>
      </c>
      <c r="J291" s="4" t="str">
        <f>TEXT("5107826444978495693","0")</f>
        <v>5107826444978490000</v>
      </c>
    </row>
    <row r="292" spans="1:10" ht="12.75" x14ac:dyDescent="0.2">
      <c r="A292" s="2">
        <v>44492.106678240743</v>
      </c>
      <c r="B292" s="3" t="s">
        <v>23</v>
      </c>
      <c r="C292" s="3" t="s">
        <v>1173</v>
      </c>
      <c r="D292" s="3" t="s">
        <v>1174</v>
      </c>
      <c r="E292" s="3" t="s">
        <v>1175</v>
      </c>
      <c r="F292" s="3" t="s">
        <v>1176</v>
      </c>
      <c r="G292" s="3" t="s">
        <v>1176</v>
      </c>
      <c r="H292" s="3" t="s">
        <v>1177</v>
      </c>
      <c r="I292" s="3" t="s">
        <v>46</v>
      </c>
      <c r="J292" s="4" t="str">
        <f>TEXT("5107836179202695508","0")</f>
        <v>5107836179202690000</v>
      </c>
    </row>
    <row r="293" spans="1:10" ht="12.75" x14ac:dyDescent="0.2">
      <c r="A293" s="2">
        <v>44492.152812499997</v>
      </c>
      <c r="B293" s="3" t="s">
        <v>23</v>
      </c>
      <c r="C293" s="3" t="s">
        <v>1178</v>
      </c>
      <c r="D293" s="3" t="s">
        <v>1179</v>
      </c>
      <c r="E293" s="3" t="s">
        <v>1180</v>
      </c>
      <c r="F293" s="3" t="s">
        <v>102</v>
      </c>
      <c r="G293" s="3" t="s">
        <v>252</v>
      </c>
      <c r="H293" s="3" t="s">
        <v>253</v>
      </c>
      <c r="I293" s="3" t="s">
        <v>1181</v>
      </c>
      <c r="J293" s="4" t="str">
        <f>TEXT("5107876037428768231","0")</f>
        <v>5107876037428760000</v>
      </c>
    </row>
    <row r="294" spans="1:10" ht="12.75" x14ac:dyDescent="0.2">
      <c r="A294" s="2">
        <v>44492.183587962965</v>
      </c>
      <c r="B294" s="3" t="s">
        <v>23</v>
      </c>
      <c r="C294" s="3" t="s">
        <v>1182</v>
      </c>
      <c r="D294" s="3" t="s">
        <v>1183</v>
      </c>
      <c r="E294" s="3" t="s">
        <v>1184</v>
      </c>
      <c r="F294" s="3" t="s">
        <v>1185</v>
      </c>
      <c r="G294" s="3" t="s">
        <v>1186</v>
      </c>
      <c r="H294" s="3" t="s">
        <v>39</v>
      </c>
      <c r="J294" s="4" t="str">
        <f>TEXT("5107902622015574373","0")</f>
        <v>5107902622015570000</v>
      </c>
    </row>
    <row r="295" spans="1:10" ht="12.75" x14ac:dyDescent="0.2">
      <c r="A295" s="2">
        <v>44492.213043981479</v>
      </c>
      <c r="B295" s="3" t="s">
        <v>23</v>
      </c>
      <c r="C295" s="3" t="s">
        <v>1187</v>
      </c>
      <c r="D295" s="3" t="s">
        <v>1188</v>
      </c>
      <c r="E295" s="3" t="s">
        <v>1189</v>
      </c>
      <c r="F295" s="3" t="s">
        <v>1190</v>
      </c>
      <c r="G295" s="3" t="s">
        <v>215</v>
      </c>
      <c r="H295" s="3" t="s">
        <v>25</v>
      </c>
      <c r="J295" s="4" t="str">
        <f>TEXT("5107928072296860663","0")</f>
        <v>5107928072296860000</v>
      </c>
    </row>
    <row r="296" spans="1:10" ht="12.75" x14ac:dyDescent="0.2">
      <c r="A296" s="2">
        <v>44492.216631944444</v>
      </c>
      <c r="B296" s="3" t="s">
        <v>23</v>
      </c>
      <c r="C296" s="3" t="s">
        <v>1081</v>
      </c>
      <c r="D296" s="3" t="s">
        <v>1082</v>
      </c>
      <c r="E296" s="3" t="s">
        <v>1083</v>
      </c>
      <c r="F296" s="3" t="s">
        <v>98</v>
      </c>
      <c r="G296" s="3" t="s">
        <v>533</v>
      </c>
      <c r="H296" s="3" t="s">
        <v>120</v>
      </c>
      <c r="J296" s="4" t="str">
        <f>TEXT("5107931176992559452","0")</f>
        <v>5107931176992550000</v>
      </c>
    </row>
    <row r="297" spans="1:10" ht="12.75" x14ac:dyDescent="0.2">
      <c r="A297" s="2">
        <v>44492.250023148146</v>
      </c>
      <c r="B297" s="3" t="s">
        <v>23</v>
      </c>
      <c r="C297" s="3" t="s">
        <v>1191</v>
      </c>
      <c r="D297" s="3" t="s">
        <v>654</v>
      </c>
      <c r="E297" s="3" t="s">
        <v>1192</v>
      </c>
      <c r="F297" s="3" t="s">
        <v>1193</v>
      </c>
      <c r="G297" s="3" t="s">
        <v>365</v>
      </c>
      <c r="H297" s="3" t="s">
        <v>950</v>
      </c>
      <c r="I297" s="3" t="s">
        <v>1194</v>
      </c>
      <c r="J297" s="4" t="str">
        <f>TEXT("5107960017141846203","0")</f>
        <v>5107960017141840000</v>
      </c>
    </row>
    <row r="298" spans="1:10" ht="12.75" x14ac:dyDescent="0.2">
      <c r="A298" s="2">
        <v>44492.257071759261</v>
      </c>
      <c r="B298" s="3" t="s">
        <v>23</v>
      </c>
      <c r="C298" s="3" t="s">
        <v>1195</v>
      </c>
      <c r="D298" s="3" t="s">
        <v>817</v>
      </c>
      <c r="E298" s="3" t="s">
        <v>73</v>
      </c>
      <c r="F298" s="3" t="s">
        <v>209</v>
      </c>
      <c r="G298" s="3" t="s">
        <v>871</v>
      </c>
      <c r="H298" s="3" t="s">
        <v>1196</v>
      </c>
      <c r="J298" s="4" t="str">
        <f>TEXT("5107966114677828085","0")</f>
        <v>5107966114677820000</v>
      </c>
    </row>
    <row r="299" spans="1:10" ht="12.75" x14ac:dyDescent="0.2">
      <c r="A299" s="2">
        <v>44492.285694444443</v>
      </c>
      <c r="B299" s="3" t="s">
        <v>23</v>
      </c>
      <c r="C299" s="3" t="s">
        <v>1197</v>
      </c>
      <c r="D299" s="3" t="s">
        <v>1198</v>
      </c>
      <c r="E299" s="3" t="s">
        <v>214</v>
      </c>
      <c r="F299" s="3" t="s">
        <v>467</v>
      </c>
      <c r="G299" s="3" t="s">
        <v>467</v>
      </c>
      <c r="H299" s="3" t="s">
        <v>214</v>
      </c>
      <c r="I299" s="3" t="s">
        <v>46</v>
      </c>
      <c r="J299" s="4" t="str">
        <f>TEXT("5107990840524773529","0")</f>
        <v>5107990840524770000</v>
      </c>
    </row>
    <row r="300" spans="1:10" ht="12.75" x14ac:dyDescent="0.2">
      <c r="A300" s="2">
        <v>44492.285717592589</v>
      </c>
      <c r="B300" s="3" t="s">
        <v>23</v>
      </c>
      <c r="C300" s="3" t="s">
        <v>1197</v>
      </c>
      <c r="D300" s="3" t="s">
        <v>1198</v>
      </c>
      <c r="E300" s="3" t="s">
        <v>214</v>
      </c>
      <c r="F300" s="3" t="s">
        <v>467</v>
      </c>
      <c r="G300" s="3" t="s">
        <v>467</v>
      </c>
      <c r="H300" s="3" t="s">
        <v>214</v>
      </c>
      <c r="I300" s="3" t="s">
        <v>46</v>
      </c>
      <c r="J300" s="4" t="str">
        <f>TEXT("5107990860521908681","0")</f>
        <v>5107990860521900000</v>
      </c>
    </row>
    <row r="301" spans="1:10" ht="12.75" x14ac:dyDescent="0.2">
      <c r="A301" s="2">
        <v>44492.289027777777</v>
      </c>
      <c r="B301" s="3" t="s">
        <v>23</v>
      </c>
      <c r="C301" s="3" t="s">
        <v>1199</v>
      </c>
      <c r="D301" s="3" t="s">
        <v>1200</v>
      </c>
      <c r="E301" s="3" t="s">
        <v>1200</v>
      </c>
      <c r="F301" s="3" t="s">
        <v>1201</v>
      </c>
      <c r="G301" s="3" t="s">
        <v>1202</v>
      </c>
      <c r="H301" s="3" t="s">
        <v>1201</v>
      </c>
      <c r="I301" s="3" t="s">
        <v>46</v>
      </c>
      <c r="J301" s="4" t="str">
        <f>TEXT("5107993725212647328","0")</f>
        <v>5107993725212640000</v>
      </c>
    </row>
    <row r="302" spans="1:10" ht="12.75" x14ac:dyDescent="0.2">
      <c r="A302" s="2">
        <v>44492.302777777775</v>
      </c>
      <c r="B302" s="3" t="s">
        <v>23</v>
      </c>
      <c r="C302" s="3" t="s">
        <v>1203</v>
      </c>
      <c r="D302" s="3" t="s">
        <v>14</v>
      </c>
      <c r="E302" s="3" t="s">
        <v>1204</v>
      </c>
      <c r="F302" s="3" t="s">
        <v>325</v>
      </c>
      <c r="G302" s="3" t="s">
        <v>1205</v>
      </c>
      <c r="H302" s="3" t="s">
        <v>1206</v>
      </c>
      <c r="J302" s="4" t="str">
        <f>TEXT("5108005608421315383","0")</f>
        <v>5108005608421310000</v>
      </c>
    </row>
    <row r="303" spans="1:10" ht="12.75" x14ac:dyDescent="0.2">
      <c r="A303" s="2">
        <v>44492.308067129627</v>
      </c>
      <c r="B303" s="3" t="s">
        <v>23</v>
      </c>
      <c r="C303" s="3" t="s">
        <v>1207</v>
      </c>
      <c r="D303" s="3" t="s">
        <v>1208</v>
      </c>
      <c r="E303" s="3" t="s">
        <v>1209</v>
      </c>
      <c r="F303" s="3" t="s">
        <v>1210</v>
      </c>
      <c r="G303" s="3" t="s">
        <v>52</v>
      </c>
      <c r="H303" s="3" t="s">
        <v>1211</v>
      </c>
      <c r="I303" s="3" t="s">
        <v>1212</v>
      </c>
      <c r="J303" s="4" t="str">
        <f>TEXT("5108010173329810866","0")</f>
        <v>5108010173329810000</v>
      </c>
    </row>
    <row r="304" spans="1:10" ht="12.75" x14ac:dyDescent="0.2">
      <c r="A304" s="2">
        <v>44492.318043981482</v>
      </c>
      <c r="B304" s="3" t="s">
        <v>23</v>
      </c>
      <c r="C304" s="3" t="s">
        <v>1213</v>
      </c>
      <c r="D304" s="3" t="s">
        <v>1037</v>
      </c>
      <c r="E304" s="3" t="s">
        <v>27</v>
      </c>
      <c r="F304" s="3" t="s">
        <v>199</v>
      </c>
      <c r="G304" s="3" t="s">
        <v>27</v>
      </c>
      <c r="H304" s="3" t="s">
        <v>687</v>
      </c>
      <c r="I304" s="3" t="s">
        <v>46</v>
      </c>
      <c r="J304" s="4" t="str">
        <f>TEXT("5108018792426181610","0")</f>
        <v>5108018792426180000</v>
      </c>
    </row>
    <row r="305" spans="1:10" ht="12.75" x14ac:dyDescent="0.2">
      <c r="A305" s="2">
        <v>44492.339745370373</v>
      </c>
      <c r="B305" s="3" t="s">
        <v>23</v>
      </c>
      <c r="C305" s="3" t="s">
        <v>1214</v>
      </c>
      <c r="D305" s="3" t="s">
        <v>1215</v>
      </c>
      <c r="E305" s="3" t="s">
        <v>1216</v>
      </c>
      <c r="F305" s="3" t="s">
        <v>1217</v>
      </c>
      <c r="G305" s="3" t="s">
        <v>230</v>
      </c>
      <c r="H305" s="3" t="s">
        <v>1218</v>
      </c>
      <c r="J305" s="4" t="str">
        <f>TEXT("5108037543973519982","0")</f>
        <v>5108037543973510000</v>
      </c>
    </row>
    <row r="306" spans="1:10" ht="12.75" x14ac:dyDescent="0.2">
      <c r="A306" s="2">
        <v>44492.344085648147</v>
      </c>
      <c r="B306" s="3" t="s">
        <v>23</v>
      </c>
      <c r="C306" s="3" t="s">
        <v>1219</v>
      </c>
      <c r="D306" s="3" t="s">
        <v>1220</v>
      </c>
      <c r="E306" s="3" t="s">
        <v>1221</v>
      </c>
      <c r="F306" s="3" t="s">
        <v>1222</v>
      </c>
      <c r="G306" s="3" t="s">
        <v>1223</v>
      </c>
      <c r="H306" s="3" t="s">
        <v>1224</v>
      </c>
      <c r="J306" s="4" t="str">
        <f>TEXT("5108041296435011763","0")</f>
        <v>5108041296435010000</v>
      </c>
    </row>
    <row r="307" spans="1:10" ht="12.75" x14ac:dyDescent="0.2">
      <c r="A307" s="2">
        <v>44492.357893518521</v>
      </c>
      <c r="B307" s="3" t="s">
        <v>23</v>
      </c>
      <c r="C307" s="3" t="s">
        <v>1225</v>
      </c>
      <c r="D307" s="3" t="s">
        <v>1226</v>
      </c>
      <c r="E307" s="3" t="s">
        <v>1226</v>
      </c>
      <c r="F307" s="3" t="s">
        <v>1226</v>
      </c>
      <c r="G307" s="3" t="s">
        <v>1226</v>
      </c>
      <c r="H307" s="3" t="s">
        <v>1227</v>
      </c>
      <c r="I307" s="3" t="s">
        <v>1228</v>
      </c>
      <c r="J307" s="4" t="str">
        <f>TEXT("5108053225495888886","0")</f>
        <v>5108053225495880000</v>
      </c>
    </row>
    <row r="308" spans="1:10" ht="12.75" x14ac:dyDescent="0.2">
      <c r="A308" s="2">
        <v>44492.370821759258</v>
      </c>
      <c r="B308" s="3" t="s">
        <v>23</v>
      </c>
      <c r="C308" s="3" t="s">
        <v>1229</v>
      </c>
      <c r="D308" s="3" t="s">
        <v>1230</v>
      </c>
      <c r="E308" s="3" t="s">
        <v>859</v>
      </c>
      <c r="F308" s="3" t="s">
        <v>39</v>
      </c>
      <c r="G308" s="3" t="s">
        <v>245</v>
      </c>
      <c r="H308" s="3" t="s">
        <v>1231</v>
      </c>
      <c r="I308" s="3" t="s">
        <v>1232</v>
      </c>
      <c r="J308" s="4" t="str">
        <f>TEXT("5108064393377227745","0")</f>
        <v>5108064393377220000</v>
      </c>
    </row>
    <row r="309" spans="1:10" ht="12.75" x14ac:dyDescent="0.2">
      <c r="A309" s="2">
        <v>44492.413981481484</v>
      </c>
      <c r="B309" s="3" t="s">
        <v>23</v>
      </c>
      <c r="C309" s="3" t="s">
        <v>1233</v>
      </c>
      <c r="D309" s="3" t="s">
        <v>1234</v>
      </c>
      <c r="E309" s="3" t="s">
        <v>1235</v>
      </c>
      <c r="F309" s="3" t="s">
        <v>1236</v>
      </c>
      <c r="G309" s="3" t="s">
        <v>1237</v>
      </c>
      <c r="H309" s="3" t="s">
        <v>1234</v>
      </c>
      <c r="I309" s="3" t="s">
        <v>1238</v>
      </c>
      <c r="J309" s="4" t="str">
        <f>TEXT("5108101689319719255","0")</f>
        <v>5108101689319710000</v>
      </c>
    </row>
    <row r="310" spans="1:10" ht="12.75" x14ac:dyDescent="0.2">
      <c r="A310" s="2">
        <v>44492.414988425924</v>
      </c>
      <c r="B310" s="3" t="s">
        <v>23</v>
      </c>
      <c r="C310" s="3" t="s">
        <v>1081</v>
      </c>
      <c r="D310" s="3" t="s">
        <v>1082</v>
      </c>
      <c r="E310" s="3" t="s">
        <v>1083</v>
      </c>
      <c r="F310" s="3" t="s">
        <v>98</v>
      </c>
      <c r="G310" s="3" t="s">
        <v>533</v>
      </c>
      <c r="H310" s="3" t="s">
        <v>120</v>
      </c>
      <c r="J310" s="4" t="str">
        <f>TEXT("5108102556996317109","0")</f>
        <v>5108102556996310000</v>
      </c>
    </row>
    <row r="311" spans="1:10" ht="12.75" x14ac:dyDescent="0.2">
      <c r="A311" s="2">
        <v>44492.431446759256</v>
      </c>
      <c r="B311" s="3" t="s">
        <v>23</v>
      </c>
      <c r="C311" s="3" t="s">
        <v>705</v>
      </c>
      <c r="D311" s="3" t="s">
        <v>379</v>
      </c>
      <c r="E311" s="3" t="s">
        <v>379</v>
      </c>
      <c r="F311" s="3" t="s">
        <v>706</v>
      </c>
      <c r="G311" s="3" t="s">
        <v>707</v>
      </c>
      <c r="H311" s="3" t="s">
        <v>379</v>
      </c>
      <c r="J311" s="4" t="str">
        <f>TEXT("5108116772421840006","0")</f>
        <v>5108116772421840000</v>
      </c>
    </row>
    <row r="312" spans="1:10" ht="12.75" x14ac:dyDescent="0.2">
      <c r="A312" s="2">
        <v>44492.432650462964</v>
      </c>
      <c r="B312" s="3" t="s">
        <v>23</v>
      </c>
      <c r="C312" s="3" t="s">
        <v>1239</v>
      </c>
      <c r="D312" s="3" t="s">
        <v>1240</v>
      </c>
      <c r="E312" s="3" t="s">
        <v>1241</v>
      </c>
      <c r="F312" s="3" t="s">
        <v>863</v>
      </c>
      <c r="G312" s="3" t="s">
        <v>103</v>
      </c>
      <c r="H312" s="3" t="s">
        <v>863</v>
      </c>
      <c r="J312" s="4" t="str">
        <f>TEXT("5108117804618602353","0")</f>
        <v>5108117804618600000</v>
      </c>
    </row>
    <row r="313" spans="1:10" ht="12.75" x14ac:dyDescent="0.2">
      <c r="A313" s="2">
        <v>44492.43650462963</v>
      </c>
      <c r="B313" s="3" t="s">
        <v>23</v>
      </c>
      <c r="C313" s="3" t="s">
        <v>1242</v>
      </c>
      <c r="D313" s="3" t="s">
        <v>600</v>
      </c>
      <c r="E313" s="3" t="s">
        <v>193</v>
      </c>
      <c r="F313" s="3" t="s">
        <v>427</v>
      </c>
      <c r="G313" s="3" t="s">
        <v>626</v>
      </c>
      <c r="H313" s="3" t="s">
        <v>11</v>
      </c>
      <c r="I313" s="3" t="s">
        <v>46</v>
      </c>
      <c r="J313" s="4" t="str">
        <f>TEXT("5108121147495147793","0")</f>
        <v>5108121147495140000</v>
      </c>
    </row>
    <row r="314" spans="1:10" ht="12.75" x14ac:dyDescent="0.2">
      <c r="A314" s="2">
        <v>44492.436585648145</v>
      </c>
      <c r="B314" s="3" t="s">
        <v>23</v>
      </c>
      <c r="C314" s="3" t="s">
        <v>1243</v>
      </c>
      <c r="D314" s="3" t="s">
        <v>1244</v>
      </c>
      <c r="E314" s="3" t="s">
        <v>1245</v>
      </c>
      <c r="F314" s="3" t="s">
        <v>1246</v>
      </c>
      <c r="G314" s="3" t="s">
        <v>1247</v>
      </c>
      <c r="H314" s="3" t="s">
        <v>1248</v>
      </c>
      <c r="J314" s="4" t="str">
        <f>TEXT("5108121212626562090","0")</f>
        <v>5108121212626560000</v>
      </c>
    </row>
    <row r="315" spans="1:10" ht="12.75" x14ac:dyDescent="0.2">
      <c r="A315" s="2">
        <v>44492.442025462966</v>
      </c>
      <c r="B315" s="3" t="s">
        <v>23</v>
      </c>
      <c r="C315" s="3" t="s">
        <v>1249</v>
      </c>
      <c r="D315" s="3" t="s">
        <v>931</v>
      </c>
      <c r="E315" s="3" t="s">
        <v>932</v>
      </c>
      <c r="F315" s="3" t="s">
        <v>1250</v>
      </c>
      <c r="G315" s="3" t="s">
        <v>1251</v>
      </c>
      <c r="H315" s="3" t="s">
        <v>932</v>
      </c>
      <c r="J315" s="4" t="str">
        <f>TEXT("5108125906225406281","0")</f>
        <v>5108125906225400000</v>
      </c>
    </row>
    <row r="316" spans="1:10" ht="12.75" x14ac:dyDescent="0.2">
      <c r="A316" s="2">
        <v>44492.447268518517</v>
      </c>
      <c r="B316" s="3" t="s">
        <v>23</v>
      </c>
      <c r="C316" s="3" t="s">
        <v>1163</v>
      </c>
      <c r="D316" s="3" t="s">
        <v>320</v>
      </c>
      <c r="E316" s="3" t="s">
        <v>1164</v>
      </c>
      <c r="F316" s="3" t="s">
        <v>183</v>
      </c>
      <c r="G316" s="3" t="s">
        <v>1165</v>
      </c>
      <c r="H316" s="3" t="s">
        <v>452</v>
      </c>
      <c r="J316" s="4" t="str">
        <f>TEXT("5108130442824998718","0")</f>
        <v>5108130442824990000</v>
      </c>
    </row>
    <row r="317" spans="1:10" ht="12.75" x14ac:dyDescent="0.2">
      <c r="A317" s="2">
        <v>44492.452939814815</v>
      </c>
      <c r="B317" s="3" t="s">
        <v>23</v>
      </c>
      <c r="C317" s="3" t="s">
        <v>1252</v>
      </c>
      <c r="D317" s="3" t="s">
        <v>982</v>
      </c>
      <c r="E317" s="3" t="s">
        <v>315</v>
      </c>
      <c r="F317" s="3" t="s">
        <v>292</v>
      </c>
      <c r="G317" s="3" t="s">
        <v>1253</v>
      </c>
      <c r="H317" s="3" t="s">
        <v>1165</v>
      </c>
      <c r="I317" s="3" t="s">
        <v>46</v>
      </c>
      <c r="J317" s="4" t="str">
        <f>TEXT("5108135349618530285","0")</f>
        <v>5108135349618530000</v>
      </c>
    </row>
    <row r="318" spans="1:10" ht="12.75" x14ac:dyDescent="0.2">
      <c r="A318" s="2">
        <v>44492.4846875</v>
      </c>
      <c r="B318" s="3" t="s">
        <v>23</v>
      </c>
      <c r="C318" s="3" t="s">
        <v>1254</v>
      </c>
      <c r="D318" s="3" t="s">
        <v>1080</v>
      </c>
      <c r="E318" s="3" t="s">
        <v>161</v>
      </c>
      <c r="F318" s="3" t="s">
        <v>870</v>
      </c>
      <c r="G318" s="3" t="s">
        <v>39</v>
      </c>
      <c r="H318" s="3" t="s">
        <v>49</v>
      </c>
      <c r="I318" s="3" t="s">
        <v>46</v>
      </c>
      <c r="J318" s="4" t="str">
        <f>TEXT("5108162770525705137","0")</f>
        <v>5108162770525700000</v>
      </c>
    </row>
    <row r="319" spans="1:10" ht="12.75" x14ac:dyDescent="0.2">
      <c r="A319" s="2">
        <v>44492.491064814814</v>
      </c>
      <c r="B319" s="3" t="s">
        <v>23</v>
      </c>
      <c r="C319" s="3" t="s">
        <v>1255</v>
      </c>
      <c r="D319" s="3" t="s">
        <v>1256</v>
      </c>
      <c r="E319" s="3" t="s">
        <v>1257</v>
      </c>
      <c r="F319" s="3" t="s">
        <v>817</v>
      </c>
      <c r="G319" s="3" t="s">
        <v>352</v>
      </c>
      <c r="H319" s="3" t="s">
        <v>146</v>
      </c>
      <c r="I319" s="3" t="s">
        <v>46</v>
      </c>
      <c r="J319" s="4" t="str">
        <f>TEXT("5108168283119568761","0")</f>
        <v>5108168283119560000</v>
      </c>
    </row>
    <row r="320" spans="1:10" ht="12.75" x14ac:dyDescent="0.2">
      <c r="A320" s="2">
        <v>44492.502511574072</v>
      </c>
      <c r="B320" s="3" t="s">
        <v>23</v>
      </c>
      <c r="C320" s="3" t="s">
        <v>1258</v>
      </c>
      <c r="D320" s="3" t="s">
        <v>592</v>
      </c>
      <c r="E320" s="3" t="s">
        <v>1259</v>
      </c>
      <c r="F320" s="3" t="s">
        <v>261</v>
      </c>
      <c r="G320" s="3" t="s">
        <v>261</v>
      </c>
      <c r="H320" s="3" t="s">
        <v>261</v>
      </c>
      <c r="I320" s="3" t="s">
        <v>46</v>
      </c>
      <c r="J320" s="4" t="str">
        <f>TEXT("5108178176117569304","0")</f>
        <v>5108178176117560000</v>
      </c>
    </row>
    <row r="321" spans="1:10" ht="12.75" x14ac:dyDescent="0.2">
      <c r="A321" s="2">
        <v>44492.509282407409</v>
      </c>
      <c r="B321" s="3" t="s">
        <v>23</v>
      </c>
      <c r="C321" s="3" t="s">
        <v>1260</v>
      </c>
      <c r="D321" s="3" t="s">
        <v>1261</v>
      </c>
      <c r="E321" s="3" t="s">
        <v>1262</v>
      </c>
      <c r="F321" s="3" t="s">
        <v>1263</v>
      </c>
      <c r="G321" s="3" t="s">
        <v>1262</v>
      </c>
      <c r="H321" s="3" t="s">
        <v>1264</v>
      </c>
      <c r="I321" s="3" t="s">
        <v>46</v>
      </c>
      <c r="J321" s="4" t="str">
        <f>TEXT("5108184023327473218","0")</f>
        <v>5108184023327470000</v>
      </c>
    </row>
    <row r="322" spans="1:10" ht="12.75" x14ac:dyDescent="0.2">
      <c r="A322" s="2">
        <v>44492.514699074076</v>
      </c>
      <c r="B322" s="3" t="s">
        <v>23</v>
      </c>
      <c r="C322" s="3" t="s">
        <v>1265</v>
      </c>
      <c r="D322" s="3" t="s">
        <v>1266</v>
      </c>
      <c r="E322" s="3" t="s">
        <v>1267</v>
      </c>
      <c r="F322" s="3" t="s">
        <v>663</v>
      </c>
      <c r="G322" s="3" t="s">
        <v>663</v>
      </c>
      <c r="H322" s="3" t="s">
        <v>1268</v>
      </c>
      <c r="I322" s="3" t="s">
        <v>46</v>
      </c>
      <c r="J322" s="4" t="str">
        <f>TEXT("5108188702878292733","0")</f>
        <v>5108188702878290000</v>
      </c>
    </row>
    <row r="323" spans="1:10" ht="12.75" x14ac:dyDescent="0.2">
      <c r="A323" s="2">
        <v>44492.522453703707</v>
      </c>
      <c r="B323" s="3" t="s">
        <v>23</v>
      </c>
      <c r="C323" s="3" t="s">
        <v>1269</v>
      </c>
      <c r="D323" s="3" t="s">
        <v>1270</v>
      </c>
      <c r="E323" s="3" t="s">
        <v>863</v>
      </c>
      <c r="F323" s="3" t="s">
        <v>1270</v>
      </c>
      <c r="G323" s="3" t="s">
        <v>1241</v>
      </c>
      <c r="H323" s="3" t="s">
        <v>1241</v>
      </c>
      <c r="J323" s="4" t="str">
        <f>TEXT("5108195403823282742","0")</f>
        <v>5108195403823280000</v>
      </c>
    </row>
    <row r="324" spans="1:10" ht="12.75" x14ac:dyDescent="0.2">
      <c r="A324" s="2">
        <v>44492.5309375</v>
      </c>
      <c r="B324" s="3" t="s">
        <v>23</v>
      </c>
      <c r="C324" s="3" t="s">
        <v>1271</v>
      </c>
      <c r="D324" s="3" t="s">
        <v>648</v>
      </c>
      <c r="E324" s="3" t="s">
        <v>487</v>
      </c>
      <c r="F324" s="3" t="s">
        <v>349</v>
      </c>
      <c r="G324" s="3" t="s">
        <v>486</v>
      </c>
      <c r="H324" s="3" t="s">
        <v>349</v>
      </c>
      <c r="I324" s="3" t="s">
        <v>1272</v>
      </c>
      <c r="J324" s="4" t="str">
        <f>TEXT("5108202731426963234","0")</f>
        <v>5108202731426960000</v>
      </c>
    </row>
    <row r="325" spans="1:10" ht="12.75" x14ac:dyDescent="0.2">
      <c r="A325" s="2">
        <v>44492.534571759257</v>
      </c>
      <c r="B325" s="3" t="s">
        <v>23</v>
      </c>
      <c r="C325" s="3" t="s">
        <v>1273</v>
      </c>
      <c r="D325" s="3" t="s">
        <v>1274</v>
      </c>
      <c r="E325" s="3" t="s">
        <v>1275</v>
      </c>
      <c r="F325" s="3" t="s">
        <v>1276</v>
      </c>
      <c r="G325" s="3" t="s">
        <v>1137</v>
      </c>
      <c r="H325" s="3" t="s">
        <v>156</v>
      </c>
      <c r="I325" s="3" t="s">
        <v>46</v>
      </c>
      <c r="J325" s="4" t="str">
        <f>TEXT("5108205873512863243","0")</f>
        <v>5108205873512860000</v>
      </c>
    </row>
    <row r="326" spans="1:10" ht="12.75" x14ac:dyDescent="0.2">
      <c r="A326" s="2">
        <v>44492.535370370373</v>
      </c>
      <c r="B326" s="3" t="s">
        <v>23</v>
      </c>
      <c r="C326" s="3" t="s">
        <v>1277</v>
      </c>
      <c r="D326" s="3" t="s">
        <v>600</v>
      </c>
      <c r="E326" s="3" t="s">
        <v>1021</v>
      </c>
      <c r="F326" s="3" t="s">
        <v>112</v>
      </c>
      <c r="G326" s="3" t="s">
        <v>1021</v>
      </c>
      <c r="H326" s="3" t="s">
        <v>114</v>
      </c>
      <c r="J326" s="4" t="str">
        <f>TEXT("5108206566914723292","0")</f>
        <v>5108206566914720000</v>
      </c>
    </row>
    <row r="327" spans="1:10" ht="12.75" x14ac:dyDescent="0.2">
      <c r="A327" s="2">
        <v>44492.538078703707</v>
      </c>
      <c r="B327" s="3" t="s">
        <v>23</v>
      </c>
      <c r="C327" s="3" t="s">
        <v>1278</v>
      </c>
      <c r="D327" s="3" t="s">
        <v>1279</v>
      </c>
      <c r="E327" s="3" t="s">
        <v>227</v>
      </c>
      <c r="F327" s="3" t="s">
        <v>836</v>
      </c>
      <c r="G327" s="3" t="s">
        <v>227</v>
      </c>
      <c r="H327" s="3" t="s">
        <v>11</v>
      </c>
      <c r="J327" s="4" t="str">
        <f>TEXT("5108208900313954066","0")</f>
        <v>5108208900313950000</v>
      </c>
    </row>
    <row r="328" spans="1:10" ht="12.75" x14ac:dyDescent="0.2">
      <c r="A328" s="2">
        <v>44492.538229166668</v>
      </c>
      <c r="B328" s="3" t="s">
        <v>23</v>
      </c>
      <c r="C328" s="3" t="s">
        <v>1278</v>
      </c>
      <c r="D328" s="3" t="s">
        <v>1279</v>
      </c>
      <c r="E328" s="3" t="s">
        <v>227</v>
      </c>
      <c r="F328" s="3" t="s">
        <v>836</v>
      </c>
      <c r="G328" s="3" t="s">
        <v>227</v>
      </c>
      <c r="H328" s="3" t="s">
        <v>11</v>
      </c>
      <c r="J328" s="4" t="str">
        <f>TEXT("5108209020318236427","0")</f>
        <v>5108209020318230000</v>
      </c>
    </row>
    <row r="329" spans="1:10" ht="12.75" x14ac:dyDescent="0.2">
      <c r="A329" s="2">
        <v>44492.55972222222</v>
      </c>
      <c r="B329" s="3" t="s">
        <v>23</v>
      </c>
      <c r="C329" s="3" t="s">
        <v>1280</v>
      </c>
      <c r="D329" s="3" t="s">
        <v>1281</v>
      </c>
      <c r="E329" s="3" t="s">
        <v>1282</v>
      </c>
      <c r="F329" s="3" t="s">
        <v>1282</v>
      </c>
      <c r="G329" s="3" t="s">
        <v>1256</v>
      </c>
      <c r="H329" s="3" t="s">
        <v>209</v>
      </c>
      <c r="J329" s="4" t="str">
        <f>TEXT("5108227601129254606","0")</f>
        <v>5108227601129250000</v>
      </c>
    </row>
    <row r="330" spans="1:10" ht="12.75" x14ac:dyDescent="0.2">
      <c r="A330" s="2">
        <v>44492.567962962959</v>
      </c>
      <c r="B330" s="3" t="s">
        <v>23</v>
      </c>
      <c r="C330" s="3" t="s">
        <v>1258</v>
      </c>
      <c r="D330" s="3" t="s">
        <v>592</v>
      </c>
      <c r="E330" s="3" t="s">
        <v>1259</v>
      </c>
      <c r="F330" s="3" t="s">
        <v>261</v>
      </c>
      <c r="G330" s="3" t="s">
        <v>261</v>
      </c>
      <c r="H330" s="3" t="s">
        <v>261</v>
      </c>
      <c r="I330" s="3" t="s">
        <v>46</v>
      </c>
      <c r="J330" s="4" t="str">
        <f>TEXT("5108234716117931528","0")</f>
        <v>5108234716117930000</v>
      </c>
    </row>
    <row r="331" spans="1:10" ht="12.75" x14ac:dyDescent="0.2">
      <c r="A331" s="2">
        <v>44492.570416666669</v>
      </c>
      <c r="B331" s="3" t="s">
        <v>23</v>
      </c>
      <c r="C331" s="3" t="s">
        <v>1283</v>
      </c>
      <c r="D331" s="3" t="s">
        <v>156</v>
      </c>
      <c r="E331" s="3" t="s">
        <v>156</v>
      </c>
      <c r="F331" s="3" t="s">
        <v>42</v>
      </c>
      <c r="G331" s="3" t="s">
        <v>156</v>
      </c>
      <c r="H331" s="3" t="s">
        <v>1284</v>
      </c>
      <c r="I331" s="3" t="s">
        <v>100</v>
      </c>
      <c r="J331" s="4" t="str">
        <f>TEXT("5108236848126409750","0")</f>
        <v>5108236848126400000</v>
      </c>
    </row>
    <row r="332" spans="1:10" ht="12.75" x14ac:dyDescent="0.2">
      <c r="A332" s="2">
        <v>44492.591921296298</v>
      </c>
      <c r="B332" s="3" t="s">
        <v>23</v>
      </c>
      <c r="C332" s="3" t="s">
        <v>1285</v>
      </c>
      <c r="D332" s="3" t="s">
        <v>1286</v>
      </c>
      <c r="E332" s="3" t="s">
        <v>324</v>
      </c>
      <c r="F332" s="3" t="s">
        <v>1287</v>
      </c>
      <c r="G332" s="3" t="s">
        <v>1275</v>
      </c>
      <c r="H332" s="3" t="s">
        <v>1275</v>
      </c>
      <c r="I332" s="3" t="s">
        <v>46</v>
      </c>
      <c r="J332" s="4" t="str">
        <f>TEXT("5108255424568098977","0")</f>
        <v>5108255424568090000</v>
      </c>
    </row>
    <row r="333" spans="1:10" ht="12.75" x14ac:dyDescent="0.2">
      <c r="A333" s="2">
        <v>44492.601886574077</v>
      </c>
      <c r="B333" s="3" t="s">
        <v>23</v>
      </c>
      <c r="C333" s="3" t="s">
        <v>1288</v>
      </c>
      <c r="D333" s="3" t="s">
        <v>1289</v>
      </c>
      <c r="E333" s="3" t="s">
        <v>317</v>
      </c>
      <c r="F333" s="3" t="s">
        <v>317</v>
      </c>
      <c r="G333" s="3" t="s">
        <v>37</v>
      </c>
      <c r="H333" s="3" t="s">
        <v>131</v>
      </c>
      <c r="I333" s="3" t="s">
        <v>46</v>
      </c>
      <c r="J333" s="4" t="str">
        <f>TEXT("5108264030429405161","0")</f>
        <v>5108264030429400000</v>
      </c>
    </row>
    <row r="334" spans="1:10" ht="12.75" x14ac:dyDescent="0.2">
      <c r="A334" s="2">
        <v>44492.608865740738</v>
      </c>
      <c r="B334" s="3" t="s">
        <v>23</v>
      </c>
      <c r="C334" s="3" t="s">
        <v>1290</v>
      </c>
      <c r="D334" s="3" t="s">
        <v>13</v>
      </c>
      <c r="E334" s="3" t="s">
        <v>765</v>
      </c>
      <c r="F334" s="3" t="s">
        <v>13</v>
      </c>
      <c r="G334" s="3" t="s">
        <v>367</v>
      </c>
      <c r="H334" s="3" t="s">
        <v>787</v>
      </c>
      <c r="I334" s="3" t="s">
        <v>46</v>
      </c>
      <c r="J334" s="4" t="str">
        <f>TEXT("5108270061411864283","0")</f>
        <v>5108270061411860000</v>
      </c>
    </row>
    <row r="335" spans="1:10" ht="12.75" x14ac:dyDescent="0.2">
      <c r="A335" s="2">
        <v>44492.616666666669</v>
      </c>
      <c r="B335" s="3" t="s">
        <v>23</v>
      </c>
      <c r="C335" s="3" t="s">
        <v>1291</v>
      </c>
      <c r="D335" s="3" t="s">
        <v>1292</v>
      </c>
      <c r="E335" s="3" t="s">
        <v>1293</v>
      </c>
      <c r="F335" s="3" t="s">
        <v>1294</v>
      </c>
      <c r="G335" s="3" t="s">
        <v>1295</v>
      </c>
      <c r="H335" s="3" t="s">
        <v>1296</v>
      </c>
      <c r="J335" s="4" t="str">
        <f>TEXT("5108276802025597747","0")</f>
        <v>5108276802025590000</v>
      </c>
    </row>
    <row r="336" spans="1:10" ht="12.75" x14ac:dyDescent="0.2">
      <c r="A336" s="2">
        <v>44492.61917824074</v>
      </c>
      <c r="B336" s="3" t="s">
        <v>29</v>
      </c>
      <c r="C336" s="3" t="s">
        <v>1297</v>
      </c>
      <c r="D336" s="3" t="s">
        <v>1298</v>
      </c>
      <c r="E336" s="3" t="s">
        <v>1299</v>
      </c>
      <c r="F336" s="3" t="s">
        <v>1300</v>
      </c>
      <c r="G336" s="3" t="s">
        <v>1301</v>
      </c>
      <c r="H336" s="3" t="s">
        <v>1301</v>
      </c>
      <c r="J336" s="4" t="str">
        <f>TEXT("5108278970419953163","0")</f>
        <v>5108278970419950000</v>
      </c>
    </row>
    <row r="337" spans="1:10" ht="12.75" x14ac:dyDescent="0.2">
      <c r="A337" s="2">
        <v>44492.622048611112</v>
      </c>
      <c r="B337" s="3" t="s">
        <v>29</v>
      </c>
      <c r="C337" s="3" t="s">
        <v>1302</v>
      </c>
      <c r="D337" s="3" t="s">
        <v>1303</v>
      </c>
      <c r="E337" s="3" t="s">
        <v>167</v>
      </c>
      <c r="F337" s="3" t="s">
        <v>1304</v>
      </c>
      <c r="G337" s="3" t="s">
        <v>792</v>
      </c>
      <c r="H337" s="3" t="s">
        <v>120</v>
      </c>
      <c r="J337" s="4" t="str">
        <f>TEXT("5108281456318012813","0")</f>
        <v>5108281456318010000</v>
      </c>
    </row>
    <row r="338" spans="1:10" ht="12.75" x14ac:dyDescent="0.2">
      <c r="A338" s="2">
        <v>44492.627118055556</v>
      </c>
      <c r="B338" s="3" t="s">
        <v>29</v>
      </c>
      <c r="C338" s="3" t="s">
        <v>1305</v>
      </c>
      <c r="D338" s="3" t="s">
        <v>495</v>
      </c>
      <c r="E338" s="3" t="s">
        <v>123</v>
      </c>
      <c r="F338" s="3" t="s">
        <v>1306</v>
      </c>
      <c r="G338" s="3" t="s">
        <v>1307</v>
      </c>
      <c r="H338" s="3" t="s">
        <v>1308</v>
      </c>
      <c r="J338" s="4" t="str">
        <f>TEXT("5108285837318150032","0")</f>
        <v>5108285837318150000</v>
      </c>
    </row>
    <row r="339" spans="1:10" ht="12.75" x14ac:dyDescent="0.2">
      <c r="A339" s="2">
        <v>44492.628472222219</v>
      </c>
      <c r="B339" s="3" t="s">
        <v>29</v>
      </c>
      <c r="C339" s="3" t="s">
        <v>1309</v>
      </c>
      <c r="D339" s="3" t="s">
        <v>1310</v>
      </c>
      <c r="E339" s="3" t="s">
        <v>299</v>
      </c>
      <c r="F339" s="3" t="s">
        <v>1311</v>
      </c>
      <c r="G339" s="3" t="s">
        <v>1312</v>
      </c>
      <c r="H339" s="3" t="s">
        <v>1312</v>
      </c>
      <c r="I339" s="3" t="s">
        <v>1313</v>
      </c>
      <c r="J339" s="4" t="str">
        <f>TEXT("5108287007216047464","0")</f>
        <v>5108287007216040000</v>
      </c>
    </row>
    <row r="340" spans="1:10" ht="12.75" x14ac:dyDescent="0.2">
      <c r="A340" s="2">
        <v>44492.629328703704</v>
      </c>
      <c r="B340" s="3" t="s">
        <v>29</v>
      </c>
      <c r="C340" s="3" t="s">
        <v>1314</v>
      </c>
      <c r="D340" s="3" t="s">
        <v>1315</v>
      </c>
      <c r="E340" s="3" t="s">
        <v>455</v>
      </c>
      <c r="F340" s="3" t="s">
        <v>1316</v>
      </c>
      <c r="G340" s="3" t="s">
        <v>1317</v>
      </c>
      <c r="H340" s="3" t="s">
        <v>1318</v>
      </c>
      <c r="J340" s="4" t="str">
        <f>TEXT("5108287744415309225","0")</f>
        <v>5108287744415300000</v>
      </c>
    </row>
    <row r="341" spans="1:10" ht="12.75" x14ac:dyDescent="0.2">
      <c r="A341" s="2">
        <v>44492.632199074076</v>
      </c>
      <c r="B341" s="3" t="s">
        <v>29</v>
      </c>
      <c r="C341" s="3" t="s">
        <v>1319</v>
      </c>
      <c r="D341" s="3" t="s">
        <v>77</v>
      </c>
      <c r="E341" s="3" t="s">
        <v>1320</v>
      </c>
      <c r="F341" s="3" t="s">
        <v>1321</v>
      </c>
      <c r="G341" s="3" t="s">
        <v>1176</v>
      </c>
      <c r="H341" s="3" t="s">
        <v>1080</v>
      </c>
      <c r="J341" s="4" t="str">
        <f>TEXT("5108290222508647866","0")</f>
        <v>5108290222508640000</v>
      </c>
    </row>
    <row r="342" spans="1:10" ht="12.75" x14ac:dyDescent="0.2">
      <c r="A342" s="2">
        <v>44492.632430555554</v>
      </c>
      <c r="B342" s="3" t="s">
        <v>29</v>
      </c>
      <c r="C342" s="3" t="s">
        <v>1322</v>
      </c>
      <c r="D342" s="3" t="s">
        <v>1323</v>
      </c>
      <c r="E342" s="3" t="s">
        <v>1324</v>
      </c>
      <c r="F342" s="3" t="s">
        <v>156</v>
      </c>
      <c r="G342" s="3" t="s">
        <v>214</v>
      </c>
      <c r="H342" s="3" t="s">
        <v>156</v>
      </c>
      <c r="J342" s="4" t="str">
        <f>TEXT("5108290422534612978","0")</f>
        <v>5108290422534610000</v>
      </c>
    </row>
    <row r="343" spans="1:10" ht="12.75" x14ac:dyDescent="0.2">
      <c r="A343" s="2">
        <v>44492.632453703707</v>
      </c>
      <c r="B343" s="3" t="s">
        <v>29</v>
      </c>
      <c r="C343" s="3" t="s">
        <v>1325</v>
      </c>
      <c r="D343" s="3" t="s">
        <v>793</v>
      </c>
      <c r="E343" s="3" t="s">
        <v>30</v>
      </c>
      <c r="F343" s="3" t="s">
        <v>1326</v>
      </c>
      <c r="G343" s="3" t="s">
        <v>209</v>
      </c>
      <c r="H343" s="3" t="s">
        <v>249</v>
      </c>
      <c r="J343" s="4" t="str">
        <f>TEXT("5108290446725442728","0")</f>
        <v>5108290446725440000</v>
      </c>
    </row>
    <row r="344" spans="1:10" ht="12.75" x14ac:dyDescent="0.2">
      <c r="A344" s="2">
        <v>44492.632789351854</v>
      </c>
      <c r="B344" s="3" t="s">
        <v>29</v>
      </c>
      <c r="C344" s="3" t="s">
        <v>1327</v>
      </c>
      <c r="D344" s="3" t="s">
        <v>792</v>
      </c>
      <c r="E344" s="3" t="s">
        <v>156</v>
      </c>
      <c r="F344" s="3" t="s">
        <v>792</v>
      </c>
      <c r="G344" s="3" t="s">
        <v>792</v>
      </c>
      <c r="H344" s="3" t="s">
        <v>156</v>
      </c>
      <c r="I344" s="3" t="s">
        <v>1328</v>
      </c>
      <c r="J344" s="4" t="str">
        <f>TEXT("5108290734718113459","0")</f>
        <v>5108290734718110000</v>
      </c>
    </row>
    <row r="345" spans="1:10" ht="12.75" x14ac:dyDescent="0.2">
      <c r="A345" s="2">
        <v>44492.632800925923</v>
      </c>
      <c r="B345" s="3" t="s">
        <v>29</v>
      </c>
      <c r="C345" s="3" t="s">
        <v>1329</v>
      </c>
      <c r="D345" s="3" t="s">
        <v>1330</v>
      </c>
      <c r="E345" s="3" t="s">
        <v>1331</v>
      </c>
      <c r="F345" s="3" t="s">
        <v>1330</v>
      </c>
      <c r="G345" s="3" t="s">
        <v>1330</v>
      </c>
      <c r="H345" s="3" t="s">
        <v>1332</v>
      </c>
      <c r="I345" s="3" t="s">
        <v>46</v>
      </c>
      <c r="J345" s="4" t="str">
        <f>TEXT("5108290749817501863","0")</f>
        <v>5108290749817500000</v>
      </c>
    </row>
    <row r="346" spans="1:10" ht="12.75" x14ac:dyDescent="0.2">
      <c r="A346" s="2">
        <v>44492.633981481478</v>
      </c>
      <c r="B346" s="3" t="s">
        <v>29</v>
      </c>
      <c r="C346" s="3" t="s">
        <v>1333</v>
      </c>
      <c r="D346" s="3" t="s">
        <v>264</v>
      </c>
      <c r="E346" s="3" t="s">
        <v>511</v>
      </c>
      <c r="F346" s="3" t="s">
        <v>264</v>
      </c>
      <c r="G346" s="3" t="s">
        <v>315</v>
      </c>
      <c r="H346" s="3" t="s">
        <v>315</v>
      </c>
      <c r="I346" s="3" t="s">
        <v>46</v>
      </c>
      <c r="J346" s="4" t="str">
        <f>TEXT("5108291760918942275","0")</f>
        <v>5108291760918940000</v>
      </c>
    </row>
    <row r="347" spans="1:10" ht="12.75" x14ac:dyDescent="0.2">
      <c r="A347" s="2">
        <v>44492.634618055556</v>
      </c>
      <c r="B347" s="3" t="s">
        <v>29</v>
      </c>
      <c r="C347" s="3" t="s">
        <v>1334</v>
      </c>
      <c r="D347" s="3" t="s">
        <v>1335</v>
      </c>
      <c r="E347" s="3" t="s">
        <v>369</v>
      </c>
      <c r="F347" s="3" t="s">
        <v>1336</v>
      </c>
      <c r="G347" s="3" t="s">
        <v>86</v>
      </c>
      <c r="H347" s="3" t="s">
        <v>25</v>
      </c>
      <c r="I347" s="3" t="s">
        <v>1337</v>
      </c>
      <c r="J347" s="4" t="str">
        <f>TEXT("5108292315754916326","0")</f>
        <v>5108292315754910000</v>
      </c>
    </row>
    <row r="348" spans="1:10" ht="12.75" x14ac:dyDescent="0.2">
      <c r="A348" s="2">
        <v>44492.639652777776</v>
      </c>
      <c r="B348" s="3" t="s">
        <v>29</v>
      </c>
      <c r="C348" s="3" t="s">
        <v>1338</v>
      </c>
      <c r="D348" s="3" t="s">
        <v>209</v>
      </c>
      <c r="E348" s="3" t="s">
        <v>1339</v>
      </c>
      <c r="F348" s="3" t="s">
        <v>1340</v>
      </c>
      <c r="G348" s="3" t="s">
        <v>209</v>
      </c>
      <c r="H348" s="3" t="s">
        <v>209</v>
      </c>
      <c r="J348" s="4" t="str">
        <f>TEXT("5108296666656332311","0")</f>
        <v>5108296666656330000</v>
      </c>
    </row>
    <row r="349" spans="1:10" ht="12.75" x14ac:dyDescent="0.2">
      <c r="A349" s="2">
        <v>44492.640567129631</v>
      </c>
      <c r="B349" s="3" t="s">
        <v>29</v>
      </c>
      <c r="C349" s="3" t="s">
        <v>1341</v>
      </c>
      <c r="D349" s="3" t="s">
        <v>1342</v>
      </c>
      <c r="E349" s="3" t="s">
        <v>1036</v>
      </c>
      <c r="F349" s="3" t="s">
        <v>1343</v>
      </c>
      <c r="G349" s="3" t="s">
        <v>1078</v>
      </c>
      <c r="H349" s="3" t="s">
        <v>519</v>
      </c>
      <c r="J349" s="4" t="str">
        <f>TEXT("5108297458919839534","0")</f>
        <v>5108297458919830000</v>
      </c>
    </row>
    <row r="350" spans="1:10" ht="12.75" x14ac:dyDescent="0.2">
      <c r="A350" s="2">
        <v>44492.640925925924</v>
      </c>
      <c r="B350" s="3" t="s">
        <v>29</v>
      </c>
      <c r="C350" s="3" t="s">
        <v>1344</v>
      </c>
      <c r="D350" s="3" t="s">
        <v>90</v>
      </c>
      <c r="E350" s="3" t="s">
        <v>892</v>
      </c>
      <c r="F350" s="3" t="s">
        <v>1345</v>
      </c>
      <c r="G350" s="3" t="s">
        <v>1345</v>
      </c>
      <c r="H350" s="3" t="s">
        <v>1346</v>
      </c>
      <c r="I350" s="3" t="s">
        <v>46</v>
      </c>
      <c r="J350" s="4" t="str">
        <f>TEXT("5108297766912367140","0")</f>
        <v>5108297766912360000</v>
      </c>
    </row>
    <row r="351" spans="1:10" ht="12.75" x14ac:dyDescent="0.2">
      <c r="A351" s="2">
        <v>44492.641481481478</v>
      </c>
      <c r="B351" s="3" t="s">
        <v>29</v>
      </c>
      <c r="C351" s="3" t="s">
        <v>1347</v>
      </c>
      <c r="D351" s="3" t="s">
        <v>1348</v>
      </c>
      <c r="E351" s="3" t="s">
        <v>1349</v>
      </c>
      <c r="F351" s="3" t="s">
        <v>1350</v>
      </c>
      <c r="G351" s="3" t="s">
        <v>1348</v>
      </c>
      <c r="H351" s="3" t="s">
        <v>1348</v>
      </c>
      <c r="I351" s="3" t="s">
        <v>46</v>
      </c>
      <c r="J351" s="4" t="str">
        <f>TEXT("5108298242424463726","0")</f>
        <v>5108298242424460000</v>
      </c>
    </row>
    <row r="352" spans="1:10" ht="12.75" x14ac:dyDescent="0.2">
      <c r="A352" s="2">
        <v>44492.644421296296</v>
      </c>
      <c r="B352" s="3" t="s">
        <v>29</v>
      </c>
      <c r="C352" s="3" t="s">
        <v>1351</v>
      </c>
      <c r="D352" s="3" t="s">
        <v>1245</v>
      </c>
      <c r="E352" s="3" t="s">
        <v>1352</v>
      </c>
      <c r="F352" s="3" t="s">
        <v>1353</v>
      </c>
      <c r="G352" s="3" t="s">
        <v>1354</v>
      </c>
      <c r="H352" s="3" t="s">
        <v>1355</v>
      </c>
      <c r="I352" s="3" t="s">
        <v>1356</v>
      </c>
      <c r="J352" s="4" t="str">
        <f>TEXT("5108300787824947497","0")</f>
        <v>5108300787824940000</v>
      </c>
    </row>
    <row r="353" spans="1:10" ht="12.75" x14ac:dyDescent="0.2">
      <c r="A353" s="2">
        <v>44492.645474537036</v>
      </c>
      <c r="B353" s="3" t="s">
        <v>29</v>
      </c>
      <c r="C353" s="3" t="s">
        <v>1357</v>
      </c>
      <c r="D353" s="3" t="s">
        <v>1358</v>
      </c>
      <c r="E353" s="3" t="s">
        <v>1359</v>
      </c>
      <c r="F353" s="3" t="s">
        <v>1360</v>
      </c>
      <c r="G353" s="3" t="s">
        <v>1361</v>
      </c>
      <c r="H353" s="3" t="s">
        <v>1362</v>
      </c>
      <c r="J353" s="4" t="str">
        <f>TEXT("5108301699718681667","0")</f>
        <v>5108301699718680000</v>
      </c>
    </row>
    <row r="354" spans="1:10" ht="12.75" x14ac:dyDescent="0.2">
      <c r="A354" s="2">
        <v>44492.64638888889</v>
      </c>
      <c r="B354" s="3" t="s">
        <v>29</v>
      </c>
      <c r="C354" s="3" t="s">
        <v>1363</v>
      </c>
      <c r="D354" s="3" t="s">
        <v>1364</v>
      </c>
      <c r="E354" s="3" t="s">
        <v>1365</v>
      </c>
      <c r="F354" s="3" t="s">
        <v>1366</v>
      </c>
      <c r="G354" s="3" t="s">
        <v>371</v>
      </c>
      <c r="H354" s="3" t="s">
        <v>1367</v>
      </c>
      <c r="I354" s="3" t="s">
        <v>46</v>
      </c>
      <c r="J354" s="4" t="str">
        <f>TEXT("5108302481204766211","0")</f>
        <v>5108302481204760000</v>
      </c>
    </row>
    <row r="355" spans="1:10" ht="12.75" x14ac:dyDescent="0.2">
      <c r="A355" s="2">
        <v>44492.646747685183</v>
      </c>
      <c r="B355" s="3" t="s">
        <v>23</v>
      </c>
      <c r="C355" s="3" t="s">
        <v>1285</v>
      </c>
      <c r="D355" s="3" t="s">
        <v>1286</v>
      </c>
      <c r="E355" s="3" t="s">
        <v>324</v>
      </c>
      <c r="F355" s="3" t="s">
        <v>1287</v>
      </c>
      <c r="G355" s="3" t="s">
        <v>1275</v>
      </c>
      <c r="H355" s="3" t="s">
        <v>1275</v>
      </c>
      <c r="I355" s="3" t="s">
        <v>46</v>
      </c>
      <c r="J355" s="4" t="str">
        <f>TEXT("5108302793817602549","0")</f>
        <v>5108302793817600000</v>
      </c>
    </row>
    <row r="356" spans="1:10" ht="12.75" x14ac:dyDescent="0.2">
      <c r="A356" s="2">
        <v>44492.652337962965</v>
      </c>
      <c r="B356" s="3" t="s">
        <v>23</v>
      </c>
      <c r="C356" s="3" t="s">
        <v>1368</v>
      </c>
      <c r="D356" s="3" t="s">
        <v>407</v>
      </c>
      <c r="E356" s="3" t="s">
        <v>406</v>
      </c>
      <c r="F356" s="3" t="s">
        <v>1369</v>
      </c>
      <c r="G356" s="3" t="s">
        <v>407</v>
      </c>
      <c r="H356" s="3" t="s">
        <v>1370</v>
      </c>
      <c r="J356" s="4" t="str">
        <f>TEXT("5108307625813086512","0")</f>
        <v>5108307625813080000</v>
      </c>
    </row>
    <row r="357" spans="1:10" ht="12.75" x14ac:dyDescent="0.2">
      <c r="A357" s="2">
        <v>44492.658020833333</v>
      </c>
      <c r="B357" s="3" t="s">
        <v>29</v>
      </c>
      <c r="C357" s="3" t="s">
        <v>1371</v>
      </c>
      <c r="D357" s="3" t="s">
        <v>11</v>
      </c>
      <c r="E357" s="3" t="s">
        <v>146</v>
      </c>
      <c r="F357" s="3" t="s">
        <v>11</v>
      </c>
      <c r="G357" s="3" t="s">
        <v>11</v>
      </c>
      <c r="H357" s="3" t="s">
        <v>11</v>
      </c>
      <c r="I357" s="3" t="s">
        <v>46</v>
      </c>
      <c r="J357" s="4" t="str">
        <f>TEXT("5108312537844449330","0")</f>
        <v>5108312537844440000</v>
      </c>
    </row>
    <row r="358" spans="1:10" ht="12.75" x14ac:dyDescent="0.2">
      <c r="A358" s="2">
        <v>44492.659432870372</v>
      </c>
      <c r="B358" s="3" t="s">
        <v>29</v>
      </c>
      <c r="C358" s="3" t="s">
        <v>1372</v>
      </c>
      <c r="D358" s="3" t="s">
        <v>416</v>
      </c>
      <c r="E358" s="3" t="s">
        <v>390</v>
      </c>
      <c r="F358" s="3" t="s">
        <v>524</v>
      </c>
      <c r="G358" s="3" t="s">
        <v>495</v>
      </c>
      <c r="H358" s="3" t="s">
        <v>1373</v>
      </c>
      <c r="I358" s="3" t="s">
        <v>635</v>
      </c>
      <c r="J358" s="4" t="str">
        <f>TEXT("5108313751223328418","0")</f>
        <v>5108313751223320000</v>
      </c>
    </row>
    <row r="359" spans="1:10" ht="12.75" x14ac:dyDescent="0.2">
      <c r="A359" s="2">
        <v>44492.661087962966</v>
      </c>
      <c r="B359" s="3" t="s">
        <v>29</v>
      </c>
      <c r="C359" s="3" t="s">
        <v>1374</v>
      </c>
      <c r="D359" s="3" t="s">
        <v>1375</v>
      </c>
      <c r="E359" s="3" t="s">
        <v>1376</v>
      </c>
      <c r="F359" s="3" t="s">
        <v>1377</v>
      </c>
      <c r="G359" s="3" t="s">
        <v>1378</v>
      </c>
      <c r="H359" s="3" t="s">
        <v>1379</v>
      </c>
      <c r="J359" s="4" t="str">
        <f>TEXT("5108315186411744066","0")</f>
        <v>5108315186411740000</v>
      </c>
    </row>
    <row r="360" spans="1:10" ht="12.75" x14ac:dyDescent="0.2">
      <c r="A360" s="2">
        <v>44492.663634259261</v>
      </c>
      <c r="B360" s="3" t="s">
        <v>29</v>
      </c>
      <c r="C360" s="3" t="s">
        <v>1380</v>
      </c>
      <c r="D360" s="3" t="s">
        <v>1381</v>
      </c>
      <c r="E360" s="3" t="s">
        <v>1382</v>
      </c>
      <c r="F360" s="3" t="s">
        <v>1383</v>
      </c>
      <c r="G360" s="3" t="s">
        <v>1384</v>
      </c>
      <c r="H360" s="3" t="s">
        <v>1384</v>
      </c>
      <c r="I360" s="3" t="s">
        <v>1272</v>
      </c>
      <c r="J360" s="4" t="str">
        <f>TEXT("5108317388816051144","0")</f>
        <v>5108317388816050000</v>
      </c>
    </row>
    <row r="361" spans="1:10" ht="12.75" x14ac:dyDescent="0.2">
      <c r="A361" s="2">
        <v>44492.66369212963</v>
      </c>
      <c r="B361" s="3" t="s">
        <v>29</v>
      </c>
      <c r="C361" s="3" t="s">
        <v>1385</v>
      </c>
      <c r="D361" s="3" t="s">
        <v>694</v>
      </c>
      <c r="E361" s="3" t="s">
        <v>336</v>
      </c>
      <c r="F361" s="3" t="s">
        <v>1386</v>
      </c>
      <c r="G361" s="3" t="s">
        <v>349</v>
      </c>
      <c r="H361" s="3" t="s">
        <v>482</v>
      </c>
      <c r="I361" s="3" t="s">
        <v>46</v>
      </c>
      <c r="J361" s="4" t="str">
        <f>TEXT("5108317436515837008","0")</f>
        <v>5108317436515830000</v>
      </c>
    </row>
    <row r="362" spans="1:10" ht="12.75" x14ac:dyDescent="0.2">
      <c r="A362" s="2">
        <v>44492.665069444447</v>
      </c>
      <c r="B362" s="3" t="s">
        <v>29</v>
      </c>
      <c r="C362" s="3" t="s">
        <v>1387</v>
      </c>
      <c r="D362" s="3" t="s">
        <v>1388</v>
      </c>
      <c r="E362" s="3" t="s">
        <v>1389</v>
      </c>
      <c r="F362" s="3" t="s">
        <v>1390</v>
      </c>
      <c r="G362" s="3" t="s">
        <v>229</v>
      </c>
      <c r="H362" s="3" t="s">
        <v>1391</v>
      </c>
      <c r="I362" s="3" t="s">
        <v>1392</v>
      </c>
      <c r="J362" s="4" t="str">
        <f>TEXT("5108318621024850074","0")</f>
        <v>5108318621024850000</v>
      </c>
    </row>
    <row r="363" spans="1:10" ht="12.75" x14ac:dyDescent="0.2">
      <c r="A363" s="2">
        <v>44492.672893518517</v>
      </c>
      <c r="B363" s="3" t="s">
        <v>29</v>
      </c>
      <c r="C363" s="3" t="s">
        <v>1393</v>
      </c>
      <c r="D363" s="3" t="s">
        <v>1394</v>
      </c>
      <c r="E363" s="3" t="s">
        <v>928</v>
      </c>
      <c r="F363" s="3" t="s">
        <v>582</v>
      </c>
      <c r="G363" s="3" t="s">
        <v>146</v>
      </c>
      <c r="H363" s="3" t="s">
        <v>788</v>
      </c>
      <c r="I363" s="3" t="s">
        <v>1395</v>
      </c>
      <c r="J363" s="4" t="str">
        <f>TEXT("5108325384175402674","0")</f>
        <v>5108325384175400000</v>
      </c>
    </row>
    <row r="364" spans="1:10" ht="12.75" x14ac:dyDescent="0.2">
      <c r="A364" s="2">
        <v>44492.676099537035</v>
      </c>
      <c r="B364" s="3" t="s">
        <v>29</v>
      </c>
      <c r="C364" s="3" t="s">
        <v>1396</v>
      </c>
      <c r="D364" s="3" t="s">
        <v>95</v>
      </c>
      <c r="E364" s="3" t="s">
        <v>1397</v>
      </c>
      <c r="F364" s="3" t="s">
        <v>893</v>
      </c>
      <c r="G364" s="3" t="s">
        <v>1398</v>
      </c>
      <c r="H364" s="3" t="s">
        <v>146</v>
      </c>
      <c r="J364" s="4" t="str">
        <f>TEXT("5108328144138426027","0")</f>
        <v>5108328144138420000</v>
      </c>
    </row>
    <row r="365" spans="1:10" ht="12.75" x14ac:dyDescent="0.2">
      <c r="A365" s="2">
        <v>44492.682881944442</v>
      </c>
      <c r="B365" s="3" t="s">
        <v>29</v>
      </c>
      <c r="C365" s="3" t="s">
        <v>1399</v>
      </c>
      <c r="D365" s="3" t="s">
        <v>1400</v>
      </c>
      <c r="E365" s="3" t="s">
        <v>1401</v>
      </c>
      <c r="F365" s="3" t="s">
        <v>1402</v>
      </c>
      <c r="G365" s="3" t="s">
        <v>145</v>
      </c>
      <c r="H365" s="3" t="s">
        <v>146</v>
      </c>
      <c r="I365" s="3" t="s">
        <v>1403</v>
      </c>
      <c r="J365" s="4" t="str">
        <f>TEXT("5108334013785728314","0")</f>
        <v>5108334013785720000</v>
      </c>
    </row>
    <row r="366" spans="1:10" ht="12.75" x14ac:dyDescent="0.2">
      <c r="A366" s="2">
        <v>44492.68309027778</v>
      </c>
      <c r="B366" s="3" t="s">
        <v>29</v>
      </c>
      <c r="C366" s="3" t="s">
        <v>1399</v>
      </c>
      <c r="D366" s="3" t="s">
        <v>1400</v>
      </c>
      <c r="E366" s="3" t="s">
        <v>1401</v>
      </c>
      <c r="F366" s="3" t="s">
        <v>1402</v>
      </c>
      <c r="G366" s="3" t="s">
        <v>145</v>
      </c>
      <c r="H366" s="3" t="s">
        <v>146</v>
      </c>
      <c r="I366" s="3" t="s">
        <v>1403</v>
      </c>
      <c r="J366" s="4" t="str">
        <f>TEXT("5108334193788573318","0")</f>
        <v>5108334193788570000</v>
      </c>
    </row>
    <row r="367" spans="1:10" ht="12.75" x14ac:dyDescent="0.2">
      <c r="A367" s="2">
        <v>44492.687569444446</v>
      </c>
      <c r="B367" s="3" t="s">
        <v>29</v>
      </c>
      <c r="C367" s="3" t="s">
        <v>1404</v>
      </c>
      <c r="D367" s="3" t="s">
        <v>54</v>
      </c>
      <c r="E367" s="3" t="s">
        <v>1405</v>
      </c>
      <c r="F367" s="3" t="s">
        <v>99</v>
      </c>
      <c r="G367" s="3" t="s">
        <v>39</v>
      </c>
      <c r="H367" s="3" t="s">
        <v>1406</v>
      </c>
      <c r="J367" s="4" t="str">
        <f>TEXT("5108338067428658244","0")</f>
        <v>5108338067428650000</v>
      </c>
    </row>
    <row r="368" spans="1:10" ht="12.75" x14ac:dyDescent="0.2">
      <c r="A368" s="2">
        <v>44492.690127314818</v>
      </c>
      <c r="B368" s="3" t="s">
        <v>29</v>
      </c>
      <c r="C368" s="3" t="s">
        <v>1407</v>
      </c>
      <c r="D368" s="3" t="s">
        <v>1408</v>
      </c>
      <c r="E368" s="3" t="s">
        <v>379</v>
      </c>
      <c r="F368" s="3" t="s">
        <v>957</v>
      </c>
      <c r="G368" s="3" t="s">
        <v>1409</v>
      </c>
      <c r="H368" s="3" t="s">
        <v>1410</v>
      </c>
      <c r="I368" s="3" t="s">
        <v>1411</v>
      </c>
      <c r="J368" s="4" t="str">
        <f>TEXT("5108340274126313833","0")</f>
        <v>5108340274126310000</v>
      </c>
    </row>
    <row r="369" spans="1:10" ht="12.75" x14ac:dyDescent="0.2">
      <c r="A369" s="2">
        <v>44492.690254629626</v>
      </c>
      <c r="B369" s="3" t="s">
        <v>29</v>
      </c>
      <c r="C369" s="3" t="s">
        <v>1412</v>
      </c>
      <c r="D369" s="3" t="s">
        <v>129</v>
      </c>
      <c r="E369" s="3" t="s">
        <v>37</v>
      </c>
      <c r="F369" s="3" t="s">
        <v>81</v>
      </c>
      <c r="G369" s="3" t="s">
        <v>183</v>
      </c>
      <c r="H369" s="3" t="s">
        <v>37</v>
      </c>
      <c r="I369" s="3" t="s">
        <v>46</v>
      </c>
      <c r="J369" s="4" t="str">
        <f>TEXT("5108340383719371011","0")</f>
        <v>5108340383719370000</v>
      </c>
    </row>
    <row r="370" spans="1:10" ht="12.75" x14ac:dyDescent="0.2">
      <c r="A370" s="2">
        <v>44492.690451388888</v>
      </c>
      <c r="B370" s="3" t="s">
        <v>29</v>
      </c>
      <c r="C370" s="3" t="s">
        <v>1413</v>
      </c>
      <c r="D370" s="3" t="s">
        <v>1414</v>
      </c>
      <c r="E370" s="3" t="s">
        <v>1415</v>
      </c>
      <c r="F370" s="3" t="s">
        <v>1414</v>
      </c>
      <c r="G370" s="3" t="s">
        <v>1416</v>
      </c>
      <c r="H370" s="3" t="s">
        <v>1415</v>
      </c>
      <c r="I370" s="3" t="s">
        <v>46</v>
      </c>
      <c r="J370" s="4" t="str">
        <f>TEXT("5108340559427078869","0")</f>
        <v>5108340559427070000</v>
      </c>
    </row>
    <row r="371" spans="1:10" ht="12.75" x14ac:dyDescent="0.2">
      <c r="A371" s="2">
        <v>44492.69059027778</v>
      </c>
      <c r="B371" s="3" t="s">
        <v>29</v>
      </c>
      <c r="C371" s="3" t="s">
        <v>1407</v>
      </c>
      <c r="D371" s="3" t="s">
        <v>707</v>
      </c>
      <c r="E371" s="3" t="s">
        <v>1417</v>
      </c>
      <c r="F371" s="3" t="s">
        <v>1408</v>
      </c>
      <c r="G371" s="3" t="s">
        <v>1418</v>
      </c>
      <c r="H371" s="3" t="s">
        <v>1419</v>
      </c>
      <c r="I371" s="3" t="s">
        <v>1411</v>
      </c>
      <c r="J371" s="4" t="str">
        <f>TEXT("5108340674126392018","0")</f>
        <v>5108340674126390000</v>
      </c>
    </row>
    <row r="372" spans="1:10" ht="12.75" x14ac:dyDescent="0.2">
      <c r="A372" s="2">
        <v>44492.696284722224</v>
      </c>
      <c r="B372" s="3" t="s">
        <v>29</v>
      </c>
      <c r="C372" s="3" t="s">
        <v>1420</v>
      </c>
      <c r="D372" s="3" t="s">
        <v>1421</v>
      </c>
      <c r="E372" s="3" t="s">
        <v>1422</v>
      </c>
      <c r="F372" s="3" t="s">
        <v>1422</v>
      </c>
      <c r="G372" s="3" t="s">
        <v>1423</v>
      </c>
      <c r="H372" s="3" t="s">
        <v>1424</v>
      </c>
      <c r="I372" s="3" t="s">
        <v>1425</v>
      </c>
      <c r="J372" s="4" t="str">
        <f>TEXT("5108345595117738851","0")</f>
        <v>5108345595117730000</v>
      </c>
    </row>
    <row r="373" spans="1:10" ht="12.75" x14ac:dyDescent="0.2">
      <c r="A373" s="2">
        <v>44492.717870370368</v>
      </c>
      <c r="B373" s="3" t="s">
        <v>29</v>
      </c>
      <c r="C373" s="3" t="s">
        <v>1426</v>
      </c>
      <c r="D373" s="3" t="s">
        <v>1427</v>
      </c>
      <c r="E373" s="3" t="s">
        <v>966</v>
      </c>
      <c r="F373" s="3" t="s">
        <v>372</v>
      </c>
      <c r="G373" s="3" t="s">
        <v>1428</v>
      </c>
      <c r="H373" s="3" t="s">
        <v>793</v>
      </c>
      <c r="I373" s="3" t="s">
        <v>46</v>
      </c>
      <c r="J373" s="4" t="str">
        <f>TEXT("5108364248516479424","0")</f>
        <v>5108364248516470000</v>
      </c>
    </row>
    <row r="374" spans="1:10" ht="12.75" x14ac:dyDescent="0.2">
      <c r="A374" s="2">
        <v>44492.718148148146</v>
      </c>
      <c r="B374" s="3" t="s">
        <v>29</v>
      </c>
      <c r="C374" s="3" t="s">
        <v>1429</v>
      </c>
      <c r="D374" s="3" t="s">
        <v>1430</v>
      </c>
      <c r="E374" s="3" t="s">
        <v>384</v>
      </c>
      <c r="F374" s="3" t="s">
        <v>961</v>
      </c>
      <c r="G374" s="3" t="s">
        <v>1431</v>
      </c>
      <c r="H374" s="3" t="s">
        <v>1432</v>
      </c>
      <c r="I374" s="3" t="s">
        <v>797</v>
      </c>
      <c r="J374" s="4" t="str">
        <f>TEXT("5108364480615271482","0")</f>
        <v>5108364480615270000</v>
      </c>
    </row>
    <row r="375" spans="1:10" ht="12.75" x14ac:dyDescent="0.2">
      <c r="A375" s="2">
        <v>44492.728032407409</v>
      </c>
      <c r="B375" s="3" t="s">
        <v>29</v>
      </c>
      <c r="C375" s="3" t="s">
        <v>1433</v>
      </c>
      <c r="D375" s="3" t="s">
        <v>1434</v>
      </c>
      <c r="E375" s="3" t="s">
        <v>1435</v>
      </c>
      <c r="F375" s="3" t="s">
        <v>1024</v>
      </c>
      <c r="G375" s="3" t="s">
        <v>1185</v>
      </c>
      <c r="H375" s="3" t="s">
        <v>1185</v>
      </c>
      <c r="J375" s="4" t="str">
        <f>TEXT("5108373028417257823","0")</f>
        <v>5108373028417250000</v>
      </c>
    </row>
    <row r="376" spans="1:10" ht="12.75" x14ac:dyDescent="0.2">
      <c r="A376" s="2">
        <v>44492.733263888891</v>
      </c>
      <c r="B376" s="3" t="s">
        <v>29</v>
      </c>
      <c r="C376" s="3" t="s">
        <v>1436</v>
      </c>
      <c r="D376" s="3" t="s">
        <v>1432</v>
      </c>
      <c r="E376" s="3" t="s">
        <v>1437</v>
      </c>
      <c r="F376" s="3" t="s">
        <v>1431</v>
      </c>
      <c r="G376" s="3" t="s">
        <v>1437</v>
      </c>
      <c r="H376" s="3" t="s">
        <v>1431</v>
      </c>
      <c r="I376" s="3" t="s">
        <v>1438</v>
      </c>
      <c r="J376" s="4" t="str">
        <f>TEXT("5108377547813609531","0")</f>
        <v>5108377547813600000</v>
      </c>
    </row>
    <row r="377" spans="1:10" ht="12.75" x14ac:dyDescent="0.2">
      <c r="A377" s="2">
        <v>44492.738159722219</v>
      </c>
      <c r="B377" s="3" t="s">
        <v>29</v>
      </c>
      <c r="C377" s="3" t="s">
        <v>1439</v>
      </c>
      <c r="D377" s="3" t="s">
        <v>458</v>
      </c>
      <c r="E377" s="3" t="s">
        <v>428</v>
      </c>
      <c r="F377" s="3" t="s">
        <v>898</v>
      </c>
      <c r="G377" s="3" t="s">
        <v>428</v>
      </c>
      <c r="H377" s="3" t="s">
        <v>428</v>
      </c>
      <c r="J377" s="4" t="str">
        <f>TEXT("5108381773216471489","0")</f>
        <v>5108381773216470000</v>
      </c>
    </row>
    <row r="378" spans="1:10" ht="12.75" x14ac:dyDescent="0.2">
      <c r="A378" s="2">
        <v>44492.738969907405</v>
      </c>
      <c r="B378" s="3" t="s">
        <v>29</v>
      </c>
      <c r="C378" s="3" t="s">
        <v>1440</v>
      </c>
      <c r="D378" s="3" t="s">
        <v>1441</v>
      </c>
      <c r="E378" s="3" t="s">
        <v>98</v>
      </c>
      <c r="F378" s="3" t="s">
        <v>131</v>
      </c>
      <c r="G378" s="3" t="s">
        <v>131</v>
      </c>
      <c r="H378" s="3" t="s">
        <v>424</v>
      </c>
      <c r="I378" s="3" t="s">
        <v>1442</v>
      </c>
      <c r="J378" s="4" t="str">
        <f>TEXT("5108382473753619786","0")</f>
        <v>5108382473753610000</v>
      </c>
    </row>
    <row r="379" spans="1:10" ht="12.75" x14ac:dyDescent="0.2">
      <c r="A379" s="2">
        <v>44492.743391203701</v>
      </c>
      <c r="B379" s="3" t="s">
        <v>29</v>
      </c>
      <c r="C379" s="3" t="s">
        <v>1443</v>
      </c>
      <c r="D379" s="3" t="s">
        <v>383</v>
      </c>
      <c r="E379" s="3" t="s">
        <v>1444</v>
      </c>
      <c r="F379" s="3" t="s">
        <v>1445</v>
      </c>
      <c r="G379" s="3" t="s">
        <v>1446</v>
      </c>
      <c r="H379" s="3" t="s">
        <v>1447</v>
      </c>
      <c r="I379" s="3" t="s">
        <v>46</v>
      </c>
      <c r="J379" s="4" t="str">
        <f>TEXT("5108386291363935012","0")</f>
        <v>5108386291363930000</v>
      </c>
    </row>
    <row r="380" spans="1:10" ht="12.75" x14ac:dyDescent="0.2">
      <c r="A380" s="2">
        <v>44492.750671296293</v>
      </c>
      <c r="B380" s="3" t="s">
        <v>29</v>
      </c>
      <c r="C380" s="3" t="s">
        <v>1448</v>
      </c>
      <c r="D380" s="3" t="s">
        <v>1449</v>
      </c>
      <c r="E380" s="3" t="s">
        <v>489</v>
      </c>
      <c r="F380" s="3" t="s">
        <v>1450</v>
      </c>
      <c r="G380" s="3" t="s">
        <v>1451</v>
      </c>
      <c r="H380" s="3" t="s">
        <v>88</v>
      </c>
      <c r="I380" s="3" t="s">
        <v>1452</v>
      </c>
      <c r="J380" s="4" t="str">
        <f>TEXT("5108392580334972654","0")</f>
        <v>5108392580334970000</v>
      </c>
    </row>
    <row r="381" spans="1:10" ht="12.75" x14ac:dyDescent="0.2">
      <c r="A381" s="2">
        <v>44492.751273148147</v>
      </c>
      <c r="B381" s="3" t="s">
        <v>29</v>
      </c>
      <c r="C381" s="3" t="s">
        <v>1453</v>
      </c>
      <c r="D381" s="3" t="s">
        <v>1454</v>
      </c>
      <c r="E381" s="3" t="s">
        <v>1455</v>
      </c>
      <c r="F381" s="3" t="s">
        <v>1456</v>
      </c>
      <c r="G381" s="3" t="s">
        <v>1301</v>
      </c>
      <c r="H381" s="3" t="s">
        <v>1457</v>
      </c>
      <c r="J381" s="4" t="str">
        <f>TEXT("5108393106307539866","0")</f>
        <v>5108393106307530000</v>
      </c>
    </row>
    <row r="382" spans="1:10" ht="12.75" x14ac:dyDescent="0.2">
      <c r="A382" s="2">
        <v>44492.751712962963</v>
      </c>
      <c r="B382" s="3" t="s">
        <v>29</v>
      </c>
      <c r="C382" s="3" t="s">
        <v>1458</v>
      </c>
      <c r="D382" s="3" t="s">
        <v>1459</v>
      </c>
      <c r="E382" s="3" t="s">
        <v>600</v>
      </c>
      <c r="F382" s="3" t="s">
        <v>1460</v>
      </c>
      <c r="G382" s="3" t="s">
        <v>316</v>
      </c>
      <c r="H382" s="3" t="s">
        <v>428</v>
      </c>
      <c r="I382" s="3" t="s">
        <v>142</v>
      </c>
      <c r="J382" s="4" t="str">
        <f>TEXT("5108393484287107205","0")</f>
        <v>5108393484287100000</v>
      </c>
    </row>
    <row r="383" spans="1:10" ht="12.75" x14ac:dyDescent="0.2">
      <c r="A383" s="2">
        <v>44492.753159722219</v>
      </c>
      <c r="B383" s="3" t="s">
        <v>29</v>
      </c>
      <c r="C383" s="3" t="s">
        <v>1461</v>
      </c>
      <c r="D383" s="3" t="s">
        <v>1462</v>
      </c>
      <c r="E383" s="3" t="s">
        <v>1463</v>
      </c>
      <c r="F383" s="3" t="s">
        <v>1464</v>
      </c>
      <c r="G383" s="3" t="s">
        <v>1465</v>
      </c>
      <c r="H383" s="3" t="s">
        <v>1466</v>
      </c>
      <c r="I383" s="3" t="s">
        <v>46</v>
      </c>
      <c r="J383" s="4" t="str">
        <f>TEXT("5108394733811852824","0")</f>
        <v>5108394733811850000</v>
      </c>
    </row>
    <row r="384" spans="1:10" ht="12.75" x14ac:dyDescent="0.2">
      <c r="A384" s="2">
        <v>44492.758287037039</v>
      </c>
      <c r="B384" s="3" t="s">
        <v>29</v>
      </c>
      <c r="C384" s="3" t="s">
        <v>1467</v>
      </c>
      <c r="D384" s="3" t="s">
        <v>1468</v>
      </c>
      <c r="E384" s="3" t="s">
        <v>42</v>
      </c>
      <c r="F384" s="3" t="s">
        <v>81</v>
      </c>
      <c r="G384" s="3" t="s">
        <v>1469</v>
      </c>
      <c r="H384" s="3" t="s">
        <v>1470</v>
      </c>
      <c r="J384" s="4" t="str">
        <f>TEXT("5108399165717669984","0")</f>
        <v>5108399165717660000</v>
      </c>
    </row>
    <row r="385" spans="1:10" ht="12.75" x14ac:dyDescent="0.2">
      <c r="A385" s="2">
        <v>44492.759988425925</v>
      </c>
      <c r="B385" s="3" t="s">
        <v>29</v>
      </c>
      <c r="C385" s="3" t="s">
        <v>1471</v>
      </c>
      <c r="D385" s="3" t="s">
        <v>1472</v>
      </c>
      <c r="E385" s="3" t="s">
        <v>1473</v>
      </c>
      <c r="F385" s="3" t="s">
        <v>1474</v>
      </c>
      <c r="G385" s="3" t="s">
        <v>114</v>
      </c>
      <c r="H385" s="3" t="s">
        <v>1475</v>
      </c>
      <c r="J385" s="4" t="str">
        <f>TEXT("5108400637618185697","0")</f>
        <v>5108400637618180000</v>
      </c>
    </row>
    <row r="386" spans="1:10" ht="12.75" x14ac:dyDescent="0.2">
      <c r="A386" s="2">
        <v>44492.760798611111</v>
      </c>
      <c r="B386" s="3" t="s">
        <v>29</v>
      </c>
      <c r="C386" s="3" t="s">
        <v>1476</v>
      </c>
      <c r="D386" s="3" t="s">
        <v>1477</v>
      </c>
      <c r="E386" s="3" t="s">
        <v>350</v>
      </c>
      <c r="F386" s="3" t="s">
        <v>300</v>
      </c>
      <c r="G386" s="3" t="s">
        <v>257</v>
      </c>
      <c r="H386" s="3" t="s">
        <v>506</v>
      </c>
      <c r="I386" s="3" t="s">
        <v>46</v>
      </c>
      <c r="J386" s="4" t="str">
        <f>TEXT("5108401334667940046","0")</f>
        <v>5108401334667940000</v>
      </c>
    </row>
    <row r="387" spans="1:10" ht="12.75" x14ac:dyDescent="0.2">
      <c r="A387" s="2">
        <v>44492.762407407405</v>
      </c>
      <c r="B387" s="3" t="s">
        <v>29</v>
      </c>
      <c r="C387" s="3" t="s">
        <v>1478</v>
      </c>
      <c r="D387" s="3" t="s">
        <v>1479</v>
      </c>
      <c r="E387" s="3" t="s">
        <v>859</v>
      </c>
      <c r="F387" s="3" t="s">
        <v>1480</v>
      </c>
      <c r="G387" s="3" t="s">
        <v>859</v>
      </c>
      <c r="H387" s="3" t="s">
        <v>194</v>
      </c>
      <c r="I387" s="3" t="s">
        <v>731</v>
      </c>
      <c r="J387" s="4" t="str">
        <f>TEXT("5108402725016172417","0")</f>
        <v>5108402725016170000</v>
      </c>
    </row>
    <row r="388" spans="1:10" ht="12.75" x14ac:dyDescent="0.2">
      <c r="A388" s="2">
        <v>44492.77134259259</v>
      </c>
      <c r="B388" s="3" t="s">
        <v>29</v>
      </c>
      <c r="C388" s="3" t="s">
        <v>1481</v>
      </c>
      <c r="D388" s="3" t="s">
        <v>209</v>
      </c>
      <c r="E388" s="3" t="s">
        <v>209</v>
      </c>
      <c r="F388" s="3" t="s">
        <v>22</v>
      </c>
      <c r="G388" s="3" t="s">
        <v>793</v>
      </c>
      <c r="H388" s="3" t="s">
        <v>793</v>
      </c>
      <c r="J388" s="4" t="str">
        <f>TEXT("5108410447191482942","0")</f>
        <v>5108410447191480000</v>
      </c>
    </row>
    <row r="389" spans="1:10" ht="12.75" x14ac:dyDescent="0.2">
      <c r="A389" s="2">
        <v>44492.771898148145</v>
      </c>
      <c r="B389" s="3" t="s">
        <v>23</v>
      </c>
      <c r="C389" s="3" t="s">
        <v>422</v>
      </c>
      <c r="D389" s="3" t="s">
        <v>400</v>
      </c>
      <c r="E389" s="3" t="s">
        <v>423</v>
      </c>
      <c r="F389" s="3" t="s">
        <v>424</v>
      </c>
      <c r="G389" s="3" t="s">
        <v>425</v>
      </c>
      <c r="H389" s="3" t="s">
        <v>120</v>
      </c>
      <c r="I389" s="3" t="s">
        <v>46</v>
      </c>
      <c r="J389" s="4" t="str">
        <f>TEXT("5108410928312884375","0")</f>
        <v>5108410928312880000</v>
      </c>
    </row>
    <row r="390" spans="1:10" ht="12.75" x14ac:dyDescent="0.2">
      <c r="A390" s="2">
        <v>44492.782500000001</v>
      </c>
      <c r="B390" s="3" t="s">
        <v>29</v>
      </c>
      <c r="C390" s="3" t="s">
        <v>1482</v>
      </c>
      <c r="D390" s="3" t="s">
        <v>1483</v>
      </c>
      <c r="E390" s="3" t="s">
        <v>1241</v>
      </c>
      <c r="F390" s="3" t="s">
        <v>1484</v>
      </c>
      <c r="G390" s="3" t="s">
        <v>1483</v>
      </c>
      <c r="H390" s="3" t="s">
        <v>1485</v>
      </c>
      <c r="I390" s="3" t="s">
        <v>760</v>
      </c>
      <c r="J390" s="4" t="str">
        <f>TEXT("5108420081638956667","0")</f>
        <v>5108420081638950000</v>
      </c>
    </row>
    <row r="391" spans="1:10" ht="12.75" x14ac:dyDescent="0.2">
      <c r="A391" s="2">
        <v>44492.788946759261</v>
      </c>
      <c r="B391" s="3" t="s">
        <v>29</v>
      </c>
      <c r="C391" s="3" t="s">
        <v>1486</v>
      </c>
      <c r="D391" s="3" t="s">
        <v>1487</v>
      </c>
      <c r="E391" s="3" t="s">
        <v>1488</v>
      </c>
      <c r="F391" s="3" t="s">
        <v>1489</v>
      </c>
      <c r="G391" s="3" t="s">
        <v>388</v>
      </c>
      <c r="H391" s="3" t="s">
        <v>1037</v>
      </c>
      <c r="J391" s="4" t="str">
        <f>TEXT("5108425658134177733","0")</f>
        <v>5108425658134170000</v>
      </c>
    </row>
    <row r="392" spans="1:10" ht="12.75" x14ac:dyDescent="0.2">
      <c r="A392" s="2">
        <v>44492.7965625</v>
      </c>
      <c r="B392" s="3" t="s">
        <v>29</v>
      </c>
      <c r="C392" s="3" t="s">
        <v>1490</v>
      </c>
      <c r="D392" s="3" t="s">
        <v>607</v>
      </c>
      <c r="E392" s="3" t="s">
        <v>1491</v>
      </c>
      <c r="F392" s="3" t="s">
        <v>1491</v>
      </c>
      <c r="G392" s="3" t="s">
        <v>1492</v>
      </c>
      <c r="H392" s="3" t="s">
        <v>1493</v>
      </c>
      <c r="J392" s="4" t="str">
        <f>TEXT("5108432239617428224","0")</f>
        <v>5108432239617420000</v>
      </c>
    </row>
    <row r="393" spans="1:10" ht="12.75" x14ac:dyDescent="0.2">
      <c r="A393" s="2">
        <v>44492.799062500002</v>
      </c>
      <c r="B393" s="3" t="s">
        <v>29</v>
      </c>
      <c r="C393" s="3" t="s">
        <v>1494</v>
      </c>
      <c r="D393" s="3" t="s">
        <v>161</v>
      </c>
      <c r="E393" s="3" t="s">
        <v>871</v>
      </c>
      <c r="F393" s="3" t="s">
        <v>1495</v>
      </c>
      <c r="G393" s="3" t="s">
        <v>38</v>
      </c>
      <c r="H393" s="3" t="s">
        <v>471</v>
      </c>
      <c r="I393" s="3" t="s">
        <v>1496</v>
      </c>
      <c r="J393" s="4" t="str">
        <f>TEXT("5108434396813305301","0")</f>
        <v>5108434396813300000</v>
      </c>
    </row>
    <row r="394" spans="1:10" ht="12.75" x14ac:dyDescent="0.2">
      <c r="A394" s="2">
        <v>44492.802951388891</v>
      </c>
      <c r="B394" s="3" t="s">
        <v>29</v>
      </c>
      <c r="C394" s="3" t="s">
        <v>1363</v>
      </c>
      <c r="D394" s="3" t="s">
        <v>1364</v>
      </c>
      <c r="E394" s="3" t="s">
        <v>1365</v>
      </c>
      <c r="F394" s="3" t="s">
        <v>1366</v>
      </c>
      <c r="G394" s="3" t="s">
        <v>371</v>
      </c>
      <c r="H394" s="3" t="s">
        <v>1367</v>
      </c>
      <c r="I394" s="3" t="s">
        <v>46</v>
      </c>
      <c r="J394" s="4" t="str">
        <f>TEXT("5108437759719369044","0")</f>
        <v>5108437759719360000</v>
      </c>
    </row>
    <row r="395" spans="1:10" ht="12.75" x14ac:dyDescent="0.2">
      <c r="A395" s="2">
        <v>44492.813009259262</v>
      </c>
      <c r="B395" s="3" t="s">
        <v>29</v>
      </c>
      <c r="C395" s="3" t="s">
        <v>1497</v>
      </c>
      <c r="D395" s="3" t="s">
        <v>366</v>
      </c>
      <c r="E395" s="3" t="s">
        <v>475</v>
      </c>
      <c r="F395" s="3" t="s">
        <v>1498</v>
      </c>
      <c r="G395" s="3" t="s">
        <v>364</v>
      </c>
      <c r="H395" s="3" t="s">
        <v>475</v>
      </c>
      <c r="I395" s="3" t="s">
        <v>46</v>
      </c>
      <c r="J395" s="4" t="str">
        <f>TEXT("5108446440419899993","0")</f>
        <v>5108446440419890000</v>
      </c>
    </row>
    <row r="396" spans="1:10" ht="12.75" x14ac:dyDescent="0.2">
      <c r="A396" s="2">
        <v>44492.816192129627</v>
      </c>
      <c r="B396" s="3" t="s">
        <v>29</v>
      </c>
      <c r="C396" s="3" t="s">
        <v>1499</v>
      </c>
      <c r="D396" s="3" t="s">
        <v>1500</v>
      </c>
      <c r="E396" s="3" t="s">
        <v>1501</v>
      </c>
      <c r="F396" s="3" t="s">
        <v>1502</v>
      </c>
      <c r="G396" s="3" t="s">
        <v>1503</v>
      </c>
      <c r="H396" s="3" t="s">
        <v>1504</v>
      </c>
      <c r="J396" s="4" t="str">
        <f>TEXT("5108449195935054600","0")</f>
        <v>5108449195935050000</v>
      </c>
    </row>
    <row r="397" spans="1:10" ht="12.75" x14ac:dyDescent="0.2">
      <c r="A397" s="2">
        <v>44492.832418981481</v>
      </c>
      <c r="B397" s="3" t="s">
        <v>29</v>
      </c>
      <c r="C397" s="3" t="s">
        <v>1505</v>
      </c>
      <c r="D397" s="3" t="s">
        <v>666</v>
      </c>
      <c r="E397" s="3" t="s">
        <v>666</v>
      </c>
      <c r="F397" s="3" t="s">
        <v>1506</v>
      </c>
      <c r="G397" s="3" t="s">
        <v>1506</v>
      </c>
      <c r="H397" s="3" t="s">
        <v>666</v>
      </c>
      <c r="I397" s="3" t="s">
        <v>46</v>
      </c>
      <c r="J397" s="4" t="str">
        <f>TEXT("5108463214017713716","0")</f>
        <v>5108463214017710000</v>
      </c>
    </row>
    <row r="398" spans="1:10" ht="12.75" x14ac:dyDescent="0.2">
      <c r="A398" s="2">
        <v>44492.839942129627</v>
      </c>
      <c r="B398" s="3" t="s">
        <v>29</v>
      </c>
      <c r="C398" s="3" t="s">
        <v>1507</v>
      </c>
      <c r="D398" s="3" t="s">
        <v>1508</v>
      </c>
      <c r="E398" s="3" t="s">
        <v>1509</v>
      </c>
      <c r="F398" s="3" t="s">
        <v>735</v>
      </c>
      <c r="G398" s="3" t="s">
        <v>735</v>
      </c>
      <c r="H398" s="3" t="s">
        <v>736</v>
      </c>
      <c r="I398" s="3" t="s">
        <v>1510</v>
      </c>
      <c r="J398" s="4" t="str">
        <f>TEXT("5108469710279721321","0")</f>
        <v>5108469710279720000</v>
      </c>
    </row>
    <row r="399" spans="1:10" ht="12.75" x14ac:dyDescent="0.2">
      <c r="A399" s="2">
        <v>44492.85087962963</v>
      </c>
      <c r="B399" s="3" t="s">
        <v>23</v>
      </c>
      <c r="C399" s="3" t="s">
        <v>1511</v>
      </c>
      <c r="D399" s="3" t="s">
        <v>1512</v>
      </c>
      <c r="E399" s="3" t="s">
        <v>1512</v>
      </c>
      <c r="F399" s="3" t="s">
        <v>1513</v>
      </c>
      <c r="G399" s="3" t="s">
        <v>456</v>
      </c>
      <c r="H399" s="3" t="s">
        <v>1514</v>
      </c>
      <c r="J399" s="4" t="str">
        <f>TEXT("5108479166543317936","0")</f>
        <v>5108479166543310000</v>
      </c>
    </row>
    <row r="400" spans="1:10" ht="12.75" x14ac:dyDescent="0.2">
      <c r="A400" s="2">
        <v>44492.85392361111</v>
      </c>
      <c r="B400" s="3" t="s">
        <v>29</v>
      </c>
      <c r="C400" s="3" t="s">
        <v>1515</v>
      </c>
      <c r="D400" s="3" t="s">
        <v>264</v>
      </c>
      <c r="E400" s="3" t="s">
        <v>428</v>
      </c>
      <c r="F400" s="3" t="s">
        <v>475</v>
      </c>
      <c r="G400" s="3" t="s">
        <v>263</v>
      </c>
      <c r="H400" s="3" t="s">
        <v>427</v>
      </c>
      <c r="I400" s="3" t="s">
        <v>1516</v>
      </c>
      <c r="J400" s="4" t="str">
        <f>TEXT("5108481791224660688","0")</f>
        <v>5108481791224660000</v>
      </c>
    </row>
    <row r="401" spans="1:10" ht="12.75" x14ac:dyDescent="0.2">
      <c r="A401" s="2">
        <v>44492.854548611111</v>
      </c>
      <c r="B401" s="3" t="s">
        <v>29</v>
      </c>
      <c r="C401" s="3" t="s">
        <v>1517</v>
      </c>
      <c r="D401" s="3" t="s">
        <v>1518</v>
      </c>
      <c r="E401" s="3" t="s">
        <v>49</v>
      </c>
      <c r="F401" s="3" t="s">
        <v>383</v>
      </c>
      <c r="G401" s="3" t="s">
        <v>1519</v>
      </c>
      <c r="H401" s="3" t="s">
        <v>1520</v>
      </c>
      <c r="J401" s="4" t="str">
        <f>TEXT("5108482333417500870","0")</f>
        <v>5108482333417500000</v>
      </c>
    </row>
    <row r="402" spans="1:10" ht="12.75" x14ac:dyDescent="0.2">
      <c r="A402" s="2">
        <v>44492.859710648147</v>
      </c>
      <c r="B402" s="3" t="s">
        <v>29</v>
      </c>
      <c r="C402" s="3" t="s">
        <v>1521</v>
      </c>
      <c r="D402" s="3" t="s">
        <v>898</v>
      </c>
      <c r="E402" s="3" t="s">
        <v>1522</v>
      </c>
      <c r="F402" s="3" t="s">
        <v>1523</v>
      </c>
      <c r="G402" s="3" t="s">
        <v>1524</v>
      </c>
      <c r="H402" s="3" t="s">
        <v>1091</v>
      </c>
      <c r="J402" s="4" t="str">
        <f>TEXT("5108486793758950176","0")</f>
        <v>5108486793758950000</v>
      </c>
    </row>
    <row r="403" spans="1:10" ht="12.75" x14ac:dyDescent="0.2">
      <c r="A403" s="2">
        <v>44492.873865740738</v>
      </c>
      <c r="B403" s="3" t="s">
        <v>23</v>
      </c>
      <c r="C403" s="3" t="s">
        <v>1525</v>
      </c>
      <c r="D403" s="3" t="s">
        <v>1526</v>
      </c>
      <c r="E403" s="3" t="s">
        <v>1527</v>
      </c>
      <c r="F403" s="3" t="s">
        <v>1456</v>
      </c>
      <c r="G403" s="3" t="s">
        <v>600</v>
      </c>
      <c r="H403" s="3" t="s">
        <v>990</v>
      </c>
      <c r="I403" s="3" t="s">
        <v>100</v>
      </c>
      <c r="J403" s="4" t="str">
        <f>TEXT("5108499020629613128","0")</f>
        <v>5108499020629610000</v>
      </c>
    </row>
    <row r="404" spans="1:10" ht="12.75" x14ac:dyDescent="0.2">
      <c r="A404" s="2">
        <v>44492.878240740742</v>
      </c>
      <c r="B404" s="3" t="s">
        <v>29</v>
      </c>
      <c r="C404" s="3" t="s">
        <v>1528</v>
      </c>
      <c r="D404" s="3" t="s">
        <v>793</v>
      </c>
      <c r="E404" s="3" t="s">
        <v>1529</v>
      </c>
      <c r="F404" s="3" t="s">
        <v>1530</v>
      </c>
      <c r="G404" s="3" t="s">
        <v>1531</v>
      </c>
      <c r="H404" s="3" t="s">
        <v>1532</v>
      </c>
      <c r="I404" s="3" t="s">
        <v>1533</v>
      </c>
      <c r="J404" s="4" t="str">
        <f>TEXT("5108502802931719189","0")</f>
        <v>5108502802931710000</v>
      </c>
    </row>
    <row r="405" spans="1:10" ht="12.75" x14ac:dyDescent="0.2">
      <c r="A405" s="2">
        <v>44492.896550925929</v>
      </c>
      <c r="B405" s="3" t="s">
        <v>29</v>
      </c>
      <c r="C405" s="3" t="s">
        <v>1534</v>
      </c>
      <c r="D405" s="3" t="s">
        <v>1535</v>
      </c>
      <c r="E405" s="3" t="s">
        <v>1536</v>
      </c>
      <c r="F405" s="3" t="s">
        <v>660</v>
      </c>
      <c r="G405" s="3" t="s">
        <v>1537</v>
      </c>
      <c r="H405" s="3" t="s">
        <v>1538</v>
      </c>
      <c r="J405" s="4" t="str">
        <f>TEXT("5108518621314727736","0")</f>
        <v>5108518621314720000</v>
      </c>
    </row>
    <row r="406" spans="1:10" ht="12.75" x14ac:dyDescent="0.2">
      <c r="A406" s="2">
        <v>44492.900393518517</v>
      </c>
      <c r="B406" s="3" t="s">
        <v>29</v>
      </c>
      <c r="C406" s="3" t="s">
        <v>1539</v>
      </c>
      <c r="D406" s="3" t="s">
        <v>1540</v>
      </c>
      <c r="E406" s="3" t="s">
        <v>1541</v>
      </c>
      <c r="F406" s="3" t="s">
        <v>1542</v>
      </c>
      <c r="G406" s="3" t="s">
        <v>1543</v>
      </c>
      <c r="H406" s="3" t="s">
        <v>1544</v>
      </c>
      <c r="I406" s="3" t="s">
        <v>1545</v>
      </c>
      <c r="J406" s="4" t="str">
        <f>TEXT("5108521945513759847","0")</f>
        <v>5108521945513750000</v>
      </c>
    </row>
    <row r="407" spans="1:10" ht="12.75" x14ac:dyDescent="0.2">
      <c r="A407" s="2">
        <v>44492.902916666666</v>
      </c>
      <c r="B407" s="3" t="s">
        <v>29</v>
      </c>
      <c r="C407" s="3" t="s">
        <v>1546</v>
      </c>
      <c r="D407" s="3" t="s">
        <v>1547</v>
      </c>
      <c r="E407" s="3" t="s">
        <v>1548</v>
      </c>
      <c r="F407" s="3" t="s">
        <v>1549</v>
      </c>
      <c r="G407" s="3" t="s">
        <v>1550</v>
      </c>
      <c r="H407" s="3" t="s">
        <v>1551</v>
      </c>
      <c r="J407" s="4" t="str">
        <f>TEXT("5108524122718036641","0")</f>
        <v>5108524122718030000</v>
      </c>
    </row>
    <row r="408" spans="1:10" ht="12.75" x14ac:dyDescent="0.2">
      <c r="A408" s="2">
        <v>44492.910821759258</v>
      </c>
      <c r="B408" s="3" t="s">
        <v>29</v>
      </c>
      <c r="C408" s="3" t="s">
        <v>1552</v>
      </c>
      <c r="D408" s="3" t="s">
        <v>1487</v>
      </c>
      <c r="E408" s="3" t="s">
        <v>1553</v>
      </c>
      <c r="F408" s="3" t="s">
        <v>1554</v>
      </c>
      <c r="G408" s="3" t="s">
        <v>1555</v>
      </c>
      <c r="H408" s="3" t="s">
        <v>1556</v>
      </c>
      <c r="I408" s="3" t="s">
        <v>1557</v>
      </c>
      <c r="J408" s="4" t="str">
        <f>TEXT("5108530959212814839","0")</f>
        <v>5108530959212810000</v>
      </c>
    </row>
    <row r="409" spans="1:10" ht="12.75" x14ac:dyDescent="0.2">
      <c r="A409" s="2">
        <v>44492.912164351852</v>
      </c>
      <c r="B409" s="3" t="s">
        <v>29</v>
      </c>
      <c r="C409" s="3" t="s">
        <v>1558</v>
      </c>
      <c r="D409" s="3" t="s">
        <v>893</v>
      </c>
      <c r="E409" s="3" t="s">
        <v>266</v>
      </c>
      <c r="F409" s="3" t="s">
        <v>287</v>
      </c>
      <c r="G409" s="3" t="s">
        <v>581</v>
      </c>
      <c r="H409" s="3" t="s">
        <v>266</v>
      </c>
      <c r="I409" s="3" t="s">
        <v>46</v>
      </c>
      <c r="J409" s="4" t="str">
        <f>TEXT("5108532115519185703","0")</f>
        <v>5108532115519180000</v>
      </c>
    </row>
    <row r="410" spans="1:10" ht="12.75" x14ac:dyDescent="0.2">
      <c r="A410" s="2">
        <v>44492.923587962963</v>
      </c>
      <c r="B410" s="3" t="s">
        <v>29</v>
      </c>
      <c r="C410" s="3" t="s">
        <v>1559</v>
      </c>
      <c r="D410" s="3" t="s">
        <v>1560</v>
      </c>
      <c r="E410" s="3" t="s">
        <v>1560</v>
      </c>
      <c r="F410" s="3" t="s">
        <v>66</v>
      </c>
      <c r="G410" s="3" t="s">
        <v>1561</v>
      </c>
      <c r="H410" s="3" t="s">
        <v>1562</v>
      </c>
      <c r="I410" s="3" t="s">
        <v>1563</v>
      </c>
      <c r="J410" s="4" t="str">
        <f>TEXT("5108541989635772597","0")</f>
        <v>5108541989635770000</v>
      </c>
    </row>
    <row r="411" spans="1:10" ht="12.75" x14ac:dyDescent="0.2">
      <c r="A411" s="2">
        <v>44492.958506944444</v>
      </c>
      <c r="B411" s="3" t="s">
        <v>29</v>
      </c>
      <c r="C411" s="3" t="s">
        <v>1564</v>
      </c>
      <c r="D411" s="3" t="s">
        <v>1565</v>
      </c>
      <c r="E411" s="3" t="s">
        <v>1566</v>
      </c>
      <c r="F411" s="3" t="s">
        <v>1289</v>
      </c>
      <c r="G411" s="3" t="s">
        <v>1567</v>
      </c>
      <c r="H411" s="3" t="s">
        <v>1568</v>
      </c>
      <c r="J411" s="4" t="str">
        <f>TEXT("5108572152318632838","0")</f>
        <v>5108572152318630000</v>
      </c>
    </row>
    <row r="412" spans="1:10" ht="12.75" x14ac:dyDescent="0.2">
      <c r="A412" s="2">
        <v>44492.966886574075</v>
      </c>
      <c r="B412" s="3" t="s">
        <v>29</v>
      </c>
      <c r="C412" s="3" t="s">
        <v>1569</v>
      </c>
      <c r="D412" s="3" t="s">
        <v>1570</v>
      </c>
      <c r="E412" s="3" t="s">
        <v>764</v>
      </c>
      <c r="F412" s="3" t="s">
        <v>1571</v>
      </c>
      <c r="G412" s="3" t="s">
        <v>1571</v>
      </c>
      <c r="H412" s="3" t="s">
        <v>98</v>
      </c>
      <c r="I412" s="3" t="s">
        <v>46</v>
      </c>
      <c r="J412" s="4" t="str">
        <f>TEXT("5108579397518586448","0")</f>
        <v>5108579397518580000</v>
      </c>
    </row>
    <row r="413" spans="1:10" ht="12.75" x14ac:dyDescent="0.2">
      <c r="A413" s="2">
        <v>44492.97079861111</v>
      </c>
      <c r="B413" s="3" t="s">
        <v>29</v>
      </c>
      <c r="C413" s="3" t="s">
        <v>1572</v>
      </c>
      <c r="D413" s="3" t="s">
        <v>1573</v>
      </c>
      <c r="E413" s="3" t="s">
        <v>1574</v>
      </c>
      <c r="F413" s="3" t="s">
        <v>894</v>
      </c>
      <c r="G413" s="3" t="s">
        <v>1575</v>
      </c>
      <c r="H413" s="3" t="s">
        <v>1576</v>
      </c>
      <c r="I413" s="3" t="s">
        <v>46</v>
      </c>
      <c r="J413" s="4" t="str">
        <f>TEXT("5108582770643882350","0")</f>
        <v>5108582770643880000</v>
      </c>
    </row>
    <row r="414" spans="1:10" ht="12.75" x14ac:dyDescent="0.2">
      <c r="A414" s="2">
        <v>44492.972881944443</v>
      </c>
      <c r="B414" s="3" t="s">
        <v>23</v>
      </c>
      <c r="C414" s="3" t="s">
        <v>1577</v>
      </c>
      <c r="D414" s="3" t="s">
        <v>1578</v>
      </c>
      <c r="E414" s="3" t="s">
        <v>631</v>
      </c>
      <c r="F414" s="3" t="s">
        <v>1578</v>
      </c>
      <c r="G414" s="3" t="s">
        <v>1579</v>
      </c>
      <c r="H414" s="3" t="s">
        <v>631</v>
      </c>
      <c r="J414" s="4" t="str">
        <f>TEXT("5108584570396114023","0")</f>
        <v>5108584570396110000</v>
      </c>
    </row>
    <row r="415" spans="1:10" ht="12.75" x14ac:dyDescent="0.2">
      <c r="A415" s="2">
        <v>44492.980949074074</v>
      </c>
      <c r="B415" s="3" t="s">
        <v>29</v>
      </c>
      <c r="C415" s="3" t="s">
        <v>1580</v>
      </c>
      <c r="D415" s="3" t="s">
        <v>156</v>
      </c>
      <c r="E415" s="3" t="s">
        <v>156</v>
      </c>
      <c r="F415" s="3" t="s">
        <v>1581</v>
      </c>
      <c r="G415" s="3" t="s">
        <v>156</v>
      </c>
      <c r="H415" s="3" t="s">
        <v>1582</v>
      </c>
      <c r="I415" s="3" t="s">
        <v>46</v>
      </c>
      <c r="J415" s="4" t="str">
        <f>TEXT("5108591541163072636","0")</f>
        <v>5108591541163070000</v>
      </c>
    </row>
    <row r="416" spans="1:10" ht="12.75" x14ac:dyDescent="0.2">
      <c r="A416" s="2">
        <v>44493.015439814815</v>
      </c>
      <c r="B416" s="3" t="s">
        <v>29</v>
      </c>
      <c r="C416" s="3" t="s">
        <v>1583</v>
      </c>
      <c r="D416" s="3" t="s">
        <v>1584</v>
      </c>
      <c r="E416" s="3" t="s">
        <v>114</v>
      </c>
      <c r="F416" s="3" t="s">
        <v>1585</v>
      </c>
      <c r="G416" s="3" t="s">
        <v>1586</v>
      </c>
      <c r="H416" s="3" t="s">
        <v>1587</v>
      </c>
      <c r="I416" s="3" t="s">
        <v>46</v>
      </c>
      <c r="J416" s="4" t="str">
        <f>TEXT("5108621344185759013","0")</f>
        <v>5108621344185750000</v>
      </c>
    </row>
    <row r="417" spans="1:10" ht="12.75" x14ac:dyDescent="0.2">
      <c r="A417" s="2">
        <v>44493.016250000001</v>
      </c>
      <c r="B417" s="3" t="s">
        <v>29</v>
      </c>
      <c r="C417" s="3" t="s">
        <v>1338</v>
      </c>
      <c r="D417" s="3" t="s">
        <v>209</v>
      </c>
      <c r="E417" s="3" t="s">
        <v>1339</v>
      </c>
      <c r="F417" s="3" t="s">
        <v>1340</v>
      </c>
      <c r="G417" s="3" t="s">
        <v>209</v>
      </c>
      <c r="H417" s="3" t="s">
        <v>209</v>
      </c>
      <c r="J417" s="4" t="str">
        <f>TEXT("5108622046658314023","0")</f>
        <v>5108622046658310000</v>
      </c>
    </row>
    <row r="418" spans="1:10" ht="12.75" x14ac:dyDescent="0.2">
      <c r="A418" s="2">
        <v>44493.023414351854</v>
      </c>
      <c r="B418" s="3" t="s">
        <v>29</v>
      </c>
      <c r="C418" s="3" t="s">
        <v>1588</v>
      </c>
      <c r="D418" s="3" t="s">
        <v>1589</v>
      </c>
      <c r="E418" s="3" t="s">
        <v>1590</v>
      </c>
      <c r="F418" s="3" t="s">
        <v>1591</v>
      </c>
      <c r="G418" s="3" t="s">
        <v>1592</v>
      </c>
      <c r="H418" s="3" t="s">
        <v>1593</v>
      </c>
      <c r="I418" s="3" t="s">
        <v>46</v>
      </c>
      <c r="J418" s="4" t="str">
        <f>TEXT("5108628231412836672","0")</f>
        <v>5108628231412830000</v>
      </c>
    </row>
    <row r="419" spans="1:10" ht="12.75" x14ac:dyDescent="0.2">
      <c r="A419" s="2">
        <v>44493.037881944445</v>
      </c>
      <c r="B419" s="3" t="s">
        <v>23</v>
      </c>
      <c r="C419" s="3" t="s">
        <v>1594</v>
      </c>
      <c r="D419" s="3" t="s">
        <v>1595</v>
      </c>
      <c r="E419" s="3" t="s">
        <v>1596</v>
      </c>
      <c r="F419" s="3" t="s">
        <v>1003</v>
      </c>
      <c r="G419" s="3" t="s">
        <v>1597</v>
      </c>
      <c r="H419" s="3" t="s">
        <v>379</v>
      </c>
      <c r="I419" s="3" t="s">
        <v>1598</v>
      </c>
      <c r="J419" s="4" t="str">
        <f>TEXT("5108640736419600771","0")</f>
        <v>5108640736419600000</v>
      </c>
    </row>
    <row r="420" spans="1:10" ht="12.75" x14ac:dyDescent="0.2">
      <c r="A420" s="2">
        <v>44493.055925925924</v>
      </c>
      <c r="B420" s="3" t="s">
        <v>29</v>
      </c>
      <c r="C420" s="3" t="s">
        <v>1599</v>
      </c>
      <c r="D420" s="3" t="s">
        <v>146</v>
      </c>
      <c r="E420" s="3" t="s">
        <v>1398</v>
      </c>
      <c r="F420" s="3" t="s">
        <v>146</v>
      </c>
      <c r="G420" s="3" t="s">
        <v>146</v>
      </c>
      <c r="H420" s="3" t="s">
        <v>146</v>
      </c>
      <c r="J420" s="4" t="str">
        <f>TEXT("5108656322792245583","0")</f>
        <v>5108656322792240000</v>
      </c>
    </row>
    <row r="421" spans="1:10" ht="12.75" x14ac:dyDescent="0.2">
      <c r="A421" s="2">
        <v>44493.112280092595</v>
      </c>
      <c r="B421" s="3" t="s">
        <v>29</v>
      </c>
      <c r="C421" s="3" t="s">
        <v>1600</v>
      </c>
      <c r="D421" s="3" t="s">
        <v>1301</v>
      </c>
      <c r="E421" s="3" t="s">
        <v>428</v>
      </c>
      <c r="F421" s="3" t="s">
        <v>428</v>
      </c>
      <c r="G421" s="3" t="s">
        <v>427</v>
      </c>
      <c r="H421" s="3" t="s">
        <v>428</v>
      </c>
      <c r="J421" s="4" t="str">
        <f>TEXT("5108705011456507517","0")</f>
        <v>5108705011456500000</v>
      </c>
    </row>
    <row r="422" spans="1:10" ht="12.75" x14ac:dyDescent="0.2">
      <c r="A422" s="2">
        <v>44493.163402777776</v>
      </c>
      <c r="B422" s="3" t="s">
        <v>23</v>
      </c>
      <c r="C422" s="3" t="s">
        <v>862</v>
      </c>
      <c r="D422" s="3" t="s">
        <v>1601</v>
      </c>
      <c r="E422" s="3" t="s">
        <v>678</v>
      </c>
      <c r="F422" s="3" t="s">
        <v>1602</v>
      </c>
      <c r="G422" s="3" t="s">
        <v>1603</v>
      </c>
      <c r="H422" s="3" t="s">
        <v>1604</v>
      </c>
      <c r="J422" s="4" t="str">
        <f>TEXT("5108749180125438639","0")</f>
        <v>5108749180125430000</v>
      </c>
    </row>
    <row r="423" spans="1:10" ht="12.75" x14ac:dyDescent="0.2">
      <c r="A423" s="2">
        <v>44493.173425925925</v>
      </c>
      <c r="B423" s="3" t="s">
        <v>23</v>
      </c>
      <c r="C423" s="3" t="s">
        <v>1605</v>
      </c>
      <c r="D423" s="3" t="s">
        <v>1606</v>
      </c>
      <c r="E423" s="3" t="s">
        <v>1607</v>
      </c>
      <c r="F423" s="3" t="s">
        <v>1608</v>
      </c>
      <c r="G423" s="3" t="s">
        <v>599</v>
      </c>
      <c r="H423" s="3" t="s">
        <v>1060</v>
      </c>
      <c r="I423" s="3" t="s">
        <v>46</v>
      </c>
      <c r="J423" s="4" t="str">
        <f>TEXT("5108757840498660944","0")</f>
        <v>5108757840498660000</v>
      </c>
    </row>
    <row r="424" spans="1:10" ht="12.75" x14ac:dyDescent="0.2">
      <c r="A424" s="2">
        <v>44493.217314814814</v>
      </c>
      <c r="B424" s="3" t="s">
        <v>29</v>
      </c>
      <c r="C424" s="3" t="s">
        <v>1609</v>
      </c>
      <c r="D424" s="3" t="s">
        <v>1610</v>
      </c>
      <c r="E424" s="3" t="s">
        <v>252</v>
      </c>
      <c r="F424" s="3" t="s">
        <v>1611</v>
      </c>
      <c r="G424" s="3" t="s">
        <v>1612</v>
      </c>
      <c r="H424" s="3" t="s">
        <v>131</v>
      </c>
      <c r="J424" s="4" t="str">
        <f>TEXT("5108795764388380881","0")</f>
        <v>5108795764388380000</v>
      </c>
    </row>
    <row r="425" spans="1:10" ht="12.75" x14ac:dyDescent="0.2">
      <c r="A425" s="2">
        <v>44493.294247685182</v>
      </c>
      <c r="B425" s="3" t="s">
        <v>29</v>
      </c>
      <c r="C425" s="3" t="s">
        <v>1613</v>
      </c>
      <c r="D425" s="3" t="s">
        <v>1614</v>
      </c>
      <c r="E425" s="3" t="s">
        <v>295</v>
      </c>
      <c r="F425" s="3" t="s">
        <v>294</v>
      </c>
      <c r="G425" s="3" t="s">
        <v>294</v>
      </c>
      <c r="H425" s="3" t="s">
        <v>294</v>
      </c>
      <c r="I425" s="3" t="s">
        <v>46</v>
      </c>
      <c r="J425" s="4" t="str">
        <f>TEXT("5108862239427675678","0")</f>
        <v>5108862239427670000</v>
      </c>
    </row>
    <row r="426" spans="1:10" ht="12.75" x14ac:dyDescent="0.2">
      <c r="A426" s="2">
        <v>44493.295787037037</v>
      </c>
      <c r="B426" s="3" t="s">
        <v>23</v>
      </c>
      <c r="C426" s="3" t="s">
        <v>1615</v>
      </c>
      <c r="D426" s="3" t="s">
        <v>657</v>
      </c>
      <c r="E426" s="3" t="s">
        <v>57</v>
      </c>
      <c r="F426" s="3" t="s">
        <v>657</v>
      </c>
      <c r="G426" s="3" t="s">
        <v>657</v>
      </c>
      <c r="H426" s="3" t="s">
        <v>657</v>
      </c>
      <c r="I426" s="3" t="s">
        <v>1616</v>
      </c>
      <c r="J426" s="4" t="str">
        <f>TEXT("5108863569618605958","0")</f>
        <v>5108863569618600000</v>
      </c>
    </row>
    <row r="427" spans="1:10" ht="12.75" x14ac:dyDescent="0.2">
      <c r="A427" s="2">
        <v>44493.308657407404</v>
      </c>
      <c r="B427" s="3" t="s">
        <v>23</v>
      </c>
      <c r="C427" s="3" t="s">
        <v>1617</v>
      </c>
      <c r="D427" s="3" t="s">
        <v>1618</v>
      </c>
      <c r="E427" s="3" t="s">
        <v>1619</v>
      </c>
      <c r="F427" s="3" t="s">
        <v>1620</v>
      </c>
      <c r="G427" s="3" t="s">
        <v>1158</v>
      </c>
      <c r="H427" s="3" t="s">
        <v>1621</v>
      </c>
      <c r="J427" s="4" t="str">
        <f>TEXT("5108874685616479810","0")</f>
        <v>5108874685616470000</v>
      </c>
    </row>
    <row r="428" spans="1:10" ht="12.75" x14ac:dyDescent="0.2">
      <c r="A428" s="2">
        <v>44493.329641203702</v>
      </c>
      <c r="B428" s="3" t="s">
        <v>29</v>
      </c>
      <c r="C428" s="3" t="s">
        <v>1622</v>
      </c>
      <c r="D428" s="3" t="s">
        <v>1623</v>
      </c>
      <c r="E428" s="3" t="s">
        <v>1624</v>
      </c>
      <c r="F428" s="3" t="s">
        <v>1625</v>
      </c>
      <c r="G428" s="3" t="s">
        <v>1625</v>
      </c>
      <c r="H428" s="3" t="s">
        <v>1626</v>
      </c>
      <c r="I428" s="3" t="s">
        <v>627</v>
      </c>
      <c r="J428" s="4" t="str">
        <f>TEXT("5108892811515767680","0")</f>
        <v>5108892811515760000</v>
      </c>
    </row>
    <row r="429" spans="1:10" ht="12.75" x14ac:dyDescent="0.2">
      <c r="A429" s="2">
        <v>44493.364884259259</v>
      </c>
      <c r="B429" s="3" t="s">
        <v>29</v>
      </c>
      <c r="C429" s="3" t="s">
        <v>1627</v>
      </c>
      <c r="D429" s="3" t="s">
        <v>1628</v>
      </c>
      <c r="E429" s="3" t="s">
        <v>389</v>
      </c>
      <c r="F429" s="3" t="s">
        <v>514</v>
      </c>
      <c r="G429" s="3" t="s">
        <v>1629</v>
      </c>
      <c r="H429" s="3" t="s">
        <v>389</v>
      </c>
      <c r="I429" s="3" t="s">
        <v>1630</v>
      </c>
      <c r="J429" s="4" t="str">
        <f>TEXT("5108923267924211972","0")</f>
        <v>5108923267924210000</v>
      </c>
    </row>
    <row r="430" spans="1:10" ht="12.75" x14ac:dyDescent="0.2">
      <c r="A430" s="2">
        <v>44493.378958333335</v>
      </c>
      <c r="B430" s="3" t="s">
        <v>29</v>
      </c>
      <c r="C430" s="3" t="s">
        <v>1631</v>
      </c>
      <c r="D430" s="3" t="s">
        <v>614</v>
      </c>
      <c r="E430" s="3" t="s">
        <v>614</v>
      </c>
      <c r="F430" s="3" t="s">
        <v>765</v>
      </c>
      <c r="G430" s="3" t="s">
        <v>614</v>
      </c>
      <c r="H430" s="3" t="s">
        <v>612</v>
      </c>
      <c r="J430" s="4" t="str">
        <f>TEXT("5108935420411429904","0")</f>
        <v>5108935420411420000</v>
      </c>
    </row>
    <row r="431" spans="1:10" ht="12.75" x14ac:dyDescent="0.2">
      <c r="A431" s="2">
        <v>44493.390115740738</v>
      </c>
      <c r="B431" s="3" t="s">
        <v>29</v>
      </c>
      <c r="C431" s="3" t="s">
        <v>1572</v>
      </c>
      <c r="D431" s="3" t="s">
        <v>1573</v>
      </c>
      <c r="E431" s="3" t="s">
        <v>1574</v>
      </c>
      <c r="F431" s="3" t="s">
        <v>894</v>
      </c>
      <c r="G431" s="3" t="s">
        <v>1575</v>
      </c>
      <c r="H431" s="3" t="s">
        <v>1576</v>
      </c>
      <c r="I431" s="3" t="s">
        <v>46</v>
      </c>
      <c r="J431" s="4" t="str">
        <f>TEXT("5108945060649734030","0")</f>
        <v>5108945060649730000</v>
      </c>
    </row>
    <row r="432" spans="1:10" ht="12.75" x14ac:dyDescent="0.2">
      <c r="A432" s="2">
        <v>44493.392881944441</v>
      </c>
      <c r="B432" s="3" t="s">
        <v>29</v>
      </c>
      <c r="C432" s="3" t="s">
        <v>1632</v>
      </c>
      <c r="D432" s="3" t="s">
        <v>1633</v>
      </c>
      <c r="E432" s="3" t="s">
        <v>1634</v>
      </c>
      <c r="F432" s="3" t="s">
        <v>1635</v>
      </c>
      <c r="G432" s="3" t="s">
        <v>1636</v>
      </c>
      <c r="H432" s="3" t="s">
        <v>371</v>
      </c>
      <c r="J432" s="4" t="str">
        <f>TEXT("5108947459214556008","0")</f>
        <v>5108947459214550000</v>
      </c>
    </row>
    <row r="433" spans="1:10" ht="12.75" x14ac:dyDescent="0.2">
      <c r="A433" s="2">
        <v>44493.423356481479</v>
      </c>
      <c r="B433" s="3" t="s">
        <v>29</v>
      </c>
      <c r="C433" s="3" t="s">
        <v>1637</v>
      </c>
      <c r="D433" s="3" t="s">
        <v>229</v>
      </c>
      <c r="E433" s="3" t="s">
        <v>533</v>
      </c>
      <c r="F433" s="3" t="s">
        <v>229</v>
      </c>
      <c r="G433" s="3" t="s">
        <v>390</v>
      </c>
      <c r="H433" s="3" t="s">
        <v>320</v>
      </c>
      <c r="J433" s="4" t="str">
        <f>TEXT("5108973784426636953","0")</f>
        <v>5108973784426630000</v>
      </c>
    </row>
    <row r="434" spans="1:10" ht="12.75" x14ac:dyDescent="0.2">
      <c r="A434" s="2">
        <v>44493.424884259257</v>
      </c>
      <c r="B434" s="3" t="s">
        <v>29</v>
      </c>
      <c r="C434" s="3" t="s">
        <v>1638</v>
      </c>
      <c r="D434" s="3" t="s">
        <v>1639</v>
      </c>
      <c r="E434" s="3" t="s">
        <v>385</v>
      </c>
      <c r="F434" s="3" t="s">
        <v>161</v>
      </c>
      <c r="G434" s="3" t="s">
        <v>1237</v>
      </c>
      <c r="H434" s="3" t="s">
        <v>1640</v>
      </c>
      <c r="J434" s="4" t="str">
        <f>TEXT("5108975109339363910","0")</f>
        <v>5108975109339360000</v>
      </c>
    </row>
    <row r="435" spans="1:10" ht="12.75" x14ac:dyDescent="0.2">
      <c r="A435" s="2">
        <v>44493.426053240742</v>
      </c>
      <c r="B435" s="3" t="s">
        <v>29</v>
      </c>
      <c r="C435" s="3" t="s">
        <v>1641</v>
      </c>
      <c r="D435" s="3" t="s">
        <v>1642</v>
      </c>
      <c r="E435" s="3" t="s">
        <v>1643</v>
      </c>
      <c r="F435" s="3" t="s">
        <v>698</v>
      </c>
      <c r="G435" s="3" t="s">
        <v>428</v>
      </c>
      <c r="H435" s="3" t="s">
        <v>723</v>
      </c>
      <c r="I435" s="3" t="s">
        <v>1644</v>
      </c>
      <c r="J435" s="4" t="str">
        <f>TEXT("5108976111317963703","0")</f>
        <v>5108976111317960000</v>
      </c>
    </row>
    <row r="436" spans="1:10" ht="12.75" x14ac:dyDescent="0.2">
      <c r="A436" s="2">
        <v>44493.426388888889</v>
      </c>
      <c r="B436" s="3" t="s">
        <v>23</v>
      </c>
      <c r="C436" s="3" t="s">
        <v>1645</v>
      </c>
      <c r="D436" s="3" t="s">
        <v>500</v>
      </c>
      <c r="E436" s="3" t="s">
        <v>1581</v>
      </c>
      <c r="F436" s="3" t="s">
        <v>286</v>
      </c>
      <c r="G436" s="3" t="s">
        <v>1646</v>
      </c>
      <c r="H436" s="3" t="s">
        <v>1647</v>
      </c>
      <c r="I436" s="3" t="s">
        <v>46</v>
      </c>
      <c r="J436" s="4" t="str">
        <f>TEXT("5108976405174023088","0")</f>
        <v>5108976405174020000</v>
      </c>
    </row>
    <row r="437" spans="1:10" ht="12.75" x14ac:dyDescent="0.2">
      <c r="A437" s="2">
        <v>44493.432256944441</v>
      </c>
      <c r="B437" s="3" t="s">
        <v>29</v>
      </c>
      <c r="C437" s="3" t="s">
        <v>1648</v>
      </c>
      <c r="D437" s="3" t="s">
        <v>1649</v>
      </c>
      <c r="E437" s="3" t="s">
        <v>456</v>
      </c>
      <c r="F437" s="3" t="s">
        <v>27</v>
      </c>
      <c r="G437" s="3" t="s">
        <v>199</v>
      </c>
      <c r="H437" s="3" t="s">
        <v>1037</v>
      </c>
      <c r="J437" s="4" t="str">
        <f>TEXT("5108981473229574048","0")</f>
        <v>5108981473229570000</v>
      </c>
    </row>
    <row r="438" spans="1:10" ht="12.75" x14ac:dyDescent="0.2">
      <c r="A438" s="2">
        <v>44493.450046296297</v>
      </c>
      <c r="B438" s="3" t="s">
        <v>29</v>
      </c>
      <c r="C438" s="3" t="s">
        <v>1650</v>
      </c>
      <c r="D438" s="3" t="s">
        <v>1651</v>
      </c>
      <c r="E438" s="3" t="s">
        <v>1652</v>
      </c>
      <c r="F438" s="3" t="s">
        <v>1653</v>
      </c>
      <c r="G438" s="3" t="s">
        <v>1652</v>
      </c>
      <c r="H438" s="3" t="s">
        <v>1654</v>
      </c>
      <c r="I438" s="3" t="s">
        <v>46</v>
      </c>
      <c r="J438" s="4" t="str">
        <f>TEXT("5108996846015391711","0")</f>
        <v>5108996846015390000</v>
      </c>
    </row>
    <row r="439" spans="1:10" ht="12.75" x14ac:dyDescent="0.2">
      <c r="A439" s="2">
        <v>44493.480243055557</v>
      </c>
      <c r="B439" s="3" t="s">
        <v>29</v>
      </c>
      <c r="C439" s="3" t="s">
        <v>1631</v>
      </c>
      <c r="D439" s="3" t="s">
        <v>614</v>
      </c>
      <c r="E439" s="3" t="s">
        <v>614</v>
      </c>
      <c r="F439" s="3" t="s">
        <v>765</v>
      </c>
      <c r="G439" s="3" t="s">
        <v>614</v>
      </c>
      <c r="H439" s="3" t="s">
        <v>612</v>
      </c>
      <c r="J439" s="4" t="str">
        <f>TEXT("5109022930412703517","0")</f>
        <v>5109022930412700000</v>
      </c>
    </row>
    <row r="440" spans="1:10" ht="12.75" x14ac:dyDescent="0.2">
      <c r="A440" s="2">
        <v>44493.486388888887</v>
      </c>
      <c r="B440" s="3" t="s">
        <v>23</v>
      </c>
      <c r="C440" s="3" t="s">
        <v>1655</v>
      </c>
      <c r="D440" s="3" t="s">
        <v>1656</v>
      </c>
      <c r="E440" s="3" t="s">
        <v>476</v>
      </c>
      <c r="F440" s="3" t="s">
        <v>1657</v>
      </c>
      <c r="G440" s="3" t="s">
        <v>1658</v>
      </c>
      <c r="H440" s="3" t="s">
        <v>476</v>
      </c>
      <c r="I440" s="3" t="s">
        <v>46</v>
      </c>
      <c r="J440" s="4" t="str">
        <f>TEXT("5109028249517398055","0")</f>
        <v>5109028249517390000</v>
      </c>
    </row>
    <row r="441" spans="1:10" ht="12.75" x14ac:dyDescent="0.2">
      <c r="A441" s="2">
        <v>44493.506238425929</v>
      </c>
      <c r="B441" s="3" t="s">
        <v>29</v>
      </c>
      <c r="C441" s="3" t="s">
        <v>1659</v>
      </c>
      <c r="D441" s="3" t="s">
        <v>1092</v>
      </c>
      <c r="E441" s="3" t="s">
        <v>262</v>
      </c>
      <c r="F441" s="3" t="s">
        <v>261</v>
      </c>
      <c r="G441" s="3" t="s">
        <v>621</v>
      </c>
      <c r="H441" s="3" t="s">
        <v>262</v>
      </c>
      <c r="J441" s="4" t="str">
        <f>TEXT("5109045398222011659","0")</f>
        <v>5109045398222010000</v>
      </c>
    </row>
    <row r="442" spans="1:10" ht="12.75" x14ac:dyDescent="0.2">
      <c r="A442" s="2">
        <v>44493.514270833337</v>
      </c>
      <c r="B442" s="3" t="s">
        <v>29</v>
      </c>
      <c r="C442" s="3" t="s">
        <v>1660</v>
      </c>
      <c r="D442" s="3" t="s">
        <v>1020</v>
      </c>
      <c r="E442" s="3" t="s">
        <v>1661</v>
      </c>
      <c r="F442" s="3" t="s">
        <v>389</v>
      </c>
      <c r="G442" s="3" t="s">
        <v>1584</v>
      </c>
      <c r="H442" s="3" t="s">
        <v>458</v>
      </c>
      <c r="J442" s="4" t="str">
        <f>TEXT("5109052338113937386","0")</f>
        <v>5109052338113930000</v>
      </c>
    </row>
    <row r="443" spans="1:10" ht="12.75" x14ac:dyDescent="0.2">
      <c r="A443" s="2">
        <v>44493.523182870369</v>
      </c>
      <c r="B443" s="3" t="s">
        <v>29</v>
      </c>
      <c r="C443" s="3" t="s">
        <v>1662</v>
      </c>
      <c r="D443" s="3" t="s">
        <v>1663</v>
      </c>
      <c r="E443" s="3" t="s">
        <v>605</v>
      </c>
      <c r="F443" s="3" t="s">
        <v>189</v>
      </c>
      <c r="G443" s="3" t="s">
        <v>1664</v>
      </c>
      <c r="H443" s="3" t="s">
        <v>1051</v>
      </c>
      <c r="J443" s="4" t="str">
        <f>TEXT("5109060036812648309","0")</f>
        <v>5109060036812640000</v>
      </c>
    </row>
    <row r="444" spans="1:10" ht="12.75" x14ac:dyDescent="0.2">
      <c r="A444" s="2">
        <v>44493.534097222226</v>
      </c>
      <c r="B444" s="3" t="s">
        <v>23</v>
      </c>
      <c r="C444" s="3" t="s">
        <v>1665</v>
      </c>
      <c r="D444" s="3" t="s">
        <v>1666</v>
      </c>
      <c r="E444" s="3" t="s">
        <v>1667</v>
      </c>
      <c r="F444" s="3" t="s">
        <v>39</v>
      </c>
      <c r="G444" s="3" t="s">
        <v>1668</v>
      </c>
      <c r="H444" s="3" t="s">
        <v>1669</v>
      </c>
      <c r="J444" s="4" t="str">
        <f>TEXT("5109069467122101503","0")</f>
        <v>5109069467122100000</v>
      </c>
    </row>
    <row r="445" spans="1:10" ht="12.75" x14ac:dyDescent="0.2">
      <c r="A445" s="2">
        <v>44493.536770833336</v>
      </c>
      <c r="B445" s="3" t="s">
        <v>29</v>
      </c>
      <c r="C445" s="3" t="s">
        <v>1670</v>
      </c>
      <c r="D445" s="3" t="s">
        <v>1671</v>
      </c>
      <c r="E445" s="3" t="s">
        <v>1672</v>
      </c>
      <c r="F445" s="3" t="s">
        <v>1152</v>
      </c>
      <c r="G445" s="3" t="s">
        <v>1541</v>
      </c>
      <c r="H445" s="3" t="s">
        <v>1673</v>
      </c>
      <c r="J445" s="4" t="str">
        <f>TEXT("5109071776617253104","0")</f>
        <v>5109071776617250000</v>
      </c>
    </row>
    <row r="446" spans="1:10" ht="12.75" x14ac:dyDescent="0.2">
      <c r="A446" s="2">
        <v>44493.575624999998</v>
      </c>
      <c r="B446" s="3" t="s">
        <v>23</v>
      </c>
      <c r="C446" s="3" t="s">
        <v>705</v>
      </c>
      <c r="D446" s="3" t="s">
        <v>379</v>
      </c>
      <c r="E446" s="3" t="s">
        <v>379</v>
      </c>
      <c r="F446" s="3" t="s">
        <v>706</v>
      </c>
      <c r="G446" s="3" t="s">
        <v>707</v>
      </c>
      <c r="H446" s="3" t="s">
        <v>379</v>
      </c>
      <c r="J446" s="4" t="str">
        <f>TEXT("5109105342423547556","0")</f>
        <v>5109105342423540000</v>
      </c>
    </row>
    <row r="447" spans="1:10" ht="12.75" x14ac:dyDescent="0.2">
      <c r="A447" s="2">
        <v>44493.586145833331</v>
      </c>
      <c r="B447" s="3" t="s">
        <v>29</v>
      </c>
      <c r="C447" s="3" t="s">
        <v>1674</v>
      </c>
      <c r="D447" s="3" t="s">
        <v>22</v>
      </c>
      <c r="E447" s="3" t="s">
        <v>519</v>
      </c>
      <c r="F447" s="3" t="s">
        <v>22</v>
      </c>
      <c r="G447" s="3" t="s">
        <v>793</v>
      </c>
      <c r="H447" s="3" t="s">
        <v>209</v>
      </c>
      <c r="I447" s="3" t="s">
        <v>1675</v>
      </c>
      <c r="J447" s="4" t="str">
        <f>TEXT("5109114436512213083","0")</f>
        <v>5109114436512210000</v>
      </c>
    </row>
    <row r="448" spans="1:10" ht="12.75" x14ac:dyDescent="0.2">
      <c r="A448" s="2">
        <v>44493.590451388889</v>
      </c>
      <c r="B448" s="3" t="s">
        <v>29</v>
      </c>
      <c r="C448" s="3" t="s">
        <v>1676</v>
      </c>
      <c r="D448" s="3" t="s">
        <v>1677</v>
      </c>
      <c r="E448" s="3" t="s">
        <v>1678</v>
      </c>
      <c r="F448" s="3" t="s">
        <v>1679</v>
      </c>
      <c r="G448" s="3" t="s">
        <v>1680</v>
      </c>
      <c r="H448" s="3" t="s">
        <v>1681</v>
      </c>
      <c r="J448" s="4" t="str">
        <f>TEXT("5109118150547616614","0")</f>
        <v>5109118150547610000</v>
      </c>
    </row>
    <row r="449" spans="1:10" ht="12.75" x14ac:dyDescent="0.2">
      <c r="A449" s="2">
        <v>44493.62462962963</v>
      </c>
      <c r="B449" s="3" t="s">
        <v>29</v>
      </c>
      <c r="C449" s="3" t="s">
        <v>1682</v>
      </c>
      <c r="D449" s="3" t="s">
        <v>678</v>
      </c>
      <c r="E449" s="3" t="s">
        <v>1683</v>
      </c>
      <c r="F449" s="3" t="s">
        <v>1684</v>
      </c>
      <c r="G449" s="3" t="s">
        <v>1553</v>
      </c>
      <c r="H449" s="3" t="s">
        <v>1685</v>
      </c>
      <c r="J449" s="4" t="str">
        <f>TEXT("5109147683193367522","0")</f>
        <v>5109147683193360000</v>
      </c>
    </row>
    <row r="450" spans="1:10" ht="12.75" x14ac:dyDescent="0.2">
      <c r="A450" s="2">
        <v>44493.634293981479</v>
      </c>
      <c r="B450" s="3" t="s">
        <v>23</v>
      </c>
      <c r="C450" s="3" t="s">
        <v>1686</v>
      </c>
      <c r="D450" s="3" t="s">
        <v>593</v>
      </c>
      <c r="E450" s="3" t="s">
        <v>1646</v>
      </c>
      <c r="F450" s="3" t="s">
        <v>1581</v>
      </c>
      <c r="G450" s="3" t="s">
        <v>1687</v>
      </c>
      <c r="H450" s="3" t="s">
        <v>1647</v>
      </c>
      <c r="J450" s="4" t="str">
        <f>TEXT("5109156031213419465","0")</f>
        <v>5109156031213410000</v>
      </c>
    </row>
    <row r="451" spans="1:10" ht="12.75" x14ac:dyDescent="0.2">
      <c r="A451" s="2">
        <v>44493.642118055555</v>
      </c>
      <c r="B451" s="3" t="s">
        <v>29</v>
      </c>
      <c r="C451" s="3" t="s">
        <v>1688</v>
      </c>
      <c r="D451" s="3" t="s">
        <v>1689</v>
      </c>
      <c r="E451" s="3" t="s">
        <v>1690</v>
      </c>
      <c r="F451" s="3" t="s">
        <v>282</v>
      </c>
      <c r="G451" s="3" t="s">
        <v>678</v>
      </c>
      <c r="H451" s="3" t="s">
        <v>467</v>
      </c>
      <c r="I451" s="3" t="s">
        <v>169</v>
      </c>
      <c r="J451" s="4" t="str">
        <f>TEXT("5109162791184796194","0")</f>
        <v>5109162791184790000</v>
      </c>
    </row>
    <row r="452" spans="1:10" ht="12.75" x14ac:dyDescent="0.2">
      <c r="A452" s="2">
        <v>44493.642604166664</v>
      </c>
      <c r="B452" s="3" t="s">
        <v>23</v>
      </c>
      <c r="C452" s="3" t="s">
        <v>1691</v>
      </c>
      <c r="D452" s="3" t="s">
        <v>1692</v>
      </c>
      <c r="E452" s="3" t="s">
        <v>917</v>
      </c>
      <c r="F452" s="3" t="s">
        <v>243</v>
      </c>
      <c r="G452" s="3" t="s">
        <v>1693</v>
      </c>
      <c r="H452" s="3" t="s">
        <v>917</v>
      </c>
      <c r="J452" s="4" t="str">
        <f>TEXT("5109163212426083255","0")</f>
        <v>5109163212426080000</v>
      </c>
    </row>
    <row r="453" spans="1:10" ht="12.75" x14ac:dyDescent="0.2">
      <c r="A453" s="2">
        <v>44493.666759259257</v>
      </c>
      <c r="B453" s="3" t="s">
        <v>29</v>
      </c>
      <c r="C453" s="3" t="s">
        <v>1694</v>
      </c>
      <c r="D453" s="3" t="s">
        <v>1695</v>
      </c>
      <c r="E453" s="3" t="s">
        <v>548</v>
      </c>
      <c r="F453" s="3" t="s">
        <v>581</v>
      </c>
      <c r="G453" s="3" t="s">
        <v>163</v>
      </c>
      <c r="H453" s="3" t="s">
        <v>870</v>
      </c>
      <c r="I453" s="3" t="s">
        <v>46</v>
      </c>
      <c r="J453" s="4" t="str">
        <f>TEXT("5109184082117110365","0")</f>
        <v>5109184082117110000</v>
      </c>
    </row>
    <row r="454" spans="1:10" ht="12.75" x14ac:dyDescent="0.2">
      <c r="A454" s="2">
        <v>44493.667986111112</v>
      </c>
      <c r="B454" s="3" t="s">
        <v>29</v>
      </c>
      <c r="C454" s="3" t="s">
        <v>1696</v>
      </c>
      <c r="D454" s="3" t="s">
        <v>1697</v>
      </c>
      <c r="E454" s="3" t="s">
        <v>25</v>
      </c>
      <c r="F454" s="3" t="s">
        <v>707</v>
      </c>
      <c r="G454" s="3" t="s">
        <v>369</v>
      </c>
      <c r="H454" s="3" t="s">
        <v>410</v>
      </c>
      <c r="J454" s="4" t="str">
        <f>TEXT("5109185142678205919","0")</f>
        <v>5109185142678200000</v>
      </c>
    </row>
    <row r="455" spans="1:10" ht="12.75" x14ac:dyDescent="0.2">
      <c r="A455" s="2">
        <v>44493.711967592593</v>
      </c>
      <c r="B455" s="3" t="s">
        <v>29</v>
      </c>
      <c r="C455" s="3" t="s">
        <v>1698</v>
      </c>
      <c r="D455" s="3" t="s">
        <v>1699</v>
      </c>
      <c r="E455" s="3" t="s">
        <v>1700</v>
      </c>
      <c r="F455" s="3" t="s">
        <v>1701</v>
      </c>
      <c r="G455" s="3" t="s">
        <v>1248</v>
      </c>
      <c r="H455" s="3" t="s">
        <v>157</v>
      </c>
      <c r="I455" s="3" t="s">
        <v>46</v>
      </c>
      <c r="J455" s="4" t="str">
        <f>TEXT("5109223140216855614","0")</f>
        <v>5109223140216850000</v>
      </c>
    </row>
    <row r="456" spans="1:10" ht="12.75" x14ac:dyDescent="0.2">
      <c r="A456" s="2">
        <v>44493.767812500002</v>
      </c>
      <c r="B456" s="3" t="s">
        <v>29</v>
      </c>
      <c r="C456" s="3" t="s">
        <v>1702</v>
      </c>
      <c r="D456" s="3" t="s">
        <v>1703</v>
      </c>
      <c r="E456" s="3" t="s">
        <v>1704</v>
      </c>
      <c r="F456" s="3" t="s">
        <v>37</v>
      </c>
      <c r="G456" s="3" t="s">
        <v>984</v>
      </c>
      <c r="H456" s="3" t="s">
        <v>1705</v>
      </c>
      <c r="J456" s="4" t="str">
        <f>TEXT("5109271394749287600","0")</f>
        <v>5109271394749280000</v>
      </c>
    </row>
    <row r="457" spans="1:10" ht="12.75" x14ac:dyDescent="0.2">
      <c r="A457" s="2">
        <v>44493.8906712963</v>
      </c>
      <c r="B457" s="3" t="s">
        <v>29</v>
      </c>
      <c r="C457" s="3" t="s">
        <v>1706</v>
      </c>
      <c r="D457" s="3" t="s">
        <v>11</v>
      </c>
      <c r="E457" s="3" t="s">
        <v>1707</v>
      </c>
      <c r="F457" s="3" t="s">
        <v>1708</v>
      </c>
      <c r="G457" s="3" t="s">
        <v>1709</v>
      </c>
      <c r="H457" s="3" t="s">
        <v>486</v>
      </c>
      <c r="J457" s="4" t="str">
        <f>TEXT("5109377549933469016","0")</f>
        <v>5109377549933460000</v>
      </c>
    </row>
    <row r="458" spans="1:10" ht="12.75" x14ac:dyDescent="0.2">
      <c r="A458" s="2">
        <v>44493.909270833334</v>
      </c>
      <c r="B458" s="3" t="s">
        <v>29</v>
      </c>
      <c r="C458" s="3" t="s">
        <v>1710</v>
      </c>
      <c r="D458" s="3" t="s">
        <v>1711</v>
      </c>
      <c r="E458" s="3" t="s">
        <v>969</v>
      </c>
      <c r="F458" s="3" t="s">
        <v>495</v>
      </c>
      <c r="G458" s="3" t="s">
        <v>361</v>
      </c>
      <c r="H458" s="3" t="s">
        <v>361</v>
      </c>
      <c r="I458" s="3" t="s">
        <v>1712</v>
      </c>
      <c r="J458" s="4" t="str">
        <f>TEXT("5109393615714458389","0")</f>
        <v>5109393615714450000</v>
      </c>
    </row>
    <row r="459" spans="1:10" ht="12.75" x14ac:dyDescent="0.2">
      <c r="A459" s="2">
        <v>44493.932615740741</v>
      </c>
      <c r="B459" s="3" t="s">
        <v>29</v>
      </c>
      <c r="C459" s="3" t="s">
        <v>1713</v>
      </c>
      <c r="D459" s="3" t="s">
        <v>369</v>
      </c>
      <c r="E459" s="3" t="s">
        <v>86</v>
      </c>
      <c r="F459" s="3" t="s">
        <v>369</v>
      </c>
      <c r="G459" s="3" t="s">
        <v>1714</v>
      </c>
      <c r="H459" s="3" t="s">
        <v>937</v>
      </c>
      <c r="I459" s="3" t="s">
        <v>46</v>
      </c>
      <c r="J459" s="4" t="str">
        <f>TEXT("5109413773796447834","0")</f>
        <v>5109413773796440000</v>
      </c>
    </row>
    <row r="460" spans="1:10" ht="12.75" x14ac:dyDescent="0.2">
      <c r="A460" s="2">
        <v>44493.992361111108</v>
      </c>
      <c r="B460" s="3" t="s">
        <v>23</v>
      </c>
      <c r="C460" s="3" t="s">
        <v>1715</v>
      </c>
      <c r="D460" s="3" t="s">
        <v>1716</v>
      </c>
      <c r="E460" s="3" t="s">
        <v>1717</v>
      </c>
      <c r="F460" s="3" t="s">
        <v>1718</v>
      </c>
      <c r="G460" s="3" t="s">
        <v>1717</v>
      </c>
      <c r="H460" s="3" t="s">
        <v>1718</v>
      </c>
      <c r="J460" s="4" t="str">
        <f>TEXT("5109465406936870666","0")</f>
        <v>5109465406936870000</v>
      </c>
    </row>
    <row r="461" spans="1:10" ht="12.75" x14ac:dyDescent="0.2">
      <c r="A461" s="2">
        <v>44494.011099537034</v>
      </c>
      <c r="B461" s="3" t="s">
        <v>23</v>
      </c>
      <c r="C461" s="3" t="s">
        <v>1719</v>
      </c>
      <c r="D461" s="3" t="s">
        <v>1720</v>
      </c>
      <c r="E461" s="3" t="s">
        <v>1721</v>
      </c>
      <c r="F461" s="3" t="s">
        <v>1722</v>
      </c>
      <c r="G461" s="3" t="s">
        <v>1723</v>
      </c>
      <c r="H461" s="3" t="s">
        <v>1724</v>
      </c>
      <c r="I461" s="3" t="s">
        <v>1725</v>
      </c>
      <c r="J461" s="4" t="str">
        <f>TEXT("5109481590179396107","0")</f>
        <v>5109481590179390000</v>
      </c>
    </row>
    <row r="462" spans="1:10" ht="12.75" x14ac:dyDescent="0.2">
      <c r="A462" s="2">
        <v>44494.055034722223</v>
      </c>
      <c r="B462" s="3" t="s">
        <v>23</v>
      </c>
      <c r="C462" s="3" t="s">
        <v>1726</v>
      </c>
      <c r="D462" s="3" t="s">
        <v>1652</v>
      </c>
      <c r="E462" s="3" t="s">
        <v>1581</v>
      </c>
      <c r="F462" s="3" t="s">
        <v>698</v>
      </c>
      <c r="G462" s="3" t="s">
        <v>1727</v>
      </c>
      <c r="H462" s="3" t="s">
        <v>1728</v>
      </c>
      <c r="J462" s="4" t="str">
        <f>TEXT("5109519551813977485","0")</f>
        <v>5109519551813970000</v>
      </c>
    </row>
    <row r="463" spans="1:10" ht="12.75" x14ac:dyDescent="0.2">
      <c r="A463" s="2">
        <v>44494.067824074074</v>
      </c>
      <c r="B463" s="3" t="s">
        <v>29</v>
      </c>
      <c r="C463" s="3" t="s">
        <v>1729</v>
      </c>
      <c r="D463" s="3" t="s">
        <v>1730</v>
      </c>
      <c r="E463" s="3" t="s">
        <v>1731</v>
      </c>
      <c r="F463" s="3" t="s">
        <v>1731</v>
      </c>
      <c r="G463" s="3" t="s">
        <v>1731</v>
      </c>
      <c r="H463" s="3" t="s">
        <v>1732</v>
      </c>
      <c r="I463" s="3" t="s">
        <v>1733</v>
      </c>
      <c r="J463" s="4" t="str">
        <f>TEXT("5109530605165612905","0")</f>
        <v>5109530605165610000</v>
      </c>
    </row>
    <row r="464" spans="1:10" ht="12.75" x14ac:dyDescent="0.2">
      <c r="A464" s="2">
        <v>44494.084583333337</v>
      </c>
      <c r="B464" s="3" t="s">
        <v>29</v>
      </c>
      <c r="C464" s="3" t="s">
        <v>1734</v>
      </c>
      <c r="D464" s="3" t="s">
        <v>1735</v>
      </c>
      <c r="E464" s="3" t="s">
        <v>1398</v>
      </c>
      <c r="F464" s="3" t="s">
        <v>507</v>
      </c>
      <c r="G464" s="3" t="s">
        <v>1736</v>
      </c>
      <c r="H464" s="3" t="s">
        <v>1697</v>
      </c>
      <c r="I464" s="3" t="s">
        <v>718</v>
      </c>
      <c r="J464" s="4" t="str">
        <f>TEXT("5109545081714587973","0")</f>
        <v>5109545081714580000</v>
      </c>
    </row>
    <row r="465" spans="1:10" ht="12.75" x14ac:dyDescent="0.2">
      <c r="A465" s="2">
        <v>44494.092881944445</v>
      </c>
      <c r="B465" s="3" t="s">
        <v>29</v>
      </c>
      <c r="C465" s="3" t="s">
        <v>1737</v>
      </c>
      <c r="D465" s="3" t="s">
        <v>1738</v>
      </c>
      <c r="E465" s="3" t="s">
        <v>1739</v>
      </c>
      <c r="F465" s="3" t="s">
        <v>1740</v>
      </c>
      <c r="G465" s="3" t="s">
        <v>1741</v>
      </c>
      <c r="H465" s="3" t="s">
        <v>1742</v>
      </c>
      <c r="J465" s="4" t="str">
        <f>TEXT("5109552259513435809","0")</f>
        <v>5109552259513430000</v>
      </c>
    </row>
    <row r="466" spans="1:10" ht="12.75" x14ac:dyDescent="0.2">
      <c r="A466" s="2">
        <v>44494.096273148149</v>
      </c>
      <c r="B466" s="3" t="s">
        <v>29</v>
      </c>
      <c r="C466" s="3" t="s">
        <v>1737</v>
      </c>
      <c r="D466" s="3" t="s">
        <v>894</v>
      </c>
      <c r="E466" s="3" t="s">
        <v>1743</v>
      </c>
      <c r="F466" s="3" t="s">
        <v>1744</v>
      </c>
      <c r="G466" s="3" t="s">
        <v>1745</v>
      </c>
      <c r="H466" s="3" t="s">
        <v>1746</v>
      </c>
      <c r="J466" s="4" t="str">
        <f>TEXT("5109555189512105007","0")</f>
        <v>5109555189512100000</v>
      </c>
    </row>
    <row r="467" spans="1:10" ht="12.75" x14ac:dyDescent="0.2">
      <c r="A467" s="2">
        <v>44494.251192129632</v>
      </c>
      <c r="B467" s="3" t="s">
        <v>23</v>
      </c>
      <c r="C467" s="3" t="s">
        <v>1747</v>
      </c>
      <c r="D467" s="3" t="s">
        <v>407</v>
      </c>
      <c r="E467" s="3" t="s">
        <v>1705</v>
      </c>
      <c r="F467" s="3" t="s">
        <v>129</v>
      </c>
      <c r="G467" s="3" t="s">
        <v>406</v>
      </c>
      <c r="H467" s="3" t="s">
        <v>37</v>
      </c>
      <c r="I467" s="3" t="s">
        <v>46</v>
      </c>
      <c r="J467" s="4" t="str">
        <f>TEXT("5109689036227866661","0")</f>
        <v>5109689036227860000</v>
      </c>
    </row>
    <row r="468" spans="1:10" ht="12.75" x14ac:dyDescent="0.2">
      <c r="A468" s="2">
        <v>44494.258310185185</v>
      </c>
      <c r="B468" s="3" t="s">
        <v>29</v>
      </c>
      <c r="C468" s="3" t="s">
        <v>1748</v>
      </c>
      <c r="D468" s="3" t="s">
        <v>1749</v>
      </c>
      <c r="E468" s="3" t="s">
        <v>1750</v>
      </c>
      <c r="F468" s="3" t="s">
        <v>286</v>
      </c>
      <c r="G468" s="3" t="s">
        <v>1751</v>
      </c>
      <c r="H468" s="3" t="s">
        <v>1603</v>
      </c>
      <c r="I468" s="3" t="s">
        <v>1752</v>
      </c>
      <c r="J468" s="4" t="str">
        <f>TEXT("5109695184137028772","0")</f>
        <v>5109695184137020000</v>
      </c>
    </row>
    <row r="469" spans="1:10" ht="12.75" x14ac:dyDescent="0.2">
      <c r="A469" s="2">
        <v>44494.28087962963</v>
      </c>
      <c r="B469" s="3" t="s">
        <v>23</v>
      </c>
      <c r="C469" s="3" t="s">
        <v>1753</v>
      </c>
      <c r="D469" s="3" t="s">
        <v>1754</v>
      </c>
      <c r="E469" s="3" t="s">
        <v>1689</v>
      </c>
      <c r="F469" s="3" t="s">
        <v>1689</v>
      </c>
      <c r="G469" s="3" t="s">
        <v>935</v>
      </c>
      <c r="H469" s="3" t="s">
        <v>848</v>
      </c>
      <c r="I469" s="3" t="s">
        <v>46</v>
      </c>
      <c r="J469" s="4" t="str">
        <f>TEXT("5109714689114363778","0")</f>
        <v>5109714689114360000</v>
      </c>
    </row>
    <row r="470" spans="1:10" ht="12.75" x14ac:dyDescent="0.2">
      <c r="A470" s="2">
        <v>44494.28943287037</v>
      </c>
      <c r="B470" s="3" t="s">
        <v>23</v>
      </c>
      <c r="C470" s="3" t="s">
        <v>1755</v>
      </c>
      <c r="D470" s="3" t="s">
        <v>355</v>
      </c>
      <c r="E470" s="3" t="s">
        <v>437</v>
      </c>
      <c r="F470" s="3" t="s">
        <v>1756</v>
      </c>
      <c r="G470" s="3" t="s">
        <v>1757</v>
      </c>
      <c r="H470" s="3" t="s">
        <v>437</v>
      </c>
      <c r="J470" s="4" t="str">
        <f>TEXT("5109722071197898289","0")</f>
        <v>5109722071197890000</v>
      </c>
    </row>
    <row r="471" spans="1:10" ht="12.75" x14ac:dyDescent="0.2">
      <c r="A471" s="2">
        <v>44494.336701388886</v>
      </c>
      <c r="B471" s="3" t="s">
        <v>29</v>
      </c>
      <c r="C471" s="3" t="s">
        <v>1758</v>
      </c>
      <c r="D471" s="3" t="s">
        <v>1759</v>
      </c>
      <c r="E471" s="3" t="s">
        <v>1760</v>
      </c>
      <c r="F471" s="3" t="s">
        <v>1137</v>
      </c>
      <c r="G471" s="3" t="s">
        <v>1761</v>
      </c>
      <c r="H471" s="3" t="s">
        <v>1762</v>
      </c>
      <c r="J471" s="4" t="str">
        <f>TEXT("5109762919947903753","0")</f>
        <v>5109762919947900000</v>
      </c>
    </row>
    <row r="472" spans="1:10" ht="12.75" x14ac:dyDescent="0.2">
      <c r="A472" s="2">
        <v>44494.36613425926</v>
      </c>
      <c r="B472" s="3" t="s">
        <v>29</v>
      </c>
      <c r="C472" s="3" t="s">
        <v>1763</v>
      </c>
      <c r="D472" s="3" t="s">
        <v>1764</v>
      </c>
      <c r="E472" s="3" t="s">
        <v>1765</v>
      </c>
      <c r="F472" s="3" t="s">
        <v>1766</v>
      </c>
      <c r="G472" s="3" t="s">
        <v>1767</v>
      </c>
      <c r="H472" s="3" t="s">
        <v>92</v>
      </c>
      <c r="I472" s="3" t="s">
        <v>1768</v>
      </c>
      <c r="J472" s="4" t="str">
        <f>TEXT("5109788342218374640","0")</f>
        <v>5109788342218370000</v>
      </c>
    </row>
    <row r="473" spans="1:10" ht="12.75" x14ac:dyDescent="0.2">
      <c r="A473" s="2">
        <v>44494.391435185185</v>
      </c>
      <c r="B473" s="3" t="s">
        <v>29</v>
      </c>
      <c r="C473" s="3" t="s">
        <v>1769</v>
      </c>
      <c r="D473" s="3" t="s">
        <v>19</v>
      </c>
      <c r="E473" s="3" t="s">
        <v>1770</v>
      </c>
      <c r="F473" s="3" t="s">
        <v>19</v>
      </c>
      <c r="G473" s="3" t="s">
        <v>1770</v>
      </c>
      <c r="H473" s="3" t="s">
        <v>19</v>
      </c>
      <c r="I473" s="3" t="s">
        <v>142</v>
      </c>
      <c r="J473" s="4" t="str">
        <f>TEXT("5109810204422716316","0")</f>
        <v>5109810204422710000</v>
      </c>
    </row>
    <row r="474" spans="1:10" ht="12.75" x14ac:dyDescent="0.2">
      <c r="A474" s="2">
        <v>44494.391793981478</v>
      </c>
      <c r="B474" s="3" t="s">
        <v>29</v>
      </c>
      <c r="C474" s="3" t="s">
        <v>1769</v>
      </c>
      <c r="D474" s="3" t="s">
        <v>1771</v>
      </c>
      <c r="E474" s="3" t="s">
        <v>1042</v>
      </c>
      <c r="F474" s="3" t="s">
        <v>1772</v>
      </c>
      <c r="G474" s="3" t="s">
        <v>1169</v>
      </c>
      <c r="H474" s="3" t="s">
        <v>1041</v>
      </c>
      <c r="J474" s="4" t="str">
        <f>TEXT("5109810513555601990","0")</f>
        <v>5109810513555600000</v>
      </c>
    </row>
    <row r="475" spans="1:10" ht="12.75" x14ac:dyDescent="0.2">
      <c r="A475" s="2">
        <v>44494.399872685186</v>
      </c>
      <c r="B475" s="3" t="s">
        <v>23</v>
      </c>
      <c r="C475" s="3" t="s">
        <v>1239</v>
      </c>
      <c r="D475" s="3" t="s">
        <v>1240</v>
      </c>
      <c r="E475" s="3" t="s">
        <v>1241</v>
      </c>
      <c r="F475" s="3" t="s">
        <v>1241</v>
      </c>
      <c r="G475" s="3" t="s">
        <v>103</v>
      </c>
      <c r="H475" s="3" t="s">
        <v>1240</v>
      </c>
      <c r="J475" s="4" t="str">
        <f>TEXT("5109817497318664213","0")</f>
        <v>5109817497318660000</v>
      </c>
    </row>
    <row r="476" spans="1:10" ht="12.75" x14ac:dyDescent="0.2">
      <c r="A476" s="2">
        <v>44494.400567129633</v>
      </c>
      <c r="B476" s="3" t="s">
        <v>29</v>
      </c>
      <c r="C476" s="3" t="s">
        <v>1773</v>
      </c>
      <c r="D476" s="3" t="s">
        <v>592</v>
      </c>
      <c r="E476" s="3" t="s">
        <v>1774</v>
      </c>
      <c r="F476" s="3" t="s">
        <v>157</v>
      </c>
      <c r="G476" s="3" t="s">
        <v>1775</v>
      </c>
      <c r="H476" s="3" t="s">
        <v>157</v>
      </c>
      <c r="J476" s="4" t="str">
        <f>TEXT("5109818093716630163","0")</f>
        <v>5109818093716630000</v>
      </c>
    </row>
    <row r="477" spans="1:10" ht="12.75" x14ac:dyDescent="0.2">
      <c r="A477" s="2">
        <v>44494.404317129629</v>
      </c>
      <c r="B477" s="3" t="s">
        <v>29</v>
      </c>
      <c r="C477" s="3" t="s">
        <v>1776</v>
      </c>
      <c r="D477" s="3" t="s">
        <v>1777</v>
      </c>
      <c r="E477" s="3" t="s">
        <v>241</v>
      </c>
      <c r="F477" s="3" t="s">
        <v>240</v>
      </c>
      <c r="G477" s="3" t="s">
        <v>238</v>
      </c>
      <c r="H477" s="3" t="s">
        <v>239</v>
      </c>
      <c r="I477" s="3" t="s">
        <v>1778</v>
      </c>
      <c r="J477" s="4" t="str">
        <f>TEXT("5109821339411597303","0")</f>
        <v>5109821339411590000</v>
      </c>
    </row>
    <row r="478" spans="1:10" ht="12.75" x14ac:dyDescent="0.2">
      <c r="A478" s="2">
        <v>44494.411527777775</v>
      </c>
      <c r="B478" s="3" t="s">
        <v>29</v>
      </c>
      <c r="C478" s="3" t="s">
        <v>1779</v>
      </c>
      <c r="D478" s="3" t="s">
        <v>1780</v>
      </c>
      <c r="E478" s="3" t="s">
        <v>1781</v>
      </c>
      <c r="F478" s="3" t="s">
        <v>1782</v>
      </c>
      <c r="G478" s="3" t="s">
        <v>1782</v>
      </c>
      <c r="H478" s="3" t="s">
        <v>1783</v>
      </c>
      <c r="I478" s="3" t="s">
        <v>46</v>
      </c>
      <c r="J478" s="4" t="str">
        <f>TEXT("5109827561465081471","0")</f>
        <v>5109827561465080000</v>
      </c>
    </row>
    <row r="479" spans="1:10" ht="12.75" x14ac:dyDescent="0.2">
      <c r="A479" s="2">
        <v>44494.422974537039</v>
      </c>
      <c r="B479" s="3" t="s">
        <v>29</v>
      </c>
      <c r="C479" s="3" t="s">
        <v>1784</v>
      </c>
      <c r="D479" s="3" t="s">
        <v>519</v>
      </c>
      <c r="E479" s="3" t="s">
        <v>792</v>
      </c>
      <c r="F479" s="3" t="s">
        <v>92</v>
      </c>
      <c r="G479" s="3" t="s">
        <v>224</v>
      </c>
      <c r="H479" s="3" t="s">
        <v>1519</v>
      </c>
      <c r="I479" s="3" t="s">
        <v>46</v>
      </c>
      <c r="J479" s="4" t="str">
        <f>TEXT("5109837456626711728","0")</f>
        <v>5109837456626710000</v>
      </c>
    </row>
    <row r="480" spans="1:10" ht="12.75" x14ac:dyDescent="0.2">
      <c r="A480" s="2">
        <v>44494.432824074072</v>
      </c>
      <c r="B480" s="3" t="s">
        <v>29</v>
      </c>
      <c r="C480" s="3" t="s">
        <v>1785</v>
      </c>
      <c r="D480" s="3" t="s">
        <v>1786</v>
      </c>
      <c r="E480" s="3" t="s">
        <v>1787</v>
      </c>
      <c r="F480" s="3" t="s">
        <v>1788</v>
      </c>
      <c r="G480" s="3" t="s">
        <v>1789</v>
      </c>
      <c r="H480" s="3" t="s">
        <v>1790</v>
      </c>
      <c r="J480" s="4" t="str">
        <f>TEXT("5109845960415573558","0")</f>
        <v>5109845960415570000</v>
      </c>
    </row>
    <row r="481" spans="1:10" ht="12.75" x14ac:dyDescent="0.2">
      <c r="A481" s="2">
        <v>44494.46702546296</v>
      </c>
      <c r="B481" s="3" t="s">
        <v>29</v>
      </c>
      <c r="C481" s="3" t="s">
        <v>1791</v>
      </c>
      <c r="D481" s="3" t="s">
        <v>1792</v>
      </c>
      <c r="E481" s="3" t="s">
        <v>1793</v>
      </c>
      <c r="F481" s="3" t="s">
        <v>1449</v>
      </c>
      <c r="G481" s="3" t="s">
        <v>1793</v>
      </c>
      <c r="H481" s="3" t="s">
        <v>50</v>
      </c>
      <c r="J481" s="4" t="str">
        <f>TEXT("5109875516296457946","0")</f>
        <v>5109875516296450000</v>
      </c>
    </row>
    <row r="482" spans="1:10" ht="12.75" x14ac:dyDescent="0.2">
      <c r="A482" s="2">
        <v>44494.487395833334</v>
      </c>
      <c r="B482" s="3" t="s">
        <v>23</v>
      </c>
      <c r="C482" s="3" t="s">
        <v>1794</v>
      </c>
      <c r="D482" s="3" t="s">
        <v>1795</v>
      </c>
      <c r="E482" s="3" t="s">
        <v>1795</v>
      </c>
      <c r="F482" s="3" t="s">
        <v>1796</v>
      </c>
      <c r="G482" s="3" t="s">
        <v>607</v>
      </c>
      <c r="H482" s="3" t="s">
        <v>1797</v>
      </c>
      <c r="I482" s="3" t="s">
        <v>1798</v>
      </c>
      <c r="J482" s="4" t="str">
        <f>TEXT("5109893110127519553","0")</f>
        <v>5109893110127510000</v>
      </c>
    </row>
    <row r="483" spans="1:10" ht="12.75" x14ac:dyDescent="0.2">
      <c r="A483" s="2">
        <v>44494.527083333334</v>
      </c>
      <c r="B483" s="3" t="s">
        <v>23</v>
      </c>
      <c r="C483" s="3" t="s">
        <v>1799</v>
      </c>
      <c r="D483" s="3" t="s">
        <v>1800</v>
      </c>
      <c r="E483" s="3" t="s">
        <v>1801</v>
      </c>
      <c r="F483" s="3" t="s">
        <v>1802</v>
      </c>
      <c r="G483" s="3" t="s">
        <v>1489</v>
      </c>
      <c r="H483" s="3" t="s">
        <v>1803</v>
      </c>
      <c r="I483" s="3" t="s">
        <v>1804</v>
      </c>
      <c r="J483" s="4" t="str">
        <f>TEXT("5109927404328580934","0")</f>
        <v>5109927404328580000</v>
      </c>
    </row>
    <row r="484" spans="1:10" ht="12.75" x14ac:dyDescent="0.2">
      <c r="A484" s="2">
        <v>44494.557870370372</v>
      </c>
      <c r="B484" s="3" t="s">
        <v>29</v>
      </c>
      <c r="C484" s="3" t="s">
        <v>1805</v>
      </c>
      <c r="D484" s="3" t="s">
        <v>1806</v>
      </c>
      <c r="E484" s="3" t="s">
        <v>1807</v>
      </c>
      <c r="F484" s="3" t="s">
        <v>372</v>
      </c>
      <c r="G484" s="3" t="s">
        <v>52</v>
      </c>
      <c r="H484" s="3" t="s">
        <v>587</v>
      </c>
      <c r="I484" s="3" t="s">
        <v>46</v>
      </c>
      <c r="J484" s="4" t="str">
        <f>TEXT("5109954000816671267","0")</f>
        <v>5109954000816670000</v>
      </c>
    </row>
    <row r="485" spans="1:10" ht="12.75" x14ac:dyDescent="0.2">
      <c r="A485" s="2">
        <v>44494.558506944442</v>
      </c>
      <c r="B485" s="3" t="s">
        <v>29</v>
      </c>
      <c r="C485" s="3" t="s">
        <v>1808</v>
      </c>
      <c r="D485" s="3" t="s">
        <v>1809</v>
      </c>
      <c r="E485" s="3" t="s">
        <v>1388</v>
      </c>
      <c r="F485" s="3" t="s">
        <v>83</v>
      </c>
      <c r="G485" s="3" t="s">
        <v>117</v>
      </c>
      <c r="H485" s="3" t="s">
        <v>118</v>
      </c>
      <c r="I485" s="3" t="s">
        <v>46</v>
      </c>
      <c r="J485" s="4" t="str">
        <f>TEXT("5109954552851644515","0")</f>
        <v>5109954552851640000</v>
      </c>
    </row>
    <row r="486" spans="1:10" ht="12.75" x14ac:dyDescent="0.2">
      <c r="A486" s="2">
        <v>44494.5625</v>
      </c>
      <c r="B486" s="3" t="s">
        <v>23</v>
      </c>
      <c r="C486" s="3" t="s">
        <v>1810</v>
      </c>
      <c r="D486" s="3" t="s">
        <v>320</v>
      </c>
      <c r="E486" s="3" t="s">
        <v>229</v>
      </c>
      <c r="F486" s="3" t="s">
        <v>229</v>
      </c>
      <c r="G486" s="3" t="s">
        <v>431</v>
      </c>
      <c r="H486" s="3" t="s">
        <v>320</v>
      </c>
      <c r="J486" s="4" t="str">
        <f>TEXT("5109957997615324587","0")</f>
        <v>5109957997615320000</v>
      </c>
    </row>
    <row r="487" spans="1:10" ht="12.75" x14ac:dyDescent="0.2">
      <c r="A487" s="2">
        <v>44494.576898148145</v>
      </c>
      <c r="B487" s="3" t="s">
        <v>29</v>
      </c>
      <c r="C487" s="3" t="s">
        <v>1811</v>
      </c>
      <c r="D487" s="3" t="s">
        <v>1812</v>
      </c>
      <c r="E487" s="3" t="s">
        <v>16</v>
      </c>
      <c r="F487" s="3" t="s">
        <v>1299</v>
      </c>
      <c r="G487" s="3" t="s">
        <v>168</v>
      </c>
      <c r="H487" s="3" t="s">
        <v>27</v>
      </c>
      <c r="I487" s="3" t="s">
        <v>1813</v>
      </c>
      <c r="J487" s="4" t="str">
        <f>TEXT("5109970443488919223","0")</f>
        <v>5109970443488910000</v>
      </c>
    </row>
    <row r="488" spans="1:10" ht="12.75" x14ac:dyDescent="0.2">
      <c r="A488" s="2">
        <v>44494.583622685182</v>
      </c>
      <c r="B488" s="3" t="s">
        <v>23</v>
      </c>
      <c r="C488" s="3" t="s">
        <v>1814</v>
      </c>
      <c r="D488" s="3" t="s">
        <v>792</v>
      </c>
      <c r="E488" s="3" t="s">
        <v>193</v>
      </c>
      <c r="F488" s="3" t="s">
        <v>1815</v>
      </c>
      <c r="G488" s="3" t="s">
        <v>12</v>
      </c>
      <c r="H488" s="3" t="s">
        <v>1346</v>
      </c>
      <c r="J488" s="4" t="str">
        <f>TEXT("5109976241414712975","0")</f>
        <v>5109976241414710000</v>
      </c>
    </row>
    <row r="489" spans="1:10" ht="12.75" x14ac:dyDescent="0.2">
      <c r="A489" s="2">
        <v>44494.589247685188</v>
      </c>
      <c r="B489" s="3" t="s">
        <v>23</v>
      </c>
      <c r="C489" s="3" t="s">
        <v>1816</v>
      </c>
      <c r="D489" s="3" t="s">
        <v>408</v>
      </c>
      <c r="E489" s="3" t="s">
        <v>95</v>
      </c>
      <c r="F489" s="3" t="s">
        <v>406</v>
      </c>
      <c r="G489" s="3" t="s">
        <v>406</v>
      </c>
      <c r="H489" s="3" t="s">
        <v>408</v>
      </c>
      <c r="J489" s="4" t="str">
        <f>TEXT("5109979918014298981","0")</f>
        <v>5109979918014290000</v>
      </c>
    </row>
    <row r="490" spans="1:10" ht="12.75" x14ac:dyDescent="0.2">
      <c r="A490" s="2">
        <v>44494.595185185186</v>
      </c>
      <c r="B490" s="3" t="s">
        <v>29</v>
      </c>
      <c r="C490" s="3" t="s">
        <v>1817</v>
      </c>
      <c r="D490" s="3" t="s">
        <v>1818</v>
      </c>
      <c r="E490" s="3" t="s">
        <v>1819</v>
      </c>
      <c r="F490" s="3" t="s">
        <v>379</v>
      </c>
      <c r="G490" s="3" t="s">
        <v>447</v>
      </c>
      <c r="H490" s="3" t="s">
        <v>559</v>
      </c>
      <c r="J490" s="4" t="str">
        <f>TEXT("5109986242525571875","0")</f>
        <v>5109986242525570000</v>
      </c>
    </row>
    <row r="491" spans="1:10" ht="12.75" x14ac:dyDescent="0.2">
      <c r="A491" s="2">
        <v>44494.655451388891</v>
      </c>
      <c r="B491" s="3" t="s">
        <v>23</v>
      </c>
      <c r="C491" s="3" t="s">
        <v>1820</v>
      </c>
      <c r="D491" s="3" t="s">
        <v>1821</v>
      </c>
      <c r="E491" s="3" t="s">
        <v>1822</v>
      </c>
      <c r="F491" s="3" t="s">
        <v>1823</v>
      </c>
      <c r="G491" s="3" t="s">
        <v>1281</v>
      </c>
      <c r="H491" s="3" t="s">
        <v>1824</v>
      </c>
      <c r="I491" s="3" t="s">
        <v>1825</v>
      </c>
      <c r="J491" s="4" t="str">
        <f>TEXT("5110038314329441689","0")</f>
        <v>5110038314329440000</v>
      </c>
    </row>
    <row r="492" spans="1:10" ht="12.75" x14ac:dyDescent="0.2">
      <c r="A492" s="2">
        <v>44494.69971064815</v>
      </c>
      <c r="B492" s="3" t="s">
        <v>29</v>
      </c>
      <c r="C492" s="3" t="s">
        <v>1826</v>
      </c>
      <c r="D492" s="3" t="s">
        <v>1827</v>
      </c>
      <c r="E492" s="3" t="s">
        <v>1828</v>
      </c>
      <c r="F492" s="3" t="s">
        <v>1571</v>
      </c>
      <c r="G492" s="3" t="s">
        <v>1571</v>
      </c>
      <c r="H492" s="3" t="s">
        <v>1829</v>
      </c>
      <c r="J492" s="4" t="str">
        <f>TEXT("5110076556128367114","0")</f>
        <v>5110076556128360000</v>
      </c>
    </row>
    <row r="493" spans="1:10" ht="12.75" x14ac:dyDescent="0.2">
      <c r="A493" s="2">
        <v>44494.729687500003</v>
      </c>
      <c r="B493" s="3" t="s">
        <v>23</v>
      </c>
      <c r="C493" s="3" t="s">
        <v>1830</v>
      </c>
      <c r="D493" s="3" t="s">
        <v>1831</v>
      </c>
      <c r="E493" s="3" t="s">
        <v>1832</v>
      </c>
      <c r="F493" s="3" t="s">
        <v>958</v>
      </c>
      <c r="G493" s="3" t="s">
        <v>1621</v>
      </c>
      <c r="H493" s="3" t="s">
        <v>1619</v>
      </c>
      <c r="J493" s="4" t="str">
        <f>TEXT("5110102458953710735","0")</f>
        <v>5110102458953710000</v>
      </c>
    </row>
    <row r="494" spans="1:10" ht="12.75" x14ac:dyDescent="0.2">
      <c r="A494" s="2">
        <v>44494.739918981482</v>
      </c>
      <c r="B494" s="3" t="s">
        <v>23</v>
      </c>
      <c r="C494" s="3" t="s">
        <v>1833</v>
      </c>
      <c r="D494" s="3" t="s">
        <v>694</v>
      </c>
      <c r="E494" s="3" t="s">
        <v>694</v>
      </c>
      <c r="F494" s="3" t="s">
        <v>694</v>
      </c>
      <c r="G494" s="3" t="s">
        <v>180</v>
      </c>
      <c r="H494" s="3" t="s">
        <v>605</v>
      </c>
      <c r="J494" s="4" t="str">
        <f>TEXT("5110111292308215003","0")</f>
        <v>5110111292308210000</v>
      </c>
    </row>
    <row r="495" spans="1:10" ht="12.75" x14ac:dyDescent="0.2">
      <c r="A495" s="2">
        <v>44494.777638888889</v>
      </c>
      <c r="B495" s="3" t="s">
        <v>29</v>
      </c>
      <c r="C495" s="3" t="s">
        <v>1834</v>
      </c>
      <c r="D495" s="3" t="s">
        <v>423</v>
      </c>
      <c r="E495" s="3" t="s">
        <v>423</v>
      </c>
      <c r="F495" s="3" t="s">
        <v>569</v>
      </c>
      <c r="G495" s="3" t="s">
        <v>1835</v>
      </c>
      <c r="H495" s="3" t="s">
        <v>287</v>
      </c>
      <c r="J495" s="4" t="str">
        <f>TEXT("5110143880972359264","0")</f>
        <v>5110143880972350000</v>
      </c>
    </row>
    <row r="496" spans="1:10" ht="12.75" x14ac:dyDescent="0.2">
      <c r="A496" s="2">
        <v>44494.802546296298</v>
      </c>
      <c r="B496" s="3" t="s">
        <v>23</v>
      </c>
      <c r="C496" s="3" t="s">
        <v>1836</v>
      </c>
      <c r="D496" s="3" t="s">
        <v>1837</v>
      </c>
      <c r="E496" s="3" t="s">
        <v>44</v>
      </c>
      <c r="F496" s="3" t="s">
        <v>1480</v>
      </c>
      <c r="G496" s="3" t="s">
        <v>44</v>
      </c>
      <c r="H496" s="3" t="s">
        <v>44</v>
      </c>
      <c r="I496" s="3" t="s">
        <v>46</v>
      </c>
      <c r="J496" s="4" t="str">
        <f>TEXT("5110165402128147492","0")</f>
        <v>5110165402128140000</v>
      </c>
    </row>
    <row r="497" spans="1:10" ht="12.75" x14ac:dyDescent="0.2">
      <c r="A497" s="2">
        <v>44494.811736111114</v>
      </c>
      <c r="B497" s="3" t="s">
        <v>29</v>
      </c>
      <c r="C497" s="3" t="s">
        <v>1838</v>
      </c>
      <c r="D497" s="3" t="s">
        <v>67</v>
      </c>
      <c r="E497" s="3" t="s">
        <v>1839</v>
      </c>
      <c r="F497" s="3" t="s">
        <v>1840</v>
      </c>
      <c r="G497" s="3" t="s">
        <v>1841</v>
      </c>
      <c r="H497" s="3" t="s">
        <v>1842</v>
      </c>
      <c r="J497" s="4" t="str">
        <f>TEXT("5110173346277877512","0")</f>
        <v>5110173346277870000</v>
      </c>
    </row>
    <row r="498" spans="1:10" ht="12.75" x14ac:dyDescent="0.2">
      <c r="A498" s="2">
        <v>44494.844837962963</v>
      </c>
      <c r="B498" s="3" t="s">
        <v>29</v>
      </c>
      <c r="C498" s="3" t="s">
        <v>1843</v>
      </c>
      <c r="D498" s="3" t="s">
        <v>1687</v>
      </c>
      <c r="E498" s="3" t="s">
        <v>427</v>
      </c>
      <c r="F498" s="3" t="s">
        <v>896</v>
      </c>
      <c r="G498" s="3" t="s">
        <v>897</v>
      </c>
      <c r="H498" s="3" t="s">
        <v>1844</v>
      </c>
      <c r="J498" s="4" t="str">
        <f>TEXT("5110201946697105881","0")</f>
        <v>5110201946697100000</v>
      </c>
    </row>
    <row r="499" spans="1:10" ht="12.75" x14ac:dyDescent="0.2">
      <c r="A499" s="2">
        <v>44494.863599537035</v>
      </c>
      <c r="B499" s="3" t="s">
        <v>29</v>
      </c>
      <c r="C499" s="3" t="s">
        <v>1845</v>
      </c>
      <c r="D499" s="3" t="s">
        <v>1846</v>
      </c>
      <c r="E499" s="3" t="s">
        <v>1847</v>
      </c>
      <c r="F499" s="3" t="s">
        <v>1848</v>
      </c>
      <c r="G499" s="3" t="s">
        <v>1849</v>
      </c>
      <c r="H499" s="3" t="s">
        <v>1850</v>
      </c>
      <c r="J499" s="4" t="str">
        <f>TEXT("5110218158414471298","0")</f>
        <v>5110218158414470000</v>
      </c>
    </row>
    <row r="500" spans="1:10" ht="12.75" x14ac:dyDescent="0.2">
      <c r="A500" s="2">
        <v>44494.865300925929</v>
      </c>
      <c r="B500" s="3" t="s">
        <v>29</v>
      </c>
      <c r="C500" s="3" t="s">
        <v>1851</v>
      </c>
      <c r="D500" s="3" t="s">
        <v>1852</v>
      </c>
      <c r="E500" s="3" t="s">
        <v>1853</v>
      </c>
      <c r="F500" s="3" t="s">
        <v>1854</v>
      </c>
      <c r="G500" s="3" t="s">
        <v>1855</v>
      </c>
      <c r="H500" s="3" t="s">
        <v>1856</v>
      </c>
      <c r="I500" s="3" t="s">
        <v>46</v>
      </c>
      <c r="J500" s="4" t="str">
        <f>TEXT("5110219626418262421","0")</f>
        <v>5110219626418260000</v>
      </c>
    </row>
    <row r="501" spans="1:10" ht="12.75" x14ac:dyDescent="0.2">
      <c r="A501" s="2">
        <v>44494.928842592592</v>
      </c>
      <c r="B501" s="3" t="s">
        <v>29</v>
      </c>
      <c r="C501" s="3" t="s">
        <v>1857</v>
      </c>
      <c r="D501" s="3" t="s">
        <v>1858</v>
      </c>
      <c r="E501" s="3" t="s">
        <v>1859</v>
      </c>
      <c r="F501" s="3" t="s">
        <v>657</v>
      </c>
      <c r="G501" s="3" t="s">
        <v>1860</v>
      </c>
      <c r="H501" s="3" t="s">
        <v>1860</v>
      </c>
      <c r="I501" s="3" t="s">
        <v>46</v>
      </c>
      <c r="J501" s="4" t="str">
        <f>TEXT("5110274523817036661","0")</f>
        <v>5110274523817030000</v>
      </c>
    </row>
    <row r="502" spans="1:10" ht="12.75" x14ac:dyDescent="0.2">
      <c r="A502" s="2">
        <v>44494.965451388889</v>
      </c>
      <c r="B502" s="3" t="s">
        <v>29</v>
      </c>
      <c r="C502" s="3" t="s">
        <v>1645</v>
      </c>
      <c r="D502" s="3" t="s">
        <v>1646</v>
      </c>
      <c r="E502" s="3" t="s">
        <v>1647</v>
      </c>
      <c r="F502" s="3" t="s">
        <v>1861</v>
      </c>
      <c r="G502" s="3" t="s">
        <v>1647</v>
      </c>
      <c r="H502" s="3" t="s">
        <v>1862</v>
      </c>
      <c r="I502" s="3" t="s">
        <v>46</v>
      </c>
      <c r="J502" s="4" t="str">
        <f>TEXT("5110306155211165584","0")</f>
        <v>5110306155211160000</v>
      </c>
    </row>
    <row r="503" spans="1:10" ht="12.75" x14ac:dyDescent="0.2">
      <c r="A503" s="2">
        <v>44494.971053240741</v>
      </c>
      <c r="B503" s="3" t="s">
        <v>29</v>
      </c>
      <c r="C503" s="3" t="s">
        <v>1863</v>
      </c>
      <c r="D503" s="3" t="s">
        <v>1861</v>
      </c>
      <c r="E503" s="3" t="s">
        <v>1864</v>
      </c>
      <c r="F503" s="3" t="s">
        <v>1865</v>
      </c>
      <c r="G503" s="3" t="s">
        <v>1647</v>
      </c>
      <c r="H503" s="3" t="s">
        <v>1165</v>
      </c>
      <c r="J503" s="4" t="str">
        <f>TEXT("5110310993818720063","0")</f>
        <v>5110310993818720000</v>
      </c>
    </row>
    <row r="504" spans="1:10" ht="12.75" x14ac:dyDescent="0.2">
      <c r="A504" s="2">
        <v>44494.990706018521</v>
      </c>
      <c r="B504" s="3" t="s">
        <v>23</v>
      </c>
      <c r="C504" s="3" t="s">
        <v>1866</v>
      </c>
      <c r="D504" s="3" t="s">
        <v>1867</v>
      </c>
      <c r="E504" s="3" t="s">
        <v>1868</v>
      </c>
      <c r="F504" s="3" t="s">
        <v>349</v>
      </c>
      <c r="G504" s="3" t="s">
        <v>1735</v>
      </c>
      <c r="H504" s="3" t="s">
        <v>1408</v>
      </c>
      <c r="J504" s="4" t="str">
        <f>TEXT("5110327970015502176","0")</f>
        <v>5110327970015500000</v>
      </c>
    </row>
    <row r="505" spans="1:10" ht="12.75" x14ac:dyDescent="0.2">
      <c r="A505" s="2">
        <v>44495.012627314813</v>
      </c>
      <c r="B505" s="3" t="s">
        <v>29</v>
      </c>
      <c r="C505" s="3" t="s">
        <v>1869</v>
      </c>
      <c r="D505" s="3" t="s">
        <v>1870</v>
      </c>
      <c r="E505" s="3" t="s">
        <v>1131</v>
      </c>
      <c r="F505" s="3" t="s">
        <v>1871</v>
      </c>
      <c r="G505" s="3" t="s">
        <v>1872</v>
      </c>
      <c r="H505" s="3" t="s">
        <v>1004</v>
      </c>
      <c r="J505" s="4" t="str">
        <f>TEXT("5110346919026731229","0")</f>
        <v>5110346919026730000</v>
      </c>
    </row>
    <row r="506" spans="1:10" ht="12.75" x14ac:dyDescent="0.2">
      <c r="A506" s="2">
        <v>44495.037152777775</v>
      </c>
      <c r="B506" s="3" t="s">
        <v>29</v>
      </c>
      <c r="C506" s="3" t="s">
        <v>1873</v>
      </c>
      <c r="D506" s="3" t="s">
        <v>1874</v>
      </c>
      <c r="E506" s="3" t="s">
        <v>1875</v>
      </c>
      <c r="F506" s="3" t="s">
        <v>1876</v>
      </c>
      <c r="G506" s="3" t="s">
        <v>1877</v>
      </c>
      <c r="H506" s="3" t="s">
        <v>637</v>
      </c>
      <c r="J506" s="4" t="str">
        <f>TEXT("5110368107149271392","0")</f>
        <v>5110368107149270000</v>
      </c>
    </row>
    <row r="507" spans="1:10" ht="12.75" x14ac:dyDescent="0.2">
      <c r="A507" s="2">
        <v>44495.275393518517</v>
      </c>
      <c r="B507" s="3" t="s">
        <v>23</v>
      </c>
      <c r="C507" s="3" t="s">
        <v>1878</v>
      </c>
      <c r="D507" s="3" t="s">
        <v>25</v>
      </c>
      <c r="E507" s="3" t="s">
        <v>1879</v>
      </c>
      <c r="F507" s="3" t="s">
        <v>1880</v>
      </c>
      <c r="G507" s="3" t="s">
        <v>1881</v>
      </c>
      <c r="H507" s="3" t="s">
        <v>25</v>
      </c>
      <c r="I507" s="3" t="s">
        <v>1882</v>
      </c>
      <c r="J507" s="4" t="str">
        <f>TEXT("5110573946136748326","0")</f>
        <v>5110573946136740000</v>
      </c>
    </row>
    <row r="508" spans="1:10" ht="12.75" x14ac:dyDescent="0.2">
      <c r="A508" s="2">
        <v>44495.31726851852</v>
      </c>
      <c r="B508" s="3" t="s">
        <v>29</v>
      </c>
      <c r="C508" s="3" t="s">
        <v>1883</v>
      </c>
      <c r="D508" s="3" t="s">
        <v>1884</v>
      </c>
      <c r="E508" s="3" t="s">
        <v>1885</v>
      </c>
      <c r="F508" s="3" t="s">
        <v>1886</v>
      </c>
      <c r="G508" s="3" t="s">
        <v>1887</v>
      </c>
      <c r="H508" s="3" t="s">
        <v>1888</v>
      </c>
      <c r="I508" s="3" t="s">
        <v>46</v>
      </c>
      <c r="J508" s="4" t="str">
        <f>TEXT("5110610125511621593","0")</f>
        <v>5110610125511620000</v>
      </c>
    </row>
    <row r="509" spans="1:10" ht="12.75" x14ac:dyDescent="0.2">
      <c r="A509" s="2">
        <v>44495.330543981479</v>
      </c>
      <c r="B509" s="3" t="s">
        <v>23</v>
      </c>
      <c r="C509" s="3" t="s">
        <v>1889</v>
      </c>
      <c r="D509" s="3" t="s">
        <v>589</v>
      </c>
      <c r="E509" s="3" t="s">
        <v>1890</v>
      </c>
      <c r="F509" s="3" t="s">
        <v>589</v>
      </c>
      <c r="G509" s="3" t="s">
        <v>593</v>
      </c>
      <c r="H509" s="3" t="s">
        <v>593</v>
      </c>
      <c r="I509" s="3" t="s">
        <v>1891</v>
      </c>
      <c r="J509" s="4" t="str">
        <f>TEXT("5110621598569151593","0")</f>
        <v>5110621598569150000</v>
      </c>
    </row>
    <row r="510" spans="1:10" ht="12.75" x14ac:dyDescent="0.2">
      <c r="A510" s="2">
        <v>44495.353703703702</v>
      </c>
      <c r="B510" s="3" t="s">
        <v>29</v>
      </c>
      <c r="C510" s="3" t="s">
        <v>1892</v>
      </c>
      <c r="D510" s="3" t="s">
        <v>1519</v>
      </c>
      <c r="E510" s="3" t="s">
        <v>75</v>
      </c>
      <c r="F510" s="3" t="s">
        <v>1398</v>
      </c>
      <c r="G510" s="3" t="s">
        <v>1893</v>
      </c>
      <c r="H510" s="3" t="s">
        <v>193</v>
      </c>
      <c r="I510" s="3" t="s">
        <v>46</v>
      </c>
      <c r="J510" s="4" t="str">
        <f>TEXT("5110641603713128242","0")</f>
        <v>5110641603713120000</v>
      </c>
    </row>
    <row r="511" spans="1:10" ht="12.75" x14ac:dyDescent="0.2">
      <c r="A511" s="2">
        <v>44495.421203703707</v>
      </c>
      <c r="B511" s="3" t="s">
        <v>23</v>
      </c>
      <c r="C511" s="3" t="s">
        <v>1894</v>
      </c>
      <c r="D511" s="3" t="s">
        <v>1603</v>
      </c>
      <c r="E511" s="3" t="s">
        <v>1603</v>
      </c>
      <c r="F511" s="3" t="s">
        <v>1603</v>
      </c>
      <c r="G511" s="3" t="s">
        <v>1895</v>
      </c>
      <c r="H511" s="3" t="s">
        <v>1250</v>
      </c>
      <c r="I511" s="3" t="s">
        <v>46</v>
      </c>
      <c r="J511" s="4" t="str">
        <f>TEXT("5110699920018479493","0")</f>
        <v>5110699920018470000</v>
      </c>
    </row>
    <row r="512" spans="1:10" ht="12.75" x14ac:dyDescent="0.2">
      <c r="A512" s="2">
        <v>44495.453148148146</v>
      </c>
      <c r="B512" s="3" t="s">
        <v>29</v>
      </c>
      <c r="C512" s="3" t="s">
        <v>1896</v>
      </c>
      <c r="D512" s="3" t="s">
        <v>495</v>
      </c>
      <c r="E512" s="3" t="s">
        <v>117</v>
      </c>
      <c r="F512" s="3" t="s">
        <v>435</v>
      </c>
      <c r="G512" s="3" t="s">
        <v>117</v>
      </c>
      <c r="H512" s="3" t="s">
        <v>118</v>
      </c>
      <c r="I512" s="3" t="s">
        <v>46</v>
      </c>
      <c r="J512" s="4" t="str">
        <f>TEXT("5110727520811876949","0")</f>
        <v>5110727520811870000</v>
      </c>
    </row>
    <row r="513" spans="1:10" ht="12.75" x14ac:dyDescent="0.2">
      <c r="A513" s="2">
        <v>44495.538946759261</v>
      </c>
      <c r="B513" s="3" t="s">
        <v>29</v>
      </c>
      <c r="C513" s="3" t="s">
        <v>1897</v>
      </c>
      <c r="D513" s="3" t="s">
        <v>1898</v>
      </c>
      <c r="E513" s="3" t="s">
        <v>1899</v>
      </c>
      <c r="F513" s="3" t="s">
        <v>1900</v>
      </c>
      <c r="G513" s="3" t="s">
        <v>1901</v>
      </c>
      <c r="H513" s="3" t="s">
        <v>587</v>
      </c>
      <c r="J513" s="4" t="str">
        <f>TEXT("5110801656019365343","0")</f>
        <v>5110801656019360000</v>
      </c>
    </row>
    <row r="514" spans="1:10" ht="12.75" x14ac:dyDescent="0.2">
      <c r="A514" s="2">
        <v>44495.678460648145</v>
      </c>
      <c r="B514" s="3" t="s">
        <v>23</v>
      </c>
      <c r="C514" s="3" t="s">
        <v>1902</v>
      </c>
      <c r="D514" s="3" t="s">
        <v>1903</v>
      </c>
      <c r="E514" s="3" t="s">
        <v>1904</v>
      </c>
      <c r="F514" s="3" t="s">
        <v>1905</v>
      </c>
      <c r="G514" s="3" t="s">
        <v>91</v>
      </c>
      <c r="H514" s="3" t="s">
        <v>349</v>
      </c>
      <c r="I514" s="3" t="s">
        <v>46</v>
      </c>
      <c r="J514" s="4" t="str">
        <f>TEXT("5110922197813793449","0")</f>
        <v>5110922197813790000</v>
      </c>
    </row>
    <row r="515" spans="1:10" ht="12.75" x14ac:dyDescent="0.2">
      <c r="A515" s="2">
        <v>44495.699282407404</v>
      </c>
      <c r="B515" s="3" t="s">
        <v>29</v>
      </c>
      <c r="C515" s="3" t="s">
        <v>1906</v>
      </c>
      <c r="D515" s="3" t="s">
        <v>209</v>
      </c>
      <c r="E515" s="3" t="s">
        <v>209</v>
      </c>
      <c r="F515" s="3" t="s">
        <v>1907</v>
      </c>
      <c r="G515" s="3" t="s">
        <v>1080</v>
      </c>
      <c r="H515" s="3" t="s">
        <v>209</v>
      </c>
      <c r="I515" s="3" t="s">
        <v>1908</v>
      </c>
      <c r="J515" s="4" t="str">
        <f>TEXT("5110940187427748398","0")</f>
        <v>5110940187427740000</v>
      </c>
    </row>
    <row r="516" spans="1:10" ht="12.75" x14ac:dyDescent="0.2">
      <c r="A516" s="2">
        <v>44495.717245370368</v>
      </c>
      <c r="B516" s="3" t="s">
        <v>29</v>
      </c>
      <c r="C516" s="3" t="s">
        <v>1909</v>
      </c>
      <c r="D516" s="3" t="s">
        <v>694</v>
      </c>
      <c r="E516" s="3" t="s">
        <v>1491</v>
      </c>
      <c r="F516" s="3" t="s">
        <v>1581</v>
      </c>
      <c r="G516" s="3" t="s">
        <v>1910</v>
      </c>
      <c r="H516" s="3" t="s">
        <v>1911</v>
      </c>
      <c r="J516" s="4" t="str">
        <f>TEXT("5110955702192535293","0")</f>
        <v>5110955702192530000</v>
      </c>
    </row>
    <row r="517" spans="1:10" ht="12.75" x14ac:dyDescent="0.2">
      <c r="A517" s="2">
        <v>44495.864606481482</v>
      </c>
      <c r="B517" s="3" t="s">
        <v>29</v>
      </c>
      <c r="C517" s="3" t="s">
        <v>1912</v>
      </c>
      <c r="D517" s="3" t="s">
        <v>1913</v>
      </c>
      <c r="E517" s="3" t="s">
        <v>1913</v>
      </c>
      <c r="F517" s="3" t="s">
        <v>1914</v>
      </c>
      <c r="G517" s="3" t="s">
        <v>1256</v>
      </c>
      <c r="H517" s="3" t="s">
        <v>146</v>
      </c>
      <c r="I517" s="3" t="s">
        <v>1915</v>
      </c>
      <c r="J517" s="4" t="str">
        <f>TEXT("5111083027912432845","0")</f>
        <v>5111083027912430000</v>
      </c>
    </row>
    <row r="518" spans="1:10" ht="12.75" x14ac:dyDescent="0.2">
      <c r="A518" s="2">
        <v>44495.914861111109</v>
      </c>
      <c r="B518" s="3" t="s">
        <v>23</v>
      </c>
      <c r="C518" s="3" t="s">
        <v>1916</v>
      </c>
      <c r="D518" s="3" t="s">
        <v>1917</v>
      </c>
      <c r="E518" s="3" t="s">
        <v>236</v>
      </c>
      <c r="F518" s="3" t="s">
        <v>236</v>
      </c>
      <c r="G518" s="3" t="s">
        <v>236</v>
      </c>
      <c r="H518" s="3" t="s">
        <v>236</v>
      </c>
      <c r="J518" s="4" t="str">
        <f>TEXT("5111126440484219707","0")</f>
        <v>5111126440484210000</v>
      </c>
    </row>
    <row r="519" spans="1:10" ht="12.75" x14ac:dyDescent="0.2">
      <c r="A519" s="2">
        <v>44495.921261574076</v>
      </c>
      <c r="B519" s="3" t="s">
        <v>29</v>
      </c>
      <c r="C519" s="3" t="s">
        <v>1918</v>
      </c>
      <c r="D519" s="3" t="s">
        <v>678</v>
      </c>
      <c r="E519" s="3" t="s">
        <v>1919</v>
      </c>
      <c r="F519" s="3" t="s">
        <v>1920</v>
      </c>
      <c r="G519" s="3" t="s">
        <v>407</v>
      </c>
      <c r="H519" s="3" t="s">
        <v>1921</v>
      </c>
      <c r="J519" s="4" t="str">
        <f>TEXT("5111131978612227744","0")</f>
        <v>5111131978612220000</v>
      </c>
    </row>
    <row r="520" spans="1:10" ht="12.75" x14ac:dyDescent="0.2">
      <c r="A520" s="2">
        <v>44495.947638888887</v>
      </c>
      <c r="B520" s="3" t="s">
        <v>29</v>
      </c>
      <c r="C520" s="3" t="s">
        <v>1922</v>
      </c>
      <c r="D520" s="3" t="s">
        <v>1923</v>
      </c>
      <c r="E520" s="3" t="s">
        <v>1924</v>
      </c>
      <c r="F520" s="3" t="s">
        <v>1925</v>
      </c>
      <c r="G520" s="3" t="s">
        <v>1923</v>
      </c>
      <c r="H520" s="3" t="s">
        <v>1664</v>
      </c>
      <c r="I520" s="3" t="s">
        <v>1926</v>
      </c>
      <c r="J520" s="4" t="str">
        <f>TEXT("5111154760272272824","0")</f>
        <v>5111154760272270000</v>
      </c>
    </row>
    <row r="521" spans="1:10" ht="12.75" x14ac:dyDescent="0.2">
      <c r="A521" s="2">
        <v>44496.415752314817</v>
      </c>
      <c r="B521" s="3" t="s">
        <v>29</v>
      </c>
      <c r="C521" s="3" t="s">
        <v>1927</v>
      </c>
      <c r="D521" s="3" t="s">
        <v>1928</v>
      </c>
      <c r="E521" s="3" t="s">
        <v>428</v>
      </c>
      <c r="F521" s="3" t="s">
        <v>1475</v>
      </c>
      <c r="G521" s="3" t="s">
        <v>113</v>
      </c>
      <c r="H521" s="3" t="s">
        <v>475</v>
      </c>
      <c r="I521" s="3" t="s">
        <v>46</v>
      </c>
      <c r="J521" s="4" t="str">
        <f>TEXT("5111559219415776094","0")</f>
        <v>5111559219415770000</v>
      </c>
    </row>
    <row r="522" spans="1:10" ht="12.75" x14ac:dyDescent="0.2">
      <c r="A522" s="2">
        <v>44496.43650462963</v>
      </c>
      <c r="B522" s="3" t="s">
        <v>29</v>
      </c>
      <c r="C522" s="3" t="s">
        <v>1929</v>
      </c>
      <c r="D522" s="3" t="s">
        <v>871</v>
      </c>
      <c r="E522" s="3" t="s">
        <v>18</v>
      </c>
      <c r="F522" s="3" t="s">
        <v>1930</v>
      </c>
      <c r="G522" s="3" t="s">
        <v>39</v>
      </c>
      <c r="H522" s="3" t="s">
        <v>1931</v>
      </c>
      <c r="J522" s="4" t="str">
        <f>TEXT("5111577148015736386","0")</f>
        <v>5111577148015730000</v>
      </c>
    </row>
    <row r="523" spans="1:10" ht="12.75" x14ac:dyDescent="0.2">
      <c r="A523" s="2">
        <v>44496.460069444445</v>
      </c>
      <c r="B523" s="3" t="s">
        <v>29</v>
      </c>
      <c r="C523" s="3" t="s">
        <v>1932</v>
      </c>
      <c r="D523" s="3" t="s">
        <v>1933</v>
      </c>
      <c r="E523" s="3" t="s">
        <v>606</v>
      </c>
      <c r="F523" s="3" t="s">
        <v>522</v>
      </c>
      <c r="G523" s="3" t="s">
        <v>1037</v>
      </c>
      <c r="H523" s="3" t="s">
        <v>317</v>
      </c>
      <c r="J523" s="4" t="str">
        <f>TEXT("5111597269019244327","0")</f>
        <v>5111597269019240000</v>
      </c>
    </row>
    <row r="524" spans="1:10" ht="12.75" x14ac:dyDescent="0.2">
      <c r="A524" s="2">
        <v>44496.51971064815</v>
      </c>
      <c r="B524" s="3" t="s">
        <v>29</v>
      </c>
      <c r="C524" s="3" t="s">
        <v>1934</v>
      </c>
      <c r="D524" s="3" t="s">
        <v>1935</v>
      </c>
      <c r="E524" s="3" t="s">
        <v>717</v>
      </c>
      <c r="F524" s="3" t="s">
        <v>1935</v>
      </c>
      <c r="G524" s="3" t="s">
        <v>717</v>
      </c>
      <c r="H524" s="3" t="s">
        <v>717</v>
      </c>
      <c r="I524" s="3" t="s">
        <v>1936</v>
      </c>
      <c r="J524" s="4" t="str">
        <f>TEXT("5111649034022815648","0")</f>
        <v>5111649034022810000</v>
      </c>
    </row>
    <row r="525" spans="1:10" ht="12.75" x14ac:dyDescent="0.2">
      <c r="A525" s="2">
        <v>44496.584618055553</v>
      </c>
      <c r="B525" s="3" t="s">
        <v>29</v>
      </c>
      <c r="C525" s="3" t="s">
        <v>1937</v>
      </c>
      <c r="D525" s="3" t="s">
        <v>1938</v>
      </c>
      <c r="E525" s="3" t="s">
        <v>1939</v>
      </c>
      <c r="F525" s="3" t="s">
        <v>1940</v>
      </c>
      <c r="G525" s="3" t="s">
        <v>516</v>
      </c>
      <c r="H525" s="3" t="s">
        <v>1618</v>
      </c>
      <c r="J525" s="4" t="str">
        <f>TEXT("5111705118317123404","0")</f>
        <v>5111705118317120000</v>
      </c>
    </row>
    <row r="526" spans="1:10" ht="12.75" x14ac:dyDescent="0.2">
      <c r="A526" s="2">
        <v>44496.691620370373</v>
      </c>
      <c r="B526" s="3" t="s">
        <v>23</v>
      </c>
      <c r="C526" s="3" t="s">
        <v>1883</v>
      </c>
      <c r="D526" s="3" t="s">
        <v>1888</v>
      </c>
      <c r="E526" s="3" t="s">
        <v>1888</v>
      </c>
      <c r="F526" s="3" t="s">
        <v>1887</v>
      </c>
      <c r="G526" s="3" t="s">
        <v>1888</v>
      </c>
      <c r="H526" s="3" t="s">
        <v>1887</v>
      </c>
      <c r="I526" s="3" t="s">
        <v>1941</v>
      </c>
      <c r="J526" s="4" t="str">
        <f>TEXT("5111797569718089069","0")</f>
        <v>5111797569718080000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Main 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</cp:lastModifiedBy>
  <dcterms:modified xsi:type="dcterms:W3CDTF">2021-10-27T23:43:42Z</dcterms:modified>
</cp:coreProperties>
</file>