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7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0" max="23"/>
  </cols>
  <sheetData>
    <row r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Kommun</t>
        </is>
      </c>
      <c r="E1" t="inlineStr">
        <is>
          <t>Markägare</t>
        </is>
      </c>
      <c r="F1" t="inlineStr">
        <is>
          <t>Area (ha)</t>
        </is>
      </c>
      <c r="G1" t="inlineStr">
        <is>
          <t>Fridlysta</t>
        </is>
      </c>
      <c r="H1" t="inlineStr">
        <is>
          <t>Signalarter</t>
        </is>
      </c>
      <c r="I1" t="inlineStr">
        <is>
          <t>NT</t>
        </is>
      </c>
      <c r="J1" t="inlineStr">
        <is>
          <t>VU</t>
        </is>
      </c>
      <c r="K1" t="inlineStr">
        <is>
          <t>EN</t>
        </is>
      </c>
      <c r="L1" t="inlineStr">
        <is>
          <t>CR</t>
        </is>
      </c>
      <c r="M1" t="inlineStr">
        <is>
          <t>RE</t>
        </is>
      </c>
      <c r="N1" t="inlineStr">
        <is>
          <t>Rödlistade</t>
        </is>
      </c>
      <c r="O1" t="inlineStr">
        <is>
          <t>Hotade</t>
        </is>
      </c>
      <c r="P1" t="inlineStr">
        <is>
          <t>Alla arter</t>
        </is>
      </c>
      <c r="Q1" t="inlineStr">
        <is>
          <t>Artfyndslänk</t>
        </is>
      </c>
      <c r="R1" t="inlineStr">
        <is>
          <t>Kartlänk</t>
        </is>
      </c>
      <c r="S1" t="inlineStr">
        <is>
          <t>Knärotsbuffertlänk</t>
        </is>
      </c>
      <c r="T1" t="inlineStr">
        <is>
          <t>Klagomålslänk</t>
        </is>
      </c>
      <c r="U1" t="inlineStr">
        <is>
          <t>Klagomålsmaillänk</t>
        </is>
      </c>
      <c r="V1" t="inlineStr">
        <is>
          <t>Tillsynsbegäranslänk</t>
        </is>
      </c>
      <c r="W1" t="inlineStr">
        <is>
          <t>Tillsynsbegäransmaillänk</t>
        </is>
      </c>
    </row>
    <row r="2">
      <c r="A2" t="inlineStr">
        <is>
          <t>A 68504-2020</t>
        </is>
      </c>
      <c r="B2" s="1" t="n">
        <v>44186</v>
      </c>
      <c r="C2" s="1" t="n">
        <v>45156</v>
      </c>
      <c r="D2" t="inlineStr">
        <is>
          <t>STRÖMSUND</t>
        </is>
      </c>
      <c r="E2" t="inlineStr">
        <is>
          <t>Holmen skog AB</t>
        </is>
      </c>
      <c r="F2" t="n">
        <v>167.7</v>
      </c>
      <c r="G2" t="n">
        <v>7</v>
      </c>
      <c r="H2" t="n">
        <v>20</v>
      </c>
      <c r="I2" t="n">
        <v>17</v>
      </c>
      <c r="J2" t="n">
        <v>3</v>
      </c>
      <c r="K2" t="n">
        <v>2</v>
      </c>
      <c r="L2" t="n">
        <v>0</v>
      </c>
      <c r="M2" t="n">
        <v>0</v>
      </c>
      <c r="N2" t="n">
        <v>22</v>
      </c>
      <c r="O2" t="n">
        <v>5</v>
      </c>
      <c r="P2" t="n">
        <v>45</v>
      </c>
      <c r="Q2">
        <f>HYPERLINK("artfynd\A 68504-2020.xlsx")</f>
        <v/>
      </c>
      <c r="R2">
        <f>HYPERLINK("kartor\A 68504-2020.png")</f>
        <v/>
      </c>
      <c r="T2">
        <f>HYPERLINK("klagomål\A 68504-2020.docx")</f>
        <v/>
      </c>
      <c r="U2">
        <f>HYPERLINK("klagomålsmail\A 68504-2020.docx")</f>
        <v/>
      </c>
      <c r="V2">
        <f>HYPERLINK("tillsyn\A 68504-2020.docx")</f>
        <v/>
      </c>
      <c r="W2">
        <f>HYPERLINK("tillsynsmail\A 68504-2020.docx")</f>
        <v/>
      </c>
    </row>
    <row r="3">
      <c r="A3" t="inlineStr">
        <is>
          <t>A 13357-2023</t>
        </is>
      </c>
      <c r="B3" s="1" t="n">
        <v>45005</v>
      </c>
      <c r="C3" s="1" t="n">
        <v>45156</v>
      </c>
      <c r="D3" t="inlineStr">
        <is>
          <t>STRÖMSUND</t>
        </is>
      </c>
      <c r="F3" t="n">
        <v>252.2</v>
      </c>
      <c r="G3" t="n">
        <v>12</v>
      </c>
      <c r="H3" t="n">
        <v>18</v>
      </c>
      <c r="I3" t="n">
        <v>8</v>
      </c>
      <c r="J3" t="n">
        <v>4</v>
      </c>
      <c r="K3" t="n">
        <v>3</v>
      </c>
      <c r="L3" t="n">
        <v>0</v>
      </c>
      <c r="M3" t="n">
        <v>0</v>
      </c>
      <c r="N3" t="n">
        <v>15</v>
      </c>
      <c r="O3" t="n">
        <v>7</v>
      </c>
      <c r="P3" t="n">
        <v>39</v>
      </c>
      <c r="Q3">
        <f>HYPERLINK("artfynd\A 13357-2023.xlsx")</f>
        <v/>
      </c>
      <c r="R3">
        <f>HYPERLINK("kartor\A 13357-2023.png")</f>
        <v/>
      </c>
      <c r="T3">
        <f>HYPERLINK("klagomål\A 13357-2023.docx")</f>
        <v/>
      </c>
      <c r="U3">
        <f>HYPERLINK("klagomålsmail\A 13357-2023.docx")</f>
        <v/>
      </c>
      <c r="V3">
        <f>HYPERLINK("tillsyn\A 13357-2023.docx")</f>
        <v/>
      </c>
      <c r="W3">
        <f>HYPERLINK("tillsynsmail\A 13357-2023.docx")</f>
        <v/>
      </c>
    </row>
    <row r="4">
      <c r="A4" t="inlineStr">
        <is>
          <t>A 239-2021</t>
        </is>
      </c>
      <c r="B4" s="1" t="n">
        <v>44200</v>
      </c>
      <c r="C4" s="1" t="n">
        <v>45156</v>
      </c>
      <c r="D4" t="inlineStr">
        <is>
          <t>STRÖMSUND</t>
        </is>
      </c>
      <c r="E4" t="inlineStr">
        <is>
          <t>Holmen skog AB</t>
        </is>
      </c>
      <c r="F4" t="n">
        <v>171.4</v>
      </c>
      <c r="G4" t="n">
        <v>5</v>
      </c>
      <c r="H4" t="n">
        <v>16</v>
      </c>
      <c r="I4" t="n">
        <v>16</v>
      </c>
      <c r="J4" t="n">
        <v>3</v>
      </c>
      <c r="K4" t="n">
        <v>0</v>
      </c>
      <c r="L4" t="n">
        <v>0</v>
      </c>
      <c r="M4" t="n">
        <v>0</v>
      </c>
      <c r="N4" t="n">
        <v>19</v>
      </c>
      <c r="O4" t="n">
        <v>3</v>
      </c>
      <c r="P4" t="n">
        <v>36</v>
      </c>
      <c r="Q4">
        <f>HYPERLINK("artfynd\A 239-2021.xlsx")</f>
        <v/>
      </c>
      <c r="R4">
        <f>HYPERLINK("kartor\A 239-2021.png")</f>
        <v/>
      </c>
      <c r="T4">
        <f>HYPERLINK("klagomål\A 239-2021.docx")</f>
        <v/>
      </c>
      <c r="U4">
        <f>HYPERLINK("klagomålsmail\A 239-2021.docx")</f>
        <v/>
      </c>
      <c r="V4">
        <f>HYPERLINK("tillsyn\A 239-2021.docx")</f>
        <v/>
      </c>
      <c r="W4">
        <f>HYPERLINK("tillsynsmail\A 239-2021.docx")</f>
        <v/>
      </c>
    </row>
    <row r="5">
      <c r="A5" t="inlineStr">
        <is>
          <t>A 66164-2020</t>
        </is>
      </c>
      <c r="B5" s="1" t="n">
        <v>44175</v>
      </c>
      <c r="C5" s="1" t="n">
        <v>45156</v>
      </c>
      <c r="D5" t="inlineStr">
        <is>
          <t>STRÖMSUND</t>
        </is>
      </c>
      <c r="E5" t="inlineStr">
        <is>
          <t>Holmen skog AB</t>
        </is>
      </c>
      <c r="F5" t="n">
        <v>22.9</v>
      </c>
      <c r="G5" t="n">
        <v>7</v>
      </c>
      <c r="H5" t="n">
        <v>11</v>
      </c>
      <c r="I5" t="n">
        <v>15</v>
      </c>
      <c r="J5" t="n">
        <v>3</v>
      </c>
      <c r="K5" t="n">
        <v>0</v>
      </c>
      <c r="L5" t="n">
        <v>0</v>
      </c>
      <c r="M5" t="n">
        <v>0</v>
      </c>
      <c r="N5" t="n">
        <v>18</v>
      </c>
      <c r="O5" t="n">
        <v>3</v>
      </c>
      <c r="P5" t="n">
        <v>32</v>
      </c>
      <c r="Q5">
        <f>HYPERLINK("artfynd\A 66164-2020.xlsx")</f>
        <v/>
      </c>
      <c r="R5">
        <f>HYPERLINK("kartor\A 66164-2020.png")</f>
        <v/>
      </c>
      <c r="T5">
        <f>HYPERLINK("klagomål\A 66164-2020.docx")</f>
        <v/>
      </c>
      <c r="U5">
        <f>HYPERLINK("klagomålsmail\A 66164-2020.docx")</f>
        <v/>
      </c>
      <c r="V5">
        <f>HYPERLINK("tillsyn\A 66164-2020.docx")</f>
        <v/>
      </c>
      <c r="W5">
        <f>HYPERLINK("tillsynsmail\A 66164-2020.docx")</f>
        <v/>
      </c>
    </row>
    <row r="6">
      <c r="A6" t="inlineStr">
        <is>
          <t>A 33650-2019</t>
        </is>
      </c>
      <c r="B6" s="1" t="n">
        <v>43651</v>
      </c>
      <c r="C6" s="1" t="n">
        <v>45156</v>
      </c>
      <c r="D6" t="inlineStr">
        <is>
          <t>STRÖMSUND</t>
        </is>
      </c>
      <c r="E6" t="inlineStr">
        <is>
          <t>Holmen skog AB</t>
        </is>
      </c>
      <c r="F6" t="n">
        <v>19.3</v>
      </c>
      <c r="G6" t="n">
        <v>2</v>
      </c>
      <c r="H6" t="n">
        <v>13</v>
      </c>
      <c r="I6" t="n">
        <v>14</v>
      </c>
      <c r="J6" t="n">
        <v>3</v>
      </c>
      <c r="K6" t="n">
        <v>0</v>
      </c>
      <c r="L6" t="n">
        <v>0</v>
      </c>
      <c r="M6" t="n">
        <v>0</v>
      </c>
      <c r="N6" t="n">
        <v>17</v>
      </c>
      <c r="O6" t="n">
        <v>3</v>
      </c>
      <c r="P6" t="n">
        <v>30</v>
      </c>
      <c r="Q6">
        <f>HYPERLINK("artfynd\A 33650-2019.xlsx")</f>
        <v/>
      </c>
      <c r="R6">
        <f>HYPERLINK("kartor\A 33650-2019.png")</f>
        <v/>
      </c>
      <c r="T6">
        <f>HYPERLINK("klagomål\A 33650-2019.docx")</f>
        <v/>
      </c>
      <c r="U6">
        <f>HYPERLINK("klagomålsmail\A 33650-2019.docx")</f>
        <v/>
      </c>
      <c r="V6">
        <f>HYPERLINK("tillsyn\A 33650-2019.docx")</f>
        <v/>
      </c>
      <c r="W6">
        <f>HYPERLINK("tillsynsmail\A 33650-2019.docx")</f>
        <v/>
      </c>
    </row>
    <row r="7">
      <c r="A7" t="inlineStr">
        <is>
          <t>A 68481-2020</t>
        </is>
      </c>
      <c r="B7" s="1" t="n">
        <v>44186</v>
      </c>
      <c r="C7" s="1" t="n">
        <v>45156</v>
      </c>
      <c r="D7" t="inlineStr">
        <is>
          <t>STRÖMSUND</t>
        </is>
      </c>
      <c r="E7" t="inlineStr">
        <is>
          <t>Holmen skog AB</t>
        </is>
      </c>
      <c r="F7" t="n">
        <v>100.6</v>
      </c>
      <c r="G7" t="n">
        <v>3</v>
      </c>
      <c r="H7" t="n">
        <v>14</v>
      </c>
      <c r="I7" t="n">
        <v>10</v>
      </c>
      <c r="J7" t="n">
        <v>3</v>
      </c>
      <c r="K7" t="n">
        <v>0</v>
      </c>
      <c r="L7" t="n">
        <v>0</v>
      </c>
      <c r="M7" t="n">
        <v>0</v>
      </c>
      <c r="N7" t="n">
        <v>13</v>
      </c>
      <c r="O7" t="n">
        <v>3</v>
      </c>
      <c r="P7" t="n">
        <v>27</v>
      </c>
      <c r="Q7">
        <f>HYPERLINK("artfynd\A 68481-2020.xlsx")</f>
        <v/>
      </c>
      <c r="R7">
        <f>HYPERLINK("kartor\A 68481-2020.png")</f>
        <v/>
      </c>
      <c r="T7">
        <f>HYPERLINK("klagomål\A 68481-2020.docx")</f>
        <v/>
      </c>
      <c r="U7">
        <f>HYPERLINK("klagomålsmail\A 68481-2020.docx")</f>
        <v/>
      </c>
      <c r="V7">
        <f>HYPERLINK("tillsyn\A 68481-2020.docx")</f>
        <v/>
      </c>
      <c r="W7">
        <f>HYPERLINK("tillsynsmail\A 68481-2020.docx")</f>
        <v/>
      </c>
    </row>
    <row r="8">
      <c r="A8" t="inlineStr">
        <is>
          <t>A 41447-2020</t>
        </is>
      </c>
      <c r="B8" s="1" t="n">
        <v>44073</v>
      </c>
      <c r="C8" s="1" t="n">
        <v>45156</v>
      </c>
      <c r="D8" t="inlineStr">
        <is>
          <t>STRÖMSUND</t>
        </is>
      </c>
      <c r="E8" t="inlineStr">
        <is>
          <t>SCA</t>
        </is>
      </c>
      <c r="F8" t="n">
        <v>15.9</v>
      </c>
      <c r="G8" t="n">
        <v>2</v>
      </c>
      <c r="H8" t="n">
        <v>6</v>
      </c>
      <c r="I8" t="n">
        <v>14</v>
      </c>
      <c r="J8" t="n">
        <v>5</v>
      </c>
      <c r="K8" t="n">
        <v>0</v>
      </c>
      <c r="L8" t="n">
        <v>0</v>
      </c>
      <c r="M8" t="n">
        <v>0</v>
      </c>
      <c r="N8" t="n">
        <v>19</v>
      </c>
      <c r="O8" t="n">
        <v>5</v>
      </c>
      <c r="P8" t="n">
        <v>25</v>
      </c>
      <c r="Q8">
        <f>HYPERLINK("artfynd\A 41447-2020.xlsx")</f>
        <v/>
      </c>
      <c r="R8">
        <f>HYPERLINK("kartor\A 41447-2020.png")</f>
        <v/>
      </c>
      <c r="S8">
        <f>HYPERLINK("knärot\A 41447-2020.png")</f>
        <v/>
      </c>
      <c r="T8">
        <f>HYPERLINK("klagomål\A 41447-2020.docx")</f>
        <v/>
      </c>
      <c r="U8">
        <f>HYPERLINK("klagomålsmail\A 41447-2020.docx")</f>
        <v/>
      </c>
      <c r="V8">
        <f>HYPERLINK("tillsyn\A 41447-2020.docx")</f>
        <v/>
      </c>
      <c r="W8">
        <f>HYPERLINK("tillsynsmail\A 41447-2020.docx")</f>
        <v/>
      </c>
    </row>
    <row r="9">
      <c r="A9" t="inlineStr">
        <is>
          <t>A 13787-2020</t>
        </is>
      </c>
      <c r="B9" s="1" t="n">
        <v>43903</v>
      </c>
      <c r="C9" s="1" t="n">
        <v>45156</v>
      </c>
      <c r="D9" t="inlineStr">
        <is>
          <t>STRÖMSUND</t>
        </is>
      </c>
      <c r="E9" t="inlineStr">
        <is>
          <t>SCA</t>
        </is>
      </c>
      <c r="F9" t="n">
        <v>10.2</v>
      </c>
      <c r="G9" t="n">
        <v>5</v>
      </c>
      <c r="H9" t="n">
        <v>7</v>
      </c>
      <c r="I9" t="n">
        <v>12</v>
      </c>
      <c r="J9" t="n">
        <v>3</v>
      </c>
      <c r="K9" t="n">
        <v>0</v>
      </c>
      <c r="L9" t="n">
        <v>0</v>
      </c>
      <c r="M9" t="n">
        <v>0</v>
      </c>
      <c r="N9" t="n">
        <v>15</v>
      </c>
      <c r="O9" t="n">
        <v>3</v>
      </c>
      <c r="P9" t="n">
        <v>23</v>
      </c>
      <c r="Q9">
        <f>HYPERLINK("artfynd\A 13787-2020.xlsx")</f>
        <v/>
      </c>
      <c r="R9">
        <f>HYPERLINK("kartor\A 13787-2020.png")</f>
        <v/>
      </c>
      <c r="T9">
        <f>HYPERLINK("klagomål\A 13787-2020.docx")</f>
        <v/>
      </c>
      <c r="U9">
        <f>HYPERLINK("klagomålsmail\A 13787-2020.docx")</f>
        <v/>
      </c>
      <c r="V9">
        <f>HYPERLINK("tillsyn\A 13787-2020.docx")</f>
        <v/>
      </c>
      <c r="W9">
        <f>HYPERLINK("tillsynsmail\A 13787-2020.docx")</f>
        <v/>
      </c>
    </row>
    <row r="10">
      <c r="A10" t="inlineStr">
        <is>
          <t>A 39994-2020</t>
        </is>
      </c>
      <c r="B10" s="1" t="n">
        <v>44067</v>
      </c>
      <c r="C10" s="1" t="n">
        <v>45156</v>
      </c>
      <c r="D10" t="inlineStr">
        <is>
          <t>STRÖMSUND</t>
        </is>
      </c>
      <c r="E10" t="inlineStr">
        <is>
          <t>Holmen skog AB</t>
        </is>
      </c>
      <c r="F10" t="n">
        <v>22</v>
      </c>
      <c r="G10" t="n">
        <v>3</v>
      </c>
      <c r="H10" t="n">
        <v>9</v>
      </c>
      <c r="I10" t="n">
        <v>12</v>
      </c>
      <c r="J10" t="n">
        <v>1</v>
      </c>
      <c r="K10" t="n">
        <v>0</v>
      </c>
      <c r="L10" t="n">
        <v>0</v>
      </c>
      <c r="M10" t="n">
        <v>0</v>
      </c>
      <c r="N10" t="n">
        <v>13</v>
      </c>
      <c r="O10" t="n">
        <v>1</v>
      </c>
      <c r="P10" t="n">
        <v>23</v>
      </c>
      <c r="Q10">
        <f>HYPERLINK("artfynd\A 39994-2020.xlsx")</f>
        <v/>
      </c>
      <c r="R10">
        <f>HYPERLINK("kartor\A 39994-2020.png")</f>
        <v/>
      </c>
      <c r="T10">
        <f>HYPERLINK("klagomål\A 39994-2020.docx")</f>
        <v/>
      </c>
      <c r="U10">
        <f>HYPERLINK("klagomålsmail\A 39994-2020.docx")</f>
        <v/>
      </c>
      <c r="V10">
        <f>HYPERLINK("tillsyn\A 39994-2020.docx")</f>
        <v/>
      </c>
      <c r="W10">
        <f>HYPERLINK("tillsynsmail\A 39994-2020.docx")</f>
        <v/>
      </c>
    </row>
    <row r="11">
      <c r="A11" t="inlineStr">
        <is>
          <t>A 65784-2020</t>
        </is>
      </c>
      <c r="B11" s="1" t="n">
        <v>44174</v>
      </c>
      <c r="C11" s="1" t="n">
        <v>45156</v>
      </c>
      <c r="D11" t="inlineStr">
        <is>
          <t>STRÖMSUND</t>
        </is>
      </c>
      <c r="E11" t="inlineStr">
        <is>
          <t>Holmen skog AB</t>
        </is>
      </c>
      <c r="F11" t="n">
        <v>20.8</v>
      </c>
      <c r="G11" t="n">
        <v>6</v>
      </c>
      <c r="H11" t="n">
        <v>7</v>
      </c>
      <c r="I11" t="n">
        <v>11</v>
      </c>
      <c r="J11" t="n">
        <v>3</v>
      </c>
      <c r="K11" t="n">
        <v>0</v>
      </c>
      <c r="L11" t="n">
        <v>0</v>
      </c>
      <c r="M11" t="n">
        <v>0</v>
      </c>
      <c r="N11" t="n">
        <v>14</v>
      </c>
      <c r="O11" t="n">
        <v>3</v>
      </c>
      <c r="P11" t="n">
        <v>23</v>
      </c>
      <c r="Q11">
        <f>HYPERLINK("artfynd\A 65784-2020.xlsx")</f>
        <v/>
      </c>
      <c r="R11">
        <f>HYPERLINK("kartor\A 65784-2020.png")</f>
        <v/>
      </c>
      <c r="T11">
        <f>HYPERLINK("klagomål\A 65784-2020.docx")</f>
        <v/>
      </c>
      <c r="U11">
        <f>HYPERLINK("klagomålsmail\A 65784-2020.docx")</f>
        <v/>
      </c>
      <c r="V11">
        <f>HYPERLINK("tillsyn\A 65784-2020.docx")</f>
        <v/>
      </c>
      <c r="W11">
        <f>HYPERLINK("tillsynsmail\A 65784-2020.docx")</f>
        <v/>
      </c>
    </row>
    <row r="12">
      <c r="A12" t="inlineStr">
        <is>
          <t>A 66153-2020</t>
        </is>
      </c>
      <c r="B12" s="1" t="n">
        <v>44175</v>
      </c>
      <c r="C12" s="1" t="n">
        <v>45156</v>
      </c>
      <c r="D12" t="inlineStr">
        <is>
          <t>STRÖMSUND</t>
        </is>
      </c>
      <c r="E12" t="inlineStr">
        <is>
          <t>Holmen skog AB</t>
        </is>
      </c>
      <c r="F12" t="n">
        <v>17.3</v>
      </c>
      <c r="G12" t="n">
        <v>4</v>
      </c>
      <c r="H12" t="n">
        <v>10</v>
      </c>
      <c r="I12" t="n">
        <v>11</v>
      </c>
      <c r="J12" t="n">
        <v>1</v>
      </c>
      <c r="K12" t="n">
        <v>0</v>
      </c>
      <c r="L12" t="n">
        <v>0</v>
      </c>
      <c r="M12" t="n">
        <v>0</v>
      </c>
      <c r="N12" t="n">
        <v>12</v>
      </c>
      <c r="O12" t="n">
        <v>1</v>
      </c>
      <c r="P12" t="n">
        <v>22</v>
      </c>
      <c r="Q12">
        <f>HYPERLINK("artfynd\A 66153-2020.xlsx")</f>
        <v/>
      </c>
      <c r="R12">
        <f>HYPERLINK("kartor\A 66153-2020.png")</f>
        <v/>
      </c>
      <c r="T12">
        <f>HYPERLINK("klagomål\A 66153-2020.docx")</f>
        <v/>
      </c>
      <c r="U12">
        <f>HYPERLINK("klagomålsmail\A 66153-2020.docx")</f>
        <v/>
      </c>
      <c r="V12">
        <f>HYPERLINK("tillsyn\A 66153-2020.docx")</f>
        <v/>
      </c>
      <c r="W12">
        <f>HYPERLINK("tillsynsmail\A 66153-2020.docx")</f>
        <v/>
      </c>
    </row>
    <row r="13">
      <c r="A13" t="inlineStr">
        <is>
          <t>A 62085-2020</t>
        </is>
      </c>
      <c r="B13" s="1" t="n">
        <v>44158</v>
      </c>
      <c r="C13" s="1" t="n">
        <v>45156</v>
      </c>
      <c r="D13" t="inlineStr">
        <is>
          <t>STRÖMSUND</t>
        </is>
      </c>
      <c r="F13" t="n">
        <v>73.2</v>
      </c>
      <c r="G13" t="n">
        <v>2</v>
      </c>
      <c r="H13" t="n">
        <v>8</v>
      </c>
      <c r="I13" t="n">
        <v>7</v>
      </c>
      <c r="J13" t="n">
        <v>4</v>
      </c>
      <c r="K13" t="n">
        <v>1</v>
      </c>
      <c r="L13" t="n">
        <v>0</v>
      </c>
      <c r="M13" t="n">
        <v>0</v>
      </c>
      <c r="N13" t="n">
        <v>12</v>
      </c>
      <c r="O13" t="n">
        <v>5</v>
      </c>
      <c r="P13" t="n">
        <v>21</v>
      </c>
      <c r="Q13">
        <f>HYPERLINK("artfynd\A 62085-2020.xlsx")</f>
        <v/>
      </c>
      <c r="R13">
        <f>HYPERLINK("kartor\A 62085-2020.png")</f>
        <v/>
      </c>
      <c r="T13">
        <f>HYPERLINK("klagomål\A 62085-2020.docx")</f>
        <v/>
      </c>
      <c r="U13">
        <f>HYPERLINK("klagomålsmail\A 62085-2020.docx")</f>
        <v/>
      </c>
      <c r="V13">
        <f>HYPERLINK("tillsyn\A 62085-2020.docx")</f>
        <v/>
      </c>
      <c r="W13">
        <f>HYPERLINK("tillsynsmail\A 62085-2020.docx")</f>
        <v/>
      </c>
    </row>
    <row r="14">
      <c r="A14" t="inlineStr">
        <is>
          <t>A 18320-2021</t>
        </is>
      </c>
      <c r="B14" s="1" t="n">
        <v>44305</v>
      </c>
      <c r="C14" s="1" t="n">
        <v>45156</v>
      </c>
      <c r="D14" t="inlineStr">
        <is>
          <t>STRÖMSUND</t>
        </is>
      </c>
      <c r="F14" t="n">
        <v>11.9</v>
      </c>
      <c r="G14" t="n">
        <v>4</v>
      </c>
      <c r="H14" t="n">
        <v>12</v>
      </c>
      <c r="I14" t="n">
        <v>5</v>
      </c>
      <c r="J14" t="n">
        <v>1</v>
      </c>
      <c r="K14" t="n">
        <v>1</v>
      </c>
      <c r="L14" t="n">
        <v>0</v>
      </c>
      <c r="M14" t="n">
        <v>0</v>
      </c>
      <c r="N14" t="n">
        <v>7</v>
      </c>
      <c r="O14" t="n">
        <v>2</v>
      </c>
      <c r="P14" t="n">
        <v>21</v>
      </c>
      <c r="Q14">
        <f>HYPERLINK("artfynd\A 18320-2021.xlsx")</f>
        <v/>
      </c>
      <c r="R14">
        <f>HYPERLINK("kartor\A 18320-2021.png")</f>
        <v/>
      </c>
      <c r="T14">
        <f>HYPERLINK("klagomål\A 18320-2021.docx")</f>
        <v/>
      </c>
      <c r="U14">
        <f>HYPERLINK("klagomålsmail\A 18320-2021.docx")</f>
        <v/>
      </c>
      <c r="V14">
        <f>HYPERLINK("tillsyn\A 18320-2021.docx")</f>
        <v/>
      </c>
      <c r="W14">
        <f>HYPERLINK("tillsynsmail\A 18320-2021.docx")</f>
        <v/>
      </c>
    </row>
    <row r="15">
      <c r="A15" t="inlineStr">
        <is>
          <t>A 71219-2021</t>
        </is>
      </c>
      <c r="B15" s="1" t="n">
        <v>44538</v>
      </c>
      <c r="C15" s="1" t="n">
        <v>45156</v>
      </c>
      <c r="D15" t="inlineStr">
        <is>
          <t>STRÖMSUND</t>
        </is>
      </c>
      <c r="E15" t="inlineStr">
        <is>
          <t>SCA</t>
        </is>
      </c>
      <c r="F15" t="n">
        <v>95.3</v>
      </c>
      <c r="G15" t="n">
        <v>0</v>
      </c>
      <c r="H15" t="n">
        <v>7</v>
      </c>
      <c r="I15" t="n">
        <v>10</v>
      </c>
      <c r="J15" t="n">
        <v>3</v>
      </c>
      <c r="K15" t="n">
        <v>1</v>
      </c>
      <c r="L15" t="n">
        <v>0</v>
      </c>
      <c r="M15" t="n">
        <v>0</v>
      </c>
      <c r="N15" t="n">
        <v>14</v>
      </c>
      <c r="O15" t="n">
        <v>4</v>
      </c>
      <c r="P15" t="n">
        <v>21</v>
      </c>
      <c r="Q15">
        <f>HYPERLINK("artfynd\A 71219-2021.xlsx")</f>
        <v/>
      </c>
      <c r="R15">
        <f>HYPERLINK("kartor\A 71219-2021.png")</f>
        <v/>
      </c>
      <c r="T15">
        <f>HYPERLINK("klagomål\A 71219-2021.docx")</f>
        <v/>
      </c>
      <c r="U15">
        <f>HYPERLINK("klagomålsmail\A 71219-2021.docx")</f>
        <v/>
      </c>
      <c r="V15">
        <f>HYPERLINK("tillsyn\A 71219-2021.docx")</f>
        <v/>
      </c>
      <c r="W15">
        <f>HYPERLINK("tillsynsmail\A 71219-2021.docx")</f>
        <v/>
      </c>
    </row>
    <row r="16">
      <c r="A16" t="inlineStr">
        <is>
          <t>A 65807-2020</t>
        </is>
      </c>
      <c r="B16" s="1" t="n">
        <v>44174</v>
      </c>
      <c r="C16" s="1" t="n">
        <v>45156</v>
      </c>
      <c r="D16" t="inlineStr">
        <is>
          <t>STRÖMSUND</t>
        </is>
      </c>
      <c r="E16" t="inlineStr">
        <is>
          <t>Holmen skog AB</t>
        </is>
      </c>
      <c r="F16" t="n">
        <v>27.6</v>
      </c>
      <c r="G16" t="n">
        <v>4</v>
      </c>
      <c r="H16" t="n">
        <v>9</v>
      </c>
      <c r="I16" t="n">
        <v>8</v>
      </c>
      <c r="J16" t="n">
        <v>2</v>
      </c>
      <c r="K16" t="n">
        <v>0</v>
      </c>
      <c r="L16" t="n">
        <v>0</v>
      </c>
      <c r="M16" t="n">
        <v>0</v>
      </c>
      <c r="N16" t="n">
        <v>10</v>
      </c>
      <c r="O16" t="n">
        <v>2</v>
      </c>
      <c r="P16" t="n">
        <v>20</v>
      </c>
      <c r="Q16">
        <f>HYPERLINK("artfynd\A 65807-2020.xlsx")</f>
        <v/>
      </c>
      <c r="R16">
        <f>HYPERLINK("kartor\A 65807-2020.png")</f>
        <v/>
      </c>
      <c r="T16">
        <f>HYPERLINK("klagomål\A 65807-2020.docx")</f>
        <v/>
      </c>
      <c r="U16">
        <f>HYPERLINK("klagomålsmail\A 65807-2020.docx")</f>
        <v/>
      </c>
      <c r="V16">
        <f>HYPERLINK("tillsyn\A 65807-2020.docx")</f>
        <v/>
      </c>
      <c r="W16">
        <f>HYPERLINK("tillsynsmail\A 65807-2020.docx")</f>
        <v/>
      </c>
    </row>
    <row r="17">
      <c r="A17" t="inlineStr">
        <is>
          <t>A 65822-2020</t>
        </is>
      </c>
      <c r="B17" s="1" t="n">
        <v>44174</v>
      </c>
      <c r="C17" s="1" t="n">
        <v>45156</v>
      </c>
      <c r="D17" t="inlineStr">
        <is>
          <t>STRÖMSUND</t>
        </is>
      </c>
      <c r="E17" t="inlineStr">
        <is>
          <t>Holmen skog AB</t>
        </is>
      </c>
      <c r="F17" t="n">
        <v>19.3</v>
      </c>
      <c r="G17" t="n">
        <v>4</v>
      </c>
      <c r="H17" t="n">
        <v>10</v>
      </c>
      <c r="I17" t="n">
        <v>8</v>
      </c>
      <c r="J17" t="n">
        <v>1</v>
      </c>
      <c r="K17" t="n">
        <v>0</v>
      </c>
      <c r="L17" t="n">
        <v>0</v>
      </c>
      <c r="M17" t="n">
        <v>0</v>
      </c>
      <c r="N17" t="n">
        <v>9</v>
      </c>
      <c r="O17" t="n">
        <v>1</v>
      </c>
      <c r="P17" t="n">
        <v>20</v>
      </c>
      <c r="Q17">
        <f>HYPERLINK("artfynd\A 65822-2020.xlsx")</f>
        <v/>
      </c>
      <c r="R17">
        <f>HYPERLINK("kartor\A 65822-2020.png")</f>
        <v/>
      </c>
      <c r="T17">
        <f>HYPERLINK("klagomål\A 65822-2020.docx")</f>
        <v/>
      </c>
      <c r="U17">
        <f>HYPERLINK("klagomålsmail\A 65822-2020.docx")</f>
        <v/>
      </c>
      <c r="V17">
        <f>HYPERLINK("tillsyn\A 65822-2020.docx")</f>
        <v/>
      </c>
      <c r="W17">
        <f>HYPERLINK("tillsynsmail\A 65822-2020.docx")</f>
        <v/>
      </c>
    </row>
    <row r="18">
      <c r="A18" t="inlineStr">
        <is>
          <t>A 68643-2021</t>
        </is>
      </c>
      <c r="B18" s="1" t="n">
        <v>44529</v>
      </c>
      <c r="C18" s="1" t="n">
        <v>45156</v>
      </c>
      <c r="D18" t="inlineStr">
        <is>
          <t>STRÖMSUND</t>
        </is>
      </c>
      <c r="F18" t="n">
        <v>40.8</v>
      </c>
      <c r="G18" t="n">
        <v>4</v>
      </c>
      <c r="H18" t="n">
        <v>6</v>
      </c>
      <c r="I18" t="n">
        <v>13</v>
      </c>
      <c r="J18" t="n">
        <v>1</v>
      </c>
      <c r="K18" t="n">
        <v>0</v>
      </c>
      <c r="L18" t="n">
        <v>0</v>
      </c>
      <c r="M18" t="n">
        <v>0</v>
      </c>
      <c r="N18" t="n">
        <v>14</v>
      </c>
      <c r="O18" t="n">
        <v>1</v>
      </c>
      <c r="P18" t="n">
        <v>20</v>
      </c>
      <c r="Q18">
        <f>HYPERLINK("artfynd\A 68643-2021.xlsx")</f>
        <v/>
      </c>
      <c r="R18">
        <f>HYPERLINK("kartor\A 68643-2021.png")</f>
        <v/>
      </c>
      <c r="S18">
        <f>HYPERLINK("knärot\A 68643-2021.png")</f>
        <v/>
      </c>
      <c r="T18">
        <f>HYPERLINK("klagomål\A 68643-2021.docx")</f>
        <v/>
      </c>
      <c r="U18">
        <f>HYPERLINK("klagomålsmail\A 68643-2021.docx")</f>
        <v/>
      </c>
      <c r="V18">
        <f>HYPERLINK("tillsyn\A 68643-2021.docx")</f>
        <v/>
      </c>
      <c r="W18">
        <f>HYPERLINK("tillsynsmail\A 68643-2021.docx")</f>
        <v/>
      </c>
    </row>
    <row r="19">
      <c r="A19" t="inlineStr">
        <is>
          <t>A 37770-2018</t>
        </is>
      </c>
      <c r="B19" s="1" t="n">
        <v>43335</v>
      </c>
      <c r="C19" s="1" t="n">
        <v>45156</v>
      </c>
      <c r="D19" t="inlineStr">
        <is>
          <t>STRÖMSUND</t>
        </is>
      </c>
      <c r="F19" t="n">
        <v>23</v>
      </c>
      <c r="G19" t="n">
        <v>2</v>
      </c>
      <c r="H19" t="n">
        <v>5</v>
      </c>
      <c r="I19" t="n">
        <v>13</v>
      </c>
      <c r="J19" t="n">
        <v>1</v>
      </c>
      <c r="K19" t="n">
        <v>0</v>
      </c>
      <c r="L19" t="n">
        <v>0</v>
      </c>
      <c r="M19" t="n">
        <v>0</v>
      </c>
      <c r="N19" t="n">
        <v>14</v>
      </c>
      <c r="O19" t="n">
        <v>1</v>
      </c>
      <c r="P19" t="n">
        <v>19</v>
      </c>
      <c r="Q19">
        <f>HYPERLINK("artfynd\A 37770-2018.xlsx")</f>
        <v/>
      </c>
      <c r="R19">
        <f>HYPERLINK("kartor\A 37770-2018.png")</f>
        <v/>
      </c>
      <c r="T19">
        <f>HYPERLINK("klagomål\A 37770-2018.docx")</f>
        <v/>
      </c>
      <c r="U19">
        <f>HYPERLINK("klagomålsmail\A 37770-2018.docx")</f>
        <v/>
      </c>
      <c r="V19">
        <f>HYPERLINK("tillsyn\A 37770-2018.docx")</f>
        <v/>
      </c>
      <c r="W19">
        <f>HYPERLINK("tillsynsmail\A 37770-2018.docx")</f>
        <v/>
      </c>
    </row>
    <row r="20">
      <c r="A20" t="inlineStr">
        <is>
          <t>A 32152-2020</t>
        </is>
      </c>
      <c r="B20" s="1" t="n">
        <v>44015</v>
      </c>
      <c r="C20" s="1" t="n">
        <v>45156</v>
      </c>
      <c r="D20" t="inlineStr">
        <is>
          <t>STRÖMSUND</t>
        </is>
      </c>
      <c r="E20" t="inlineStr">
        <is>
          <t>Holmen skog AB</t>
        </is>
      </c>
      <c r="F20" t="n">
        <v>3.1</v>
      </c>
      <c r="G20" t="n">
        <v>2</v>
      </c>
      <c r="H20" t="n">
        <v>4</v>
      </c>
      <c r="I20" t="n">
        <v>11</v>
      </c>
      <c r="J20" t="n">
        <v>3</v>
      </c>
      <c r="K20" t="n">
        <v>1</v>
      </c>
      <c r="L20" t="n">
        <v>0</v>
      </c>
      <c r="M20" t="n">
        <v>0</v>
      </c>
      <c r="N20" t="n">
        <v>15</v>
      </c>
      <c r="O20" t="n">
        <v>4</v>
      </c>
      <c r="P20" t="n">
        <v>19</v>
      </c>
      <c r="Q20">
        <f>HYPERLINK("artfynd\A 32152-2020.xlsx")</f>
        <v/>
      </c>
      <c r="R20">
        <f>HYPERLINK("kartor\A 32152-2020.png")</f>
        <v/>
      </c>
      <c r="T20">
        <f>HYPERLINK("klagomål\A 32152-2020.docx")</f>
        <v/>
      </c>
      <c r="U20">
        <f>HYPERLINK("klagomålsmail\A 32152-2020.docx")</f>
        <v/>
      </c>
      <c r="V20">
        <f>HYPERLINK("tillsyn\A 32152-2020.docx")</f>
        <v/>
      </c>
      <c r="W20">
        <f>HYPERLINK("tillsynsmail\A 32152-2020.docx")</f>
        <v/>
      </c>
    </row>
    <row r="21">
      <c r="A21" t="inlineStr">
        <is>
          <t>A 68593-2021</t>
        </is>
      </c>
      <c r="B21" s="1" t="n">
        <v>44529</v>
      </c>
      <c r="C21" s="1" t="n">
        <v>45156</v>
      </c>
      <c r="D21" t="inlineStr">
        <is>
          <t>STRÖMSUND</t>
        </is>
      </c>
      <c r="F21" t="n">
        <v>20.7</v>
      </c>
      <c r="G21" t="n">
        <v>2</v>
      </c>
      <c r="H21" t="n">
        <v>5</v>
      </c>
      <c r="I21" t="n">
        <v>11</v>
      </c>
      <c r="J21" t="n">
        <v>2</v>
      </c>
      <c r="K21" t="n">
        <v>0</v>
      </c>
      <c r="L21" t="n">
        <v>0</v>
      </c>
      <c r="M21" t="n">
        <v>0</v>
      </c>
      <c r="N21" t="n">
        <v>13</v>
      </c>
      <c r="O21" t="n">
        <v>2</v>
      </c>
      <c r="P21" t="n">
        <v>18</v>
      </c>
      <c r="Q21">
        <f>HYPERLINK("artfynd\A 68593-2021.xlsx")</f>
        <v/>
      </c>
      <c r="R21">
        <f>HYPERLINK("kartor\A 68593-2021.png")</f>
        <v/>
      </c>
      <c r="T21">
        <f>HYPERLINK("klagomål\A 68593-2021.docx")</f>
        <v/>
      </c>
      <c r="U21">
        <f>HYPERLINK("klagomålsmail\A 68593-2021.docx")</f>
        <v/>
      </c>
      <c r="V21">
        <f>HYPERLINK("tillsyn\A 68593-2021.docx")</f>
        <v/>
      </c>
      <c r="W21">
        <f>HYPERLINK("tillsynsmail\A 68593-2021.docx")</f>
        <v/>
      </c>
    </row>
    <row r="22">
      <c r="A22" t="inlineStr">
        <is>
          <t>A 8265-2019</t>
        </is>
      </c>
      <c r="B22" s="1" t="n">
        <v>43501</v>
      </c>
      <c r="C22" s="1" t="n">
        <v>45156</v>
      </c>
      <c r="D22" t="inlineStr">
        <is>
          <t>STRÖMSUND</t>
        </is>
      </c>
      <c r="F22" t="n">
        <v>40.5</v>
      </c>
      <c r="G22" t="n">
        <v>3</v>
      </c>
      <c r="H22" t="n">
        <v>12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4</v>
      </c>
      <c r="O22" t="n">
        <v>0</v>
      </c>
      <c r="P22" t="n">
        <v>17</v>
      </c>
      <c r="Q22">
        <f>HYPERLINK("artfynd\A 8265-2019.xlsx")</f>
        <v/>
      </c>
      <c r="R22">
        <f>HYPERLINK("kartor\A 8265-2019.png")</f>
        <v/>
      </c>
      <c r="T22">
        <f>HYPERLINK("klagomål\A 8265-2019.docx")</f>
        <v/>
      </c>
      <c r="U22">
        <f>HYPERLINK("klagomålsmail\A 8265-2019.docx")</f>
        <v/>
      </c>
      <c r="V22">
        <f>HYPERLINK("tillsyn\A 8265-2019.docx")</f>
        <v/>
      </c>
      <c r="W22">
        <f>HYPERLINK("tillsynsmail\A 8265-2019.docx")</f>
        <v/>
      </c>
    </row>
    <row r="23">
      <c r="A23" t="inlineStr">
        <is>
          <t>A 15884-2019</t>
        </is>
      </c>
      <c r="B23" s="1" t="n">
        <v>43543</v>
      </c>
      <c r="C23" s="1" t="n">
        <v>45156</v>
      </c>
      <c r="D23" t="inlineStr">
        <is>
          <t>STRÖMSUND</t>
        </is>
      </c>
      <c r="F23" t="n">
        <v>39.5</v>
      </c>
      <c r="G23" t="n">
        <v>3</v>
      </c>
      <c r="H23" t="n">
        <v>12</v>
      </c>
      <c r="I23" t="n">
        <v>4</v>
      </c>
      <c r="J23" t="n">
        <v>0</v>
      </c>
      <c r="K23" t="n">
        <v>0</v>
      </c>
      <c r="L23" t="n">
        <v>0</v>
      </c>
      <c r="M23" t="n">
        <v>0</v>
      </c>
      <c r="N23" t="n">
        <v>4</v>
      </c>
      <c r="O23" t="n">
        <v>0</v>
      </c>
      <c r="P23" t="n">
        <v>17</v>
      </c>
      <c r="Q23">
        <f>HYPERLINK("artfynd\A 15884-2019.xlsx")</f>
        <v/>
      </c>
      <c r="R23">
        <f>HYPERLINK("kartor\A 15884-2019.png")</f>
        <v/>
      </c>
      <c r="T23">
        <f>HYPERLINK("klagomål\A 15884-2019.docx")</f>
        <v/>
      </c>
      <c r="U23">
        <f>HYPERLINK("klagomålsmail\A 15884-2019.docx")</f>
        <v/>
      </c>
      <c r="V23">
        <f>HYPERLINK("tillsyn\A 15884-2019.docx")</f>
        <v/>
      </c>
      <c r="W23">
        <f>HYPERLINK("tillsynsmail\A 15884-2019.docx")</f>
        <v/>
      </c>
    </row>
    <row r="24">
      <c r="A24" t="inlineStr">
        <is>
          <t>A 35710-2020</t>
        </is>
      </c>
      <c r="B24" s="1" t="n">
        <v>44046</v>
      </c>
      <c r="C24" s="1" t="n">
        <v>45156</v>
      </c>
      <c r="D24" t="inlineStr">
        <is>
          <t>STRÖMSUND</t>
        </is>
      </c>
      <c r="E24" t="inlineStr">
        <is>
          <t>Holmen skog AB</t>
        </is>
      </c>
      <c r="F24" t="n">
        <v>4.8</v>
      </c>
      <c r="G24" t="n">
        <v>1</v>
      </c>
      <c r="H24" t="n">
        <v>5</v>
      </c>
      <c r="I24" t="n">
        <v>10</v>
      </c>
      <c r="J24" t="n">
        <v>2</v>
      </c>
      <c r="K24" t="n">
        <v>0</v>
      </c>
      <c r="L24" t="n">
        <v>0</v>
      </c>
      <c r="M24" t="n">
        <v>0</v>
      </c>
      <c r="N24" t="n">
        <v>12</v>
      </c>
      <c r="O24" t="n">
        <v>2</v>
      </c>
      <c r="P24" t="n">
        <v>17</v>
      </c>
      <c r="Q24">
        <f>HYPERLINK("artfynd\A 35710-2020.xlsx")</f>
        <v/>
      </c>
      <c r="R24">
        <f>HYPERLINK("kartor\A 35710-2020.png")</f>
        <v/>
      </c>
      <c r="T24">
        <f>HYPERLINK("klagomål\A 35710-2020.docx")</f>
        <v/>
      </c>
      <c r="U24">
        <f>HYPERLINK("klagomålsmail\A 35710-2020.docx")</f>
        <v/>
      </c>
      <c r="V24">
        <f>HYPERLINK("tillsyn\A 35710-2020.docx")</f>
        <v/>
      </c>
      <c r="W24">
        <f>HYPERLINK("tillsynsmail\A 35710-2020.docx")</f>
        <v/>
      </c>
    </row>
    <row r="25">
      <c r="A25" t="inlineStr">
        <is>
          <t>A 44952-2020</t>
        </is>
      </c>
      <c r="B25" s="1" t="n">
        <v>44083</v>
      </c>
      <c r="C25" s="1" t="n">
        <v>45156</v>
      </c>
      <c r="D25" t="inlineStr">
        <is>
          <t>STRÖMSUND</t>
        </is>
      </c>
      <c r="F25" t="n">
        <v>19.5</v>
      </c>
      <c r="G25" t="n">
        <v>1</v>
      </c>
      <c r="H25" t="n">
        <v>8</v>
      </c>
      <c r="I25" t="n">
        <v>8</v>
      </c>
      <c r="J25" t="n">
        <v>1</v>
      </c>
      <c r="K25" t="n">
        <v>0</v>
      </c>
      <c r="L25" t="n">
        <v>0</v>
      </c>
      <c r="M25" t="n">
        <v>0</v>
      </c>
      <c r="N25" t="n">
        <v>9</v>
      </c>
      <c r="O25" t="n">
        <v>1</v>
      </c>
      <c r="P25" t="n">
        <v>17</v>
      </c>
      <c r="Q25">
        <f>HYPERLINK("artfynd\A 44952-2020.xlsx")</f>
        <v/>
      </c>
      <c r="R25">
        <f>HYPERLINK("kartor\A 44952-2020.png")</f>
        <v/>
      </c>
      <c r="T25">
        <f>HYPERLINK("klagomål\A 44952-2020.docx")</f>
        <v/>
      </c>
      <c r="U25">
        <f>HYPERLINK("klagomålsmail\A 44952-2020.docx")</f>
        <v/>
      </c>
      <c r="V25">
        <f>HYPERLINK("tillsyn\A 44952-2020.docx")</f>
        <v/>
      </c>
      <c r="W25">
        <f>HYPERLINK("tillsynsmail\A 44952-2020.docx")</f>
        <v/>
      </c>
    </row>
    <row r="26">
      <c r="A26" t="inlineStr">
        <is>
          <t>A 13008-2019</t>
        </is>
      </c>
      <c r="B26" s="1" t="n">
        <v>43525</v>
      </c>
      <c r="C26" s="1" t="n">
        <v>45156</v>
      </c>
      <c r="D26" t="inlineStr">
        <is>
          <t>STRÖMSUND</t>
        </is>
      </c>
      <c r="F26" t="n">
        <v>102.6</v>
      </c>
      <c r="G26" t="n">
        <v>1</v>
      </c>
      <c r="H26" t="n">
        <v>2</v>
      </c>
      <c r="I26" t="n">
        <v>13</v>
      </c>
      <c r="J26" t="n">
        <v>1</v>
      </c>
      <c r="K26" t="n">
        <v>0</v>
      </c>
      <c r="L26" t="n">
        <v>0</v>
      </c>
      <c r="M26" t="n">
        <v>0</v>
      </c>
      <c r="N26" t="n">
        <v>14</v>
      </c>
      <c r="O26" t="n">
        <v>1</v>
      </c>
      <c r="P26" t="n">
        <v>16</v>
      </c>
      <c r="Q26">
        <f>HYPERLINK("artfynd\A 13008-2019.xlsx")</f>
        <v/>
      </c>
      <c r="R26">
        <f>HYPERLINK("kartor\A 13008-2019.png")</f>
        <v/>
      </c>
      <c r="T26">
        <f>HYPERLINK("klagomål\A 13008-2019.docx")</f>
        <v/>
      </c>
      <c r="U26">
        <f>HYPERLINK("klagomålsmail\A 13008-2019.docx")</f>
        <v/>
      </c>
      <c r="V26">
        <f>HYPERLINK("tillsyn\A 13008-2019.docx")</f>
        <v/>
      </c>
      <c r="W26">
        <f>HYPERLINK("tillsynsmail\A 13008-2019.docx")</f>
        <v/>
      </c>
    </row>
    <row r="27">
      <c r="A27" t="inlineStr">
        <is>
          <t>A 44956-2020</t>
        </is>
      </c>
      <c r="B27" s="1" t="n">
        <v>44083</v>
      </c>
      <c r="C27" s="1" t="n">
        <v>45156</v>
      </c>
      <c r="D27" t="inlineStr">
        <is>
          <t>STRÖMSUND</t>
        </is>
      </c>
      <c r="F27" t="n">
        <v>19.8</v>
      </c>
      <c r="G27" t="n">
        <v>3</v>
      </c>
      <c r="H27" t="n">
        <v>6</v>
      </c>
      <c r="I27" t="n">
        <v>9</v>
      </c>
      <c r="J27" t="n">
        <v>0</v>
      </c>
      <c r="K27" t="n">
        <v>0</v>
      </c>
      <c r="L27" t="n">
        <v>0</v>
      </c>
      <c r="M27" t="n">
        <v>0</v>
      </c>
      <c r="N27" t="n">
        <v>9</v>
      </c>
      <c r="O27" t="n">
        <v>0</v>
      </c>
      <c r="P27" t="n">
        <v>16</v>
      </c>
      <c r="Q27">
        <f>HYPERLINK("artfynd\A 44956-2020.xlsx")</f>
        <v/>
      </c>
      <c r="R27">
        <f>HYPERLINK("kartor\A 44956-2020.png")</f>
        <v/>
      </c>
      <c r="T27">
        <f>HYPERLINK("klagomål\A 44956-2020.docx")</f>
        <v/>
      </c>
      <c r="U27">
        <f>HYPERLINK("klagomålsmail\A 44956-2020.docx")</f>
        <v/>
      </c>
      <c r="V27">
        <f>HYPERLINK("tillsyn\A 44956-2020.docx")</f>
        <v/>
      </c>
      <c r="W27">
        <f>HYPERLINK("tillsynsmail\A 44956-2020.docx")</f>
        <v/>
      </c>
    </row>
    <row r="28">
      <c r="A28" t="inlineStr">
        <is>
          <t>A 11604-2022</t>
        </is>
      </c>
      <c r="B28" s="1" t="n">
        <v>44631</v>
      </c>
      <c r="C28" s="1" t="n">
        <v>45156</v>
      </c>
      <c r="D28" t="inlineStr">
        <is>
          <t>STRÖMSUND</t>
        </is>
      </c>
      <c r="F28" t="n">
        <v>6.9</v>
      </c>
      <c r="G28" t="n">
        <v>1</v>
      </c>
      <c r="H28" t="n">
        <v>8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8</v>
      </c>
      <c r="O28" t="n">
        <v>1</v>
      </c>
      <c r="P28" t="n">
        <v>16</v>
      </c>
      <c r="Q28">
        <f>HYPERLINK("artfynd\A 11604-2022.xlsx")</f>
        <v/>
      </c>
      <c r="R28">
        <f>HYPERLINK("kartor\A 11604-2022.png")</f>
        <v/>
      </c>
      <c r="T28">
        <f>HYPERLINK("klagomål\A 11604-2022.docx")</f>
        <v/>
      </c>
      <c r="U28">
        <f>HYPERLINK("klagomålsmail\A 11604-2022.docx")</f>
        <v/>
      </c>
      <c r="V28">
        <f>HYPERLINK("tillsyn\A 11604-2022.docx")</f>
        <v/>
      </c>
      <c r="W28">
        <f>HYPERLINK("tillsynsmail\A 11604-2022.docx")</f>
        <v/>
      </c>
    </row>
    <row r="29">
      <c r="A29" t="inlineStr">
        <is>
          <t>A 31839-2020</t>
        </is>
      </c>
      <c r="B29" s="1" t="n">
        <v>44014</v>
      </c>
      <c r="C29" s="1" t="n">
        <v>45156</v>
      </c>
      <c r="D29" t="inlineStr">
        <is>
          <t>STRÖMSUND</t>
        </is>
      </c>
      <c r="E29" t="inlineStr">
        <is>
          <t>Holmen skog AB</t>
        </is>
      </c>
      <c r="F29" t="n">
        <v>14.4</v>
      </c>
      <c r="G29" t="n">
        <v>1</v>
      </c>
      <c r="H29" t="n">
        <v>3</v>
      </c>
      <c r="I29" t="n">
        <v>10</v>
      </c>
      <c r="J29" t="n">
        <v>0</v>
      </c>
      <c r="K29" t="n">
        <v>1</v>
      </c>
      <c r="L29" t="n">
        <v>0</v>
      </c>
      <c r="M29" t="n">
        <v>0</v>
      </c>
      <c r="N29" t="n">
        <v>11</v>
      </c>
      <c r="O29" t="n">
        <v>1</v>
      </c>
      <c r="P29" t="n">
        <v>15</v>
      </c>
      <c r="Q29">
        <f>HYPERLINK("artfynd\A 31839-2020.xlsx")</f>
        <v/>
      </c>
      <c r="R29">
        <f>HYPERLINK("kartor\A 31839-2020.png")</f>
        <v/>
      </c>
      <c r="T29">
        <f>HYPERLINK("klagomål\A 31839-2020.docx")</f>
        <v/>
      </c>
      <c r="U29">
        <f>HYPERLINK("klagomålsmail\A 31839-2020.docx")</f>
        <v/>
      </c>
      <c r="V29">
        <f>HYPERLINK("tillsyn\A 31839-2020.docx")</f>
        <v/>
      </c>
      <c r="W29">
        <f>HYPERLINK("tillsynsmail\A 31839-2020.docx")</f>
        <v/>
      </c>
    </row>
    <row r="30">
      <c r="A30" t="inlineStr">
        <is>
          <t>A 45276-2019</t>
        </is>
      </c>
      <c r="B30" s="1" t="n">
        <v>43713</v>
      </c>
      <c r="C30" s="1" t="n">
        <v>45156</v>
      </c>
      <c r="D30" t="inlineStr">
        <is>
          <t>STRÖMSUND</t>
        </is>
      </c>
      <c r="E30" t="inlineStr">
        <is>
          <t>SCA</t>
        </is>
      </c>
      <c r="F30" t="n">
        <v>8.6</v>
      </c>
      <c r="G30" t="n">
        <v>4</v>
      </c>
      <c r="H30" t="n">
        <v>6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6</v>
      </c>
      <c r="O30" t="n">
        <v>0</v>
      </c>
      <c r="P30" t="n">
        <v>13</v>
      </c>
      <c r="Q30">
        <f>HYPERLINK("artfynd\A 45276-2019.xlsx")</f>
        <v/>
      </c>
      <c r="R30">
        <f>HYPERLINK("kartor\A 45276-2019.png")</f>
        <v/>
      </c>
      <c r="T30">
        <f>HYPERLINK("klagomål\A 45276-2019.docx")</f>
        <v/>
      </c>
      <c r="U30">
        <f>HYPERLINK("klagomålsmail\A 45276-2019.docx")</f>
        <v/>
      </c>
      <c r="V30">
        <f>HYPERLINK("tillsyn\A 45276-2019.docx")</f>
        <v/>
      </c>
      <c r="W30">
        <f>HYPERLINK("tillsynsmail\A 45276-2019.docx")</f>
        <v/>
      </c>
    </row>
    <row r="31">
      <c r="A31" t="inlineStr">
        <is>
          <t>A 59097-2019</t>
        </is>
      </c>
      <c r="B31" s="1" t="n">
        <v>43774</v>
      </c>
      <c r="C31" s="1" t="n">
        <v>45156</v>
      </c>
      <c r="D31" t="inlineStr">
        <is>
          <t>STRÖMSUND</t>
        </is>
      </c>
      <c r="E31" t="inlineStr">
        <is>
          <t>SCA</t>
        </is>
      </c>
      <c r="F31" t="n">
        <v>8.699999999999999</v>
      </c>
      <c r="G31" t="n">
        <v>4</v>
      </c>
      <c r="H31" t="n">
        <v>6</v>
      </c>
      <c r="I31" t="n">
        <v>6</v>
      </c>
      <c r="J31" t="n">
        <v>0</v>
      </c>
      <c r="K31" t="n">
        <v>0</v>
      </c>
      <c r="L31" t="n">
        <v>0</v>
      </c>
      <c r="M31" t="n">
        <v>0</v>
      </c>
      <c r="N31" t="n">
        <v>6</v>
      </c>
      <c r="O31" t="n">
        <v>0</v>
      </c>
      <c r="P31" t="n">
        <v>13</v>
      </c>
      <c r="Q31">
        <f>HYPERLINK("artfynd\A 59097-2019.xlsx")</f>
        <v/>
      </c>
      <c r="R31">
        <f>HYPERLINK("kartor\A 59097-2019.png")</f>
        <v/>
      </c>
      <c r="T31">
        <f>HYPERLINK("klagomål\A 59097-2019.docx")</f>
        <v/>
      </c>
      <c r="U31">
        <f>HYPERLINK("klagomålsmail\A 59097-2019.docx")</f>
        <v/>
      </c>
      <c r="V31">
        <f>HYPERLINK("tillsyn\A 59097-2019.docx")</f>
        <v/>
      </c>
      <c r="W31">
        <f>HYPERLINK("tillsynsmail\A 59097-2019.docx")</f>
        <v/>
      </c>
    </row>
    <row r="32">
      <c r="A32" t="inlineStr">
        <is>
          <t>A 31789-2020</t>
        </is>
      </c>
      <c r="B32" s="1" t="n">
        <v>44014</v>
      </c>
      <c r="C32" s="1" t="n">
        <v>45156</v>
      </c>
      <c r="D32" t="inlineStr">
        <is>
          <t>STRÖMSUND</t>
        </is>
      </c>
      <c r="E32" t="inlineStr">
        <is>
          <t>Holmen skog AB</t>
        </is>
      </c>
      <c r="F32" t="n">
        <v>5.5</v>
      </c>
      <c r="G32" t="n">
        <v>1</v>
      </c>
      <c r="H32" t="n">
        <v>3</v>
      </c>
      <c r="I32" t="n">
        <v>8</v>
      </c>
      <c r="J32" t="n">
        <v>0</v>
      </c>
      <c r="K32" t="n">
        <v>1</v>
      </c>
      <c r="L32" t="n">
        <v>0</v>
      </c>
      <c r="M32" t="n">
        <v>0</v>
      </c>
      <c r="N32" t="n">
        <v>9</v>
      </c>
      <c r="O32" t="n">
        <v>1</v>
      </c>
      <c r="P32" t="n">
        <v>13</v>
      </c>
      <c r="Q32">
        <f>HYPERLINK("artfynd\A 31789-2020.xlsx")</f>
        <v/>
      </c>
      <c r="R32">
        <f>HYPERLINK("kartor\A 31789-2020.png")</f>
        <v/>
      </c>
      <c r="T32">
        <f>HYPERLINK("klagomål\A 31789-2020.docx")</f>
        <v/>
      </c>
      <c r="U32">
        <f>HYPERLINK("klagomålsmail\A 31789-2020.docx")</f>
        <v/>
      </c>
      <c r="V32">
        <f>HYPERLINK("tillsyn\A 31789-2020.docx")</f>
        <v/>
      </c>
      <c r="W32">
        <f>HYPERLINK("tillsynsmail\A 31789-2020.docx")</f>
        <v/>
      </c>
    </row>
    <row r="33">
      <c r="A33" t="inlineStr">
        <is>
          <t>A 26140-2022</t>
        </is>
      </c>
      <c r="B33" s="1" t="n">
        <v>44734</v>
      </c>
      <c r="C33" s="1" t="n">
        <v>45156</v>
      </c>
      <c r="D33" t="inlineStr">
        <is>
          <t>STRÖMSUND</t>
        </is>
      </c>
      <c r="E33" t="inlineStr">
        <is>
          <t>SCA</t>
        </is>
      </c>
      <c r="F33" t="n">
        <v>7.9</v>
      </c>
      <c r="G33" t="n">
        <v>3</v>
      </c>
      <c r="H33" t="n">
        <v>6</v>
      </c>
      <c r="I33" t="n">
        <v>6</v>
      </c>
      <c r="J33" t="n">
        <v>0</v>
      </c>
      <c r="K33" t="n">
        <v>0</v>
      </c>
      <c r="L33" t="n">
        <v>0</v>
      </c>
      <c r="M33" t="n">
        <v>0</v>
      </c>
      <c r="N33" t="n">
        <v>6</v>
      </c>
      <c r="O33" t="n">
        <v>0</v>
      </c>
      <c r="P33" t="n">
        <v>13</v>
      </c>
      <c r="Q33">
        <f>HYPERLINK("artfynd\A 26140-2022.xlsx")</f>
        <v/>
      </c>
      <c r="R33">
        <f>HYPERLINK("kartor\A 26140-2022.png")</f>
        <v/>
      </c>
      <c r="T33">
        <f>HYPERLINK("klagomål\A 26140-2022.docx")</f>
        <v/>
      </c>
      <c r="U33">
        <f>HYPERLINK("klagomålsmail\A 26140-2022.docx")</f>
        <v/>
      </c>
      <c r="V33">
        <f>HYPERLINK("tillsyn\A 26140-2022.docx")</f>
        <v/>
      </c>
      <c r="W33">
        <f>HYPERLINK("tillsynsmail\A 26140-2022.docx")</f>
        <v/>
      </c>
    </row>
    <row r="34">
      <c r="A34" t="inlineStr">
        <is>
          <t>A 18987-2023</t>
        </is>
      </c>
      <c r="B34" s="1" t="n">
        <v>45044</v>
      </c>
      <c r="C34" s="1" t="n">
        <v>45156</v>
      </c>
      <c r="D34" t="inlineStr">
        <is>
          <t>STRÖMSUND</t>
        </is>
      </c>
      <c r="E34" t="inlineStr">
        <is>
          <t>SCA</t>
        </is>
      </c>
      <c r="F34" t="n">
        <v>9.699999999999999</v>
      </c>
      <c r="G34" t="n">
        <v>1</v>
      </c>
      <c r="H34" t="n">
        <v>5</v>
      </c>
      <c r="I34" t="n">
        <v>8</v>
      </c>
      <c r="J34" t="n">
        <v>0</v>
      </c>
      <c r="K34" t="n">
        <v>0</v>
      </c>
      <c r="L34" t="n">
        <v>0</v>
      </c>
      <c r="M34" t="n">
        <v>0</v>
      </c>
      <c r="N34" t="n">
        <v>8</v>
      </c>
      <c r="O34" t="n">
        <v>0</v>
      </c>
      <c r="P34" t="n">
        <v>13</v>
      </c>
      <c r="Q34">
        <f>HYPERLINK("artfynd\A 18987-2023.xlsx")</f>
        <v/>
      </c>
      <c r="R34">
        <f>HYPERLINK("kartor\A 18987-2023.png")</f>
        <v/>
      </c>
      <c r="T34">
        <f>HYPERLINK("klagomål\A 18987-2023.docx")</f>
        <v/>
      </c>
      <c r="U34">
        <f>HYPERLINK("klagomålsmail\A 18987-2023.docx")</f>
        <v/>
      </c>
      <c r="V34">
        <f>HYPERLINK("tillsyn\A 18987-2023.docx")</f>
        <v/>
      </c>
      <c r="W34">
        <f>HYPERLINK("tillsynsmail\A 18987-2023.docx")</f>
        <v/>
      </c>
    </row>
    <row r="35">
      <c r="A35" t="inlineStr">
        <is>
          <t>A 35623-2019</t>
        </is>
      </c>
      <c r="B35" s="1" t="n">
        <v>43664</v>
      </c>
      <c r="C35" s="1" t="n">
        <v>45156</v>
      </c>
      <c r="D35" t="inlineStr">
        <is>
          <t>STRÖMSUND</t>
        </is>
      </c>
      <c r="F35" t="n">
        <v>38.1</v>
      </c>
      <c r="G35" t="n">
        <v>3</v>
      </c>
      <c r="H35" t="n">
        <v>4</v>
      </c>
      <c r="I35" t="n">
        <v>7</v>
      </c>
      <c r="J35" t="n">
        <v>1</v>
      </c>
      <c r="K35" t="n">
        <v>0</v>
      </c>
      <c r="L35" t="n">
        <v>0</v>
      </c>
      <c r="M35" t="n">
        <v>0</v>
      </c>
      <c r="N35" t="n">
        <v>8</v>
      </c>
      <c r="O35" t="n">
        <v>1</v>
      </c>
      <c r="P35" t="n">
        <v>12</v>
      </c>
      <c r="Q35">
        <f>HYPERLINK("artfynd\A 35623-2019.xlsx")</f>
        <v/>
      </c>
      <c r="R35">
        <f>HYPERLINK("kartor\A 35623-2019.png")</f>
        <v/>
      </c>
      <c r="T35">
        <f>HYPERLINK("klagomål\A 35623-2019.docx")</f>
        <v/>
      </c>
      <c r="U35">
        <f>HYPERLINK("klagomålsmail\A 35623-2019.docx")</f>
        <v/>
      </c>
      <c r="V35">
        <f>HYPERLINK("tillsyn\A 35623-2019.docx")</f>
        <v/>
      </c>
      <c r="W35">
        <f>HYPERLINK("tillsynsmail\A 35623-2019.docx")</f>
        <v/>
      </c>
    </row>
    <row r="36">
      <c r="A36" t="inlineStr">
        <is>
          <t>A 39276-2019</t>
        </is>
      </c>
      <c r="B36" s="1" t="n">
        <v>43690</v>
      </c>
      <c r="C36" s="1" t="n">
        <v>45156</v>
      </c>
      <c r="D36" t="inlineStr">
        <is>
          <t>STRÖMSUND</t>
        </is>
      </c>
      <c r="E36" t="inlineStr">
        <is>
          <t>Holmen skog AB</t>
        </is>
      </c>
      <c r="F36" t="n">
        <v>28.8</v>
      </c>
      <c r="G36" t="n">
        <v>2</v>
      </c>
      <c r="H36" t="n">
        <v>3</v>
      </c>
      <c r="I36" t="n">
        <v>7</v>
      </c>
      <c r="J36" t="n">
        <v>1</v>
      </c>
      <c r="K36" t="n">
        <v>0</v>
      </c>
      <c r="L36" t="n">
        <v>0</v>
      </c>
      <c r="M36" t="n">
        <v>0</v>
      </c>
      <c r="N36" t="n">
        <v>8</v>
      </c>
      <c r="O36" t="n">
        <v>1</v>
      </c>
      <c r="P36" t="n">
        <v>12</v>
      </c>
      <c r="Q36">
        <f>HYPERLINK("artfynd\A 39276-2019.xlsx")</f>
        <v/>
      </c>
      <c r="R36">
        <f>HYPERLINK("kartor\A 39276-2019.png")</f>
        <v/>
      </c>
      <c r="T36">
        <f>HYPERLINK("klagomål\A 39276-2019.docx")</f>
        <v/>
      </c>
      <c r="U36">
        <f>HYPERLINK("klagomålsmail\A 39276-2019.docx")</f>
        <v/>
      </c>
      <c r="V36">
        <f>HYPERLINK("tillsyn\A 39276-2019.docx")</f>
        <v/>
      </c>
      <c r="W36">
        <f>HYPERLINK("tillsynsmail\A 39276-2019.docx")</f>
        <v/>
      </c>
    </row>
    <row r="37">
      <c r="A37" t="inlineStr">
        <is>
          <t>A 47078-2019</t>
        </is>
      </c>
      <c r="B37" s="1" t="n">
        <v>43720</v>
      </c>
      <c r="C37" s="1" t="n">
        <v>45156</v>
      </c>
      <c r="D37" t="inlineStr">
        <is>
          <t>STRÖMSUND</t>
        </is>
      </c>
      <c r="E37" t="inlineStr">
        <is>
          <t>SCA</t>
        </is>
      </c>
      <c r="F37" t="n">
        <v>12.7</v>
      </c>
      <c r="G37" t="n">
        <v>1</v>
      </c>
      <c r="H37" t="n">
        <v>6</v>
      </c>
      <c r="I37" t="n">
        <v>5</v>
      </c>
      <c r="J37" t="n">
        <v>1</v>
      </c>
      <c r="K37" t="n">
        <v>0</v>
      </c>
      <c r="L37" t="n">
        <v>0</v>
      </c>
      <c r="M37" t="n">
        <v>0</v>
      </c>
      <c r="N37" t="n">
        <v>6</v>
      </c>
      <c r="O37" t="n">
        <v>1</v>
      </c>
      <c r="P37" t="n">
        <v>12</v>
      </c>
      <c r="Q37">
        <f>HYPERLINK("artfynd\A 47078-2019.xlsx")</f>
        <v/>
      </c>
      <c r="R37">
        <f>HYPERLINK("kartor\A 47078-2019.png")</f>
        <v/>
      </c>
      <c r="T37">
        <f>HYPERLINK("klagomål\A 47078-2019.docx")</f>
        <v/>
      </c>
      <c r="U37">
        <f>HYPERLINK("klagomålsmail\A 47078-2019.docx")</f>
        <v/>
      </c>
      <c r="V37">
        <f>HYPERLINK("tillsyn\A 47078-2019.docx")</f>
        <v/>
      </c>
      <c r="W37">
        <f>HYPERLINK("tillsynsmail\A 47078-2019.docx")</f>
        <v/>
      </c>
    </row>
    <row r="38">
      <c r="A38" t="inlineStr">
        <is>
          <t>A 19734-2020</t>
        </is>
      </c>
      <c r="B38" s="1" t="n">
        <v>43941</v>
      </c>
      <c r="C38" s="1" t="n">
        <v>45156</v>
      </c>
      <c r="D38" t="inlineStr">
        <is>
          <t>STRÖMSUND</t>
        </is>
      </c>
      <c r="E38" t="inlineStr">
        <is>
          <t>SCA</t>
        </is>
      </c>
      <c r="F38" t="n">
        <v>8.699999999999999</v>
      </c>
      <c r="G38" t="n">
        <v>2</v>
      </c>
      <c r="H38" t="n">
        <v>5</v>
      </c>
      <c r="I38" t="n">
        <v>4</v>
      </c>
      <c r="J38" t="n">
        <v>2</v>
      </c>
      <c r="K38" t="n">
        <v>0</v>
      </c>
      <c r="L38" t="n">
        <v>0</v>
      </c>
      <c r="M38" t="n">
        <v>0</v>
      </c>
      <c r="N38" t="n">
        <v>6</v>
      </c>
      <c r="O38" t="n">
        <v>2</v>
      </c>
      <c r="P38" t="n">
        <v>12</v>
      </c>
      <c r="Q38">
        <f>HYPERLINK("artfynd\A 19734-2020.xlsx")</f>
        <v/>
      </c>
      <c r="R38">
        <f>HYPERLINK("kartor\A 19734-2020.png")</f>
        <v/>
      </c>
      <c r="T38">
        <f>HYPERLINK("klagomål\A 19734-2020.docx")</f>
        <v/>
      </c>
      <c r="U38">
        <f>HYPERLINK("klagomålsmail\A 19734-2020.docx")</f>
        <v/>
      </c>
      <c r="V38">
        <f>HYPERLINK("tillsyn\A 19734-2020.docx")</f>
        <v/>
      </c>
      <c r="W38">
        <f>HYPERLINK("tillsynsmail\A 19734-2020.docx")</f>
        <v/>
      </c>
    </row>
    <row r="39">
      <c r="A39" t="inlineStr">
        <is>
          <t>A 30406-2020</t>
        </is>
      </c>
      <c r="B39" s="1" t="n">
        <v>44007</v>
      </c>
      <c r="C39" s="1" t="n">
        <v>45156</v>
      </c>
      <c r="D39" t="inlineStr">
        <is>
          <t>STRÖMSUND</t>
        </is>
      </c>
      <c r="E39" t="inlineStr">
        <is>
          <t>Holmen skog AB</t>
        </is>
      </c>
      <c r="F39" t="n">
        <v>9.5</v>
      </c>
      <c r="G39" t="n">
        <v>0</v>
      </c>
      <c r="H39" t="n">
        <v>5</v>
      </c>
      <c r="I39" t="n">
        <v>5</v>
      </c>
      <c r="J39" t="n">
        <v>1</v>
      </c>
      <c r="K39" t="n">
        <v>1</v>
      </c>
      <c r="L39" t="n">
        <v>0</v>
      </c>
      <c r="M39" t="n">
        <v>0</v>
      </c>
      <c r="N39" t="n">
        <v>7</v>
      </c>
      <c r="O39" t="n">
        <v>2</v>
      </c>
      <c r="P39" t="n">
        <v>12</v>
      </c>
      <c r="Q39">
        <f>HYPERLINK("artfynd\A 30406-2020.xlsx")</f>
        <v/>
      </c>
      <c r="R39">
        <f>HYPERLINK("kartor\A 30406-2020.png")</f>
        <v/>
      </c>
      <c r="T39">
        <f>HYPERLINK("klagomål\A 30406-2020.docx")</f>
        <v/>
      </c>
      <c r="U39">
        <f>HYPERLINK("klagomålsmail\A 30406-2020.docx")</f>
        <v/>
      </c>
      <c r="V39">
        <f>HYPERLINK("tillsyn\A 30406-2020.docx")</f>
        <v/>
      </c>
      <c r="W39">
        <f>HYPERLINK("tillsynsmail\A 30406-2020.docx")</f>
        <v/>
      </c>
    </row>
    <row r="40">
      <c r="A40" t="inlineStr">
        <is>
          <t>A 65832-2020</t>
        </is>
      </c>
      <c r="B40" s="1" t="n">
        <v>44174</v>
      </c>
      <c r="C40" s="1" t="n">
        <v>45156</v>
      </c>
      <c r="D40" t="inlineStr">
        <is>
          <t>STRÖMSUND</t>
        </is>
      </c>
      <c r="E40" t="inlineStr">
        <is>
          <t>Holmen skog AB</t>
        </is>
      </c>
      <c r="F40" t="n">
        <v>42.2</v>
      </c>
      <c r="G40" t="n">
        <v>1</v>
      </c>
      <c r="H40" t="n">
        <v>3</v>
      </c>
      <c r="I40" t="n">
        <v>8</v>
      </c>
      <c r="J40" t="n">
        <v>1</v>
      </c>
      <c r="K40" t="n">
        <v>0</v>
      </c>
      <c r="L40" t="n">
        <v>0</v>
      </c>
      <c r="M40" t="n">
        <v>0</v>
      </c>
      <c r="N40" t="n">
        <v>9</v>
      </c>
      <c r="O40" t="n">
        <v>1</v>
      </c>
      <c r="P40" t="n">
        <v>12</v>
      </c>
      <c r="Q40">
        <f>HYPERLINK("artfynd\A 65832-2020.xlsx")</f>
        <v/>
      </c>
      <c r="R40">
        <f>HYPERLINK("kartor\A 65832-2020.png")</f>
        <v/>
      </c>
      <c r="T40">
        <f>HYPERLINK("klagomål\A 65832-2020.docx")</f>
        <v/>
      </c>
      <c r="U40">
        <f>HYPERLINK("klagomålsmail\A 65832-2020.docx")</f>
        <v/>
      </c>
      <c r="V40">
        <f>HYPERLINK("tillsyn\A 65832-2020.docx")</f>
        <v/>
      </c>
      <c r="W40">
        <f>HYPERLINK("tillsynsmail\A 65832-2020.docx")</f>
        <v/>
      </c>
    </row>
    <row r="41">
      <c r="A41" t="inlineStr">
        <is>
          <t>A 22773-2021</t>
        </is>
      </c>
      <c r="B41" s="1" t="n">
        <v>44327</v>
      </c>
      <c r="C41" s="1" t="n">
        <v>45156</v>
      </c>
      <c r="D41" t="inlineStr">
        <is>
          <t>STRÖMSUND</t>
        </is>
      </c>
      <c r="F41" t="n">
        <v>1.8</v>
      </c>
      <c r="G41" t="n">
        <v>2</v>
      </c>
      <c r="H41" t="n">
        <v>8</v>
      </c>
      <c r="I41" t="n">
        <v>1</v>
      </c>
      <c r="J41" t="n">
        <v>1</v>
      </c>
      <c r="K41" t="n">
        <v>1</v>
      </c>
      <c r="L41" t="n">
        <v>0</v>
      </c>
      <c r="M41" t="n">
        <v>0</v>
      </c>
      <c r="N41" t="n">
        <v>3</v>
      </c>
      <c r="O41" t="n">
        <v>2</v>
      </c>
      <c r="P41" t="n">
        <v>12</v>
      </c>
      <c r="Q41">
        <f>HYPERLINK("artfynd\A 22773-2021.xlsx")</f>
        <v/>
      </c>
      <c r="R41">
        <f>HYPERLINK("kartor\A 22773-2021.png")</f>
        <v/>
      </c>
      <c r="T41">
        <f>HYPERLINK("klagomål\A 22773-2021.docx")</f>
        <v/>
      </c>
      <c r="U41">
        <f>HYPERLINK("klagomålsmail\A 22773-2021.docx")</f>
        <v/>
      </c>
      <c r="V41">
        <f>HYPERLINK("tillsyn\A 22773-2021.docx")</f>
        <v/>
      </c>
      <c r="W41">
        <f>HYPERLINK("tillsynsmail\A 22773-2021.docx")</f>
        <v/>
      </c>
    </row>
    <row r="42">
      <c r="A42" t="inlineStr">
        <is>
          <t>A 43075-2021</t>
        </is>
      </c>
      <c r="B42" s="1" t="n">
        <v>44431</v>
      </c>
      <c r="C42" s="1" t="n">
        <v>45156</v>
      </c>
      <c r="D42" t="inlineStr">
        <is>
          <t>STRÖMSUND</t>
        </is>
      </c>
      <c r="F42" t="n">
        <v>27.7</v>
      </c>
      <c r="G42" t="n">
        <v>2</v>
      </c>
      <c r="H42" t="n">
        <v>5</v>
      </c>
      <c r="I42" t="n">
        <v>6</v>
      </c>
      <c r="J42" t="n">
        <v>1</v>
      </c>
      <c r="K42" t="n">
        <v>0</v>
      </c>
      <c r="L42" t="n">
        <v>0</v>
      </c>
      <c r="M42" t="n">
        <v>0</v>
      </c>
      <c r="N42" t="n">
        <v>7</v>
      </c>
      <c r="O42" t="n">
        <v>1</v>
      </c>
      <c r="P42" t="n">
        <v>12</v>
      </c>
      <c r="Q42">
        <f>HYPERLINK("artfynd\A 43075-2021.xlsx")</f>
        <v/>
      </c>
      <c r="R42">
        <f>HYPERLINK("kartor\A 43075-2021.png")</f>
        <v/>
      </c>
      <c r="T42">
        <f>HYPERLINK("klagomål\A 43075-2021.docx")</f>
        <v/>
      </c>
      <c r="U42">
        <f>HYPERLINK("klagomålsmail\A 43075-2021.docx")</f>
        <v/>
      </c>
      <c r="V42">
        <f>HYPERLINK("tillsyn\A 43075-2021.docx")</f>
        <v/>
      </c>
      <c r="W42">
        <f>HYPERLINK("tillsynsmail\A 43075-2021.docx")</f>
        <v/>
      </c>
    </row>
    <row r="43">
      <c r="A43" t="inlineStr">
        <is>
          <t>A 47079-2019</t>
        </is>
      </c>
      <c r="B43" s="1" t="n">
        <v>43720</v>
      </c>
      <c r="C43" s="1" t="n">
        <v>45156</v>
      </c>
      <c r="D43" t="inlineStr">
        <is>
          <t>STRÖMSUND</t>
        </is>
      </c>
      <c r="E43" t="inlineStr">
        <is>
          <t>SCA</t>
        </is>
      </c>
      <c r="F43" t="n">
        <v>16.4</v>
      </c>
      <c r="G43" t="n">
        <v>2</v>
      </c>
      <c r="H43" t="n">
        <v>6</v>
      </c>
      <c r="I43" t="n">
        <v>4</v>
      </c>
      <c r="J43" t="n">
        <v>1</v>
      </c>
      <c r="K43" t="n">
        <v>0</v>
      </c>
      <c r="L43" t="n">
        <v>0</v>
      </c>
      <c r="M43" t="n">
        <v>0</v>
      </c>
      <c r="N43" t="n">
        <v>5</v>
      </c>
      <c r="O43" t="n">
        <v>1</v>
      </c>
      <c r="P43" t="n">
        <v>11</v>
      </c>
      <c r="Q43">
        <f>HYPERLINK("artfynd\A 47079-2019.xlsx")</f>
        <v/>
      </c>
      <c r="R43">
        <f>HYPERLINK("kartor\A 47079-2019.png")</f>
        <v/>
      </c>
      <c r="T43">
        <f>HYPERLINK("klagomål\A 47079-2019.docx")</f>
        <v/>
      </c>
      <c r="U43">
        <f>HYPERLINK("klagomålsmail\A 47079-2019.docx")</f>
        <v/>
      </c>
      <c r="V43">
        <f>HYPERLINK("tillsyn\A 47079-2019.docx")</f>
        <v/>
      </c>
      <c r="W43">
        <f>HYPERLINK("tillsynsmail\A 47079-2019.docx")</f>
        <v/>
      </c>
    </row>
    <row r="44">
      <c r="A44" t="inlineStr">
        <is>
          <t>A 45664-2020</t>
        </is>
      </c>
      <c r="B44" s="1" t="n">
        <v>44090</v>
      </c>
      <c r="C44" s="1" t="n">
        <v>45156</v>
      </c>
      <c r="D44" t="inlineStr">
        <is>
          <t>STRÖMSUND</t>
        </is>
      </c>
      <c r="E44" t="inlineStr">
        <is>
          <t>Holmen skog AB</t>
        </is>
      </c>
      <c r="F44" t="n">
        <v>28.3</v>
      </c>
      <c r="G44" t="n">
        <v>0</v>
      </c>
      <c r="H44" t="n">
        <v>1</v>
      </c>
      <c r="I44" t="n">
        <v>9</v>
      </c>
      <c r="J44" t="n">
        <v>1</v>
      </c>
      <c r="K44" t="n">
        <v>0</v>
      </c>
      <c r="L44" t="n">
        <v>0</v>
      </c>
      <c r="M44" t="n">
        <v>0</v>
      </c>
      <c r="N44" t="n">
        <v>10</v>
      </c>
      <c r="O44" t="n">
        <v>1</v>
      </c>
      <c r="P44" t="n">
        <v>11</v>
      </c>
      <c r="Q44">
        <f>HYPERLINK("artfynd\A 45664-2020.xlsx")</f>
        <v/>
      </c>
      <c r="R44">
        <f>HYPERLINK("kartor\A 45664-2020.png")</f>
        <v/>
      </c>
      <c r="T44">
        <f>HYPERLINK("klagomål\A 45664-2020.docx")</f>
        <v/>
      </c>
      <c r="U44">
        <f>HYPERLINK("klagomålsmail\A 45664-2020.docx")</f>
        <v/>
      </c>
      <c r="V44">
        <f>HYPERLINK("tillsyn\A 45664-2020.docx")</f>
        <v/>
      </c>
      <c r="W44">
        <f>HYPERLINK("tillsynsmail\A 45664-2020.docx")</f>
        <v/>
      </c>
    </row>
    <row r="45">
      <c r="A45" t="inlineStr">
        <is>
          <t>A 66118-2020</t>
        </is>
      </c>
      <c r="B45" s="1" t="n">
        <v>44175</v>
      </c>
      <c r="C45" s="1" t="n">
        <v>45156</v>
      </c>
      <c r="D45" t="inlineStr">
        <is>
          <t>STRÖMSUND</t>
        </is>
      </c>
      <c r="E45" t="inlineStr">
        <is>
          <t>Holmen skog AB</t>
        </is>
      </c>
      <c r="F45" t="n">
        <v>24.6</v>
      </c>
      <c r="G45" t="n">
        <v>2</v>
      </c>
      <c r="H45" t="n">
        <v>2</v>
      </c>
      <c r="I45" t="n">
        <v>6</v>
      </c>
      <c r="J45" t="n">
        <v>2</v>
      </c>
      <c r="K45" t="n">
        <v>0</v>
      </c>
      <c r="L45" t="n">
        <v>0</v>
      </c>
      <c r="M45" t="n">
        <v>0</v>
      </c>
      <c r="N45" t="n">
        <v>8</v>
      </c>
      <c r="O45" t="n">
        <v>2</v>
      </c>
      <c r="P45" t="n">
        <v>11</v>
      </c>
      <c r="Q45">
        <f>HYPERLINK("artfynd\A 66118-2020.xlsx")</f>
        <v/>
      </c>
      <c r="R45">
        <f>HYPERLINK("kartor\A 66118-2020.png")</f>
        <v/>
      </c>
      <c r="T45">
        <f>HYPERLINK("klagomål\A 66118-2020.docx")</f>
        <v/>
      </c>
      <c r="U45">
        <f>HYPERLINK("klagomålsmail\A 66118-2020.docx")</f>
        <v/>
      </c>
      <c r="V45">
        <f>HYPERLINK("tillsyn\A 66118-2020.docx")</f>
        <v/>
      </c>
      <c r="W45">
        <f>HYPERLINK("tillsynsmail\A 66118-2020.docx")</f>
        <v/>
      </c>
    </row>
    <row r="46">
      <c r="A46" t="inlineStr">
        <is>
          <t>A 24299-2023</t>
        </is>
      </c>
      <c r="B46" s="1" t="n">
        <v>45079</v>
      </c>
      <c r="C46" s="1" t="n">
        <v>45156</v>
      </c>
      <c r="D46" t="inlineStr">
        <is>
          <t>STRÖMSUND</t>
        </is>
      </c>
      <c r="E46" t="inlineStr">
        <is>
          <t>SCA</t>
        </is>
      </c>
      <c r="F46" t="n">
        <v>5.2</v>
      </c>
      <c r="G46" t="n">
        <v>0</v>
      </c>
      <c r="H46" t="n">
        <v>4</v>
      </c>
      <c r="I46" t="n">
        <v>5</v>
      </c>
      <c r="J46" t="n">
        <v>2</v>
      </c>
      <c r="K46" t="n">
        <v>0</v>
      </c>
      <c r="L46" t="n">
        <v>0</v>
      </c>
      <c r="M46" t="n">
        <v>0</v>
      </c>
      <c r="N46" t="n">
        <v>7</v>
      </c>
      <c r="O46" t="n">
        <v>2</v>
      </c>
      <c r="P46" t="n">
        <v>11</v>
      </c>
      <c r="Q46">
        <f>HYPERLINK("artfynd\A 24299-2023.xlsx")</f>
        <v/>
      </c>
      <c r="R46">
        <f>HYPERLINK("kartor\A 24299-2023.png")</f>
        <v/>
      </c>
      <c r="T46">
        <f>HYPERLINK("klagomål\A 24299-2023.docx")</f>
        <v/>
      </c>
      <c r="U46">
        <f>HYPERLINK("klagomålsmail\A 24299-2023.docx")</f>
        <v/>
      </c>
      <c r="V46">
        <f>HYPERLINK("tillsyn\A 24299-2023.docx")</f>
        <v/>
      </c>
      <c r="W46">
        <f>HYPERLINK("tillsynsmail\A 24299-2023.docx")</f>
        <v/>
      </c>
    </row>
    <row r="47">
      <c r="A47" t="inlineStr">
        <is>
          <t>A 25855-2019</t>
        </is>
      </c>
      <c r="B47" s="1" t="n">
        <v>43608</v>
      </c>
      <c r="C47" s="1" t="n">
        <v>45156</v>
      </c>
      <c r="D47" t="inlineStr">
        <is>
          <t>STRÖMSUND</t>
        </is>
      </c>
      <c r="F47" t="n">
        <v>66.09999999999999</v>
      </c>
      <c r="G47" t="n">
        <v>0</v>
      </c>
      <c r="H47" t="n">
        <v>7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3</v>
      </c>
      <c r="O47" t="n">
        <v>0</v>
      </c>
      <c r="P47" t="n">
        <v>10</v>
      </c>
      <c r="Q47">
        <f>HYPERLINK("artfynd\A 25855-2019.xlsx")</f>
        <v/>
      </c>
      <c r="R47">
        <f>HYPERLINK("kartor\A 25855-2019.png")</f>
        <v/>
      </c>
      <c r="T47">
        <f>HYPERLINK("klagomål\A 25855-2019.docx")</f>
        <v/>
      </c>
      <c r="U47">
        <f>HYPERLINK("klagomålsmail\A 25855-2019.docx")</f>
        <v/>
      </c>
      <c r="V47">
        <f>HYPERLINK("tillsyn\A 25855-2019.docx")</f>
        <v/>
      </c>
      <c r="W47">
        <f>HYPERLINK("tillsynsmail\A 25855-2019.docx")</f>
        <v/>
      </c>
    </row>
    <row r="48">
      <c r="A48" t="inlineStr">
        <is>
          <t>A 718-2021</t>
        </is>
      </c>
      <c r="B48" s="1" t="n">
        <v>44204</v>
      </c>
      <c r="C48" s="1" t="n">
        <v>45156</v>
      </c>
      <c r="D48" t="inlineStr">
        <is>
          <t>STRÖMSUND</t>
        </is>
      </c>
      <c r="E48" t="inlineStr">
        <is>
          <t>SCA</t>
        </is>
      </c>
      <c r="F48" t="n">
        <v>50.1</v>
      </c>
      <c r="G48" t="n">
        <v>1</v>
      </c>
      <c r="H48" t="n">
        <v>2</v>
      </c>
      <c r="I48" t="n">
        <v>6</v>
      </c>
      <c r="J48" t="n">
        <v>2</v>
      </c>
      <c r="K48" t="n">
        <v>0</v>
      </c>
      <c r="L48" t="n">
        <v>0</v>
      </c>
      <c r="M48" t="n">
        <v>0</v>
      </c>
      <c r="N48" t="n">
        <v>8</v>
      </c>
      <c r="O48" t="n">
        <v>2</v>
      </c>
      <c r="P48" t="n">
        <v>10</v>
      </c>
      <c r="Q48">
        <f>HYPERLINK("artfynd\A 718-2021.xlsx")</f>
        <v/>
      </c>
      <c r="R48">
        <f>HYPERLINK("kartor\A 718-2021.png")</f>
        <v/>
      </c>
      <c r="T48">
        <f>HYPERLINK("klagomål\A 718-2021.docx")</f>
        <v/>
      </c>
      <c r="U48">
        <f>HYPERLINK("klagomålsmail\A 718-2021.docx")</f>
        <v/>
      </c>
      <c r="V48">
        <f>HYPERLINK("tillsyn\A 718-2021.docx")</f>
        <v/>
      </c>
      <c r="W48">
        <f>HYPERLINK("tillsynsmail\A 718-2021.docx")</f>
        <v/>
      </c>
    </row>
    <row r="49">
      <c r="A49" t="inlineStr">
        <is>
          <t>A 42236-2021</t>
        </is>
      </c>
      <c r="B49" s="1" t="n">
        <v>44426</v>
      </c>
      <c r="C49" s="1" t="n">
        <v>45156</v>
      </c>
      <c r="D49" t="inlineStr">
        <is>
          <t>STRÖMSUND</t>
        </is>
      </c>
      <c r="E49" t="inlineStr">
        <is>
          <t>SCA</t>
        </is>
      </c>
      <c r="F49" t="n">
        <v>9.1</v>
      </c>
      <c r="G49" t="n">
        <v>0</v>
      </c>
      <c r="H49" t="n">
        <v>5</v>
      </c>
      <c r="I49" t="n">
        <v>5</v>
      </c>
      <c r="J49" t="n">
        <v>0</v>
      </c>
      <c r="K49" t="n">
        <v>0</v>
      </c>
      <c r="L49" t="n">
        <v>0</v>
      </c>
      <c r="M49" t="n">
        <v>0</v>
      </c>
      <c r="N49" t="n">
        <v>5</v>
      </c>
      <c r="O49" t="n">
        <v>0</v>
      </c>
      <c r="P49" t="n">
        <v>10</v>
      </c>
      <c r="Q49">
        <f>HYPERLINK("artfynd\A 42236-2021.xlsx")</f>
        <v/>
      </c>
      <c r="R49">
        <f>HYPERLINK("kartor\A 42236-2021.png")</f>
        <v/>
      </c>
      <c r="T49">
        <f>HYPERLINK("klagomål\A 42236-2021.docx")</f>
        <v/>
      </c>
      <c r="U49">
        <f>HYPERLINK("klagomålsmail\A 42236-2021.docx")</f>
        <v/>
      </c>
      <c r="V49">
        <f>HYPERLINK("tillsyn\A 42236-2021.docx")</f>
        <v/>
      </c>
      <c r="W49">
        <f>HYPERLINK("tillsynsmail\A 42236-2021.docx")</f>
        <v/>
      </c>
    </row>
    <row r="50">
      <c r="A50" t="inlineStr">
        <is>
          <t>A 69914-2021</t>
        </is>
      </c>
      <c r="B50" s="1" t="n">
        <v>44532</v>
      </c>
      <c r="C50" s="1" t="n">
        <v>45156</v>
      </c>
      <c r="D50" t="inlineStr">
        <is>
          <t>STRÖMSUND</t>
        </is>
      </c>
      <c r="E50" t="inlineStr">
        <is>
          <t>SCA</t>
        </is>
      </c>
      <c r="F50" t="n">
        <v>4.9</v>
      </c>
      <c r="G50" t="n">
        <v>1</v>
      </c>
      <c r="H50" t="n">
        <v>5</v>
      </c>
      <c r="I50" t="n">
        <v>3</v>
      </c>
      <c r="J50" t="n">
        <v>2</v>
      </c>
      <c r="K50" t="n">
        <v>0</v>
      </c>
      <c r="L50" t="n">
        <v>0</v>
      </c>
      <c r="M50" t="n">
        <v>0</v>
      </c>
      <c r="N50" t="n">
        <v>5</v>
      </c>
      <c r="O50" t="n">
        <v>2</v>
      </c>
      <c r="P50" t="n">
        <v>10</v>
      </c>
      <c r="Q50">
        <f>HYPERLINK("artfynd\A 69914-2021.xlsx")</f>
        <v/>
      </c>
      <c r="R50">
        <f>HYPERLINK("kartor\A 69914-2021.png")</f>
        <v/>
      </c>
      <c r="S50">
        <f>HYPERLINK("knärot\A 69914-2021.png")</f>
        <v/>
      </c>
      <c r="T50">
        <f>HYPERLINK("klagomål\A 69914-2021.docx")</f>
        <v/>
      </c>
      <c r="U50">
        <f>HYPERLINK("klagomålsmail\A 69914-2021.docx")</f>
        <v/>
      </c>
      <c r="V50">
        <f>HYPERLINK("tillsyn\A 69914-2021.docx")</f>
        <v/>
      </c>
      <c r="W50">
        <f>HYPERLINK("tillsynsmail\A 69914-2021.docx")</f>
        <v/>
      </c>
    </row>
    <row r="51">
      <c r="A51" t="inlineStr">
        <is>
          <t>A 26141-2022</t>
        </is>
      </c>
      <c r="B51" s="1" t="n">
        <v>44734</v>
      </c>
      <c r="C51" s="1" t="n">
        <v>45156</v>
      </c>
      <c r="D51" t="inlineStr">
        <is>
          <t>STRÖMSUND</t>
        </is>
      </c>
      <c r="E51" t="inlineStr">
        <is>
          <t>SCA</t>
        </is>
      </c>
      <c r="F51" t="n">
        <v>7.5</v>
      </c>
      <c r="G51" t="n">
        <v>2</v>
      </c>
      <c r="H51" t="n">
        <v>1</v>
      </c>
      <c r="I51" t="n">
        <v>9</v>
      </c>
      <c r="J51" t="n">
        <v>0</v>
      </c>
      <c r="K51" t="n">
        <v>0</v>
      </c>
      <c r="L51" t="n">
        <v>0</v>
      </c>
      <c r="M51" t="n">
        <v>0</v>
      </c>
      <c r="N51" t="n">
        <v>9</v>
      </c>
      <c r="O51" t="n">
        <v>0</v>
      </c>
      <c r="P51" t="n">
        <v>10</v>
      </c>
      <c r="Q51">
        <f>HYPERLINK("artfynd\A 26141-2022.xlsx")</f>
        <v/>
      </c>
      <c r="R51">
        <f>HYPERLINK("kartor\A 26141-2022.png")</f>
        <v/>
      </c>
      <c r="T51">
        <f>HYPERLINK("klagomål\A 26141-2022.docx")</f>
        <v/>
      </c>
      <c r="U51">
        <f>HYPERLINK("klagomålsmail\A 26141-2022.docx")</f>
        <v/>
      </c>
      <c r="V51">
        <f>HYPERLINK("tillsyn\A 26141-2022.docx")</f>
        <v/>
      </c>
      <c r="W51">
        <f>HYPERLINK("tillsynsmail\A 26141-2022.docx")</f>
        <v/>
      </c>
    </row>
    <row r="52">
      <c r="A52" t="inlineStr">
        <is>
          <t>A 54246-2022</t>
        </is>
      </c>
      <c r="B52" s="1" t="n">
        <v>44881</v>
      </c>
      <c r="C52" s="1" t="n">
        <v>45156</v>
      </c>
      <c r="D52" t="inlineStr">
        <is>
          <t>STRÖMSUND</t>
        </is>
      </c>
      <c r="E52" t="inlineStr">
        <is>
          <t>SCA</t>
        </is>
      </c>
      <c r="F52" t="n">
        <v>8.199999999999999</v>
      </c>
      <c r="G52" t="n">
        <v>3</v>
      </c>
      <c r="H52" t="n">
        <v>3</v>
      </c>
      <c r="I52" t="n">
        <v>7</v>
      </c>
      <c r="J52" t="n">
        <v>0</v>
      </c>
      <c r="K52" t="n">
        <v>0</v>
      </c>
      <c r="L52" t="n">
        <v>0</v>
      </c>
      <c r="M52" t="n">
        <v>0</v>
      </c>
      <c r="N52" t="n">
        <v>7</v>
      </c>
      <c r="O52" t="n">
        <v>0</v>
      </c>
      <c r="P52" t="n">
        <v>10</v>
      </c>
      <c r="Q52">
        <f>HYPERLINK("artfynd\A 54246-2022.xlsx")</f>
        <v/>
      </c>
      <c r="R52">
        <f>HYPERLINK("kartor\A 54246-2022.png")</f>
        <v/>
      </c>
      <c r="T52">
        <f>HYPERLINK("klagomål\A 54246-2022.docx")</f>
        <v/>
      </c>
      <c r="U52">
        <f>HYPERLINK("klagomålsmail\A 54246-2022.docx")</f>
        <v/>
      </c>
      <c r="V52">
        <f>HYPERLINK("tillsyn\A 54246-2022.docx")</f>
        <v/>
      </c>
      <c r="W52">
        <f>HYPERLINK("tillsynsmail\A 54246-2022.docx")</f>
        <v/>
      </c>
    </row>
    <row r="53">
      <c r="A53" t="inlineStr">
        <is>
          <t>A 54906-2022</t>
        </is>
      </c>
      <c r="B53" s="1" t="n">
        <v>44886</v>
      </c>
      <c r="C53" s="1" t="n">
        <v>45156</v>
      </c>
      <c r="D53" t="inlineStr">
        <is>
          <t>STRÖMSUND</t>
        </is>
      </c>
      <c r="F53" t="n">
        <v>20.9</v>
      </c>
      <c r="G53" t="n">
        <v>5</v>
      </c>
      <c r="H53" t="n">
        <v>6</v>
      </c>
      <c r="I53" t="n">
        <v>2</v>
      </c>
      <c r="J53" t="n">
        <v>1</v>
      </c>
      <c r="K53" t="n">
        <v>0</v>
      </c>
      <c r="L53" t="n">
        <v>0</v>
      </c>
      <c r="M53" t="n">
        <v>0</v>
      </c>
      <c r="N53" t="n">
        <v>3</v>
      </c>
      <c r="O53" t="n">
        <v>1</v>
      </c>
      <c r="P53" t="n">
        <v>10</v>
      </c>
      <c r="Q53">
        <f>HYPERLINK("artfynd\A 54906-2022.xlsx")</f>
        <v/>
      </c>
      <c r="R53">
        <f>HYPERLINK("kartor\A 54906-2022.png")</f>
        <v/>
      </c>
      <c r="T53">
        <f>HYPERLINK("klagomål\A 54906-2022.docx")</f>
        <v/>
      </c>
      <c r="U53">
        <f>HYPERLINK("klagomålsmail\A 54906-2022.docx")</f>
        <v/>
      </c>
      <c r="V53">
        <f>HYPERLINK("tillsyn\A 54906-2022.docx")</f>
        <v/>
      </c>
      <c r="W53">
        <f>HYPERLINK("tillsynsmail\A 54906-2022.docx")</f>
        <v/>
      </c>
    </row>
    <row r="54">
      <c r="A54" t="inlineStr">
        <is>
          <t>A 1470-2023</t>
        </is>
      </c>
      <c r="B54" s="1" t="n">
        <v>44931</v>
      </c>
      <c r="C54" s="1" t="n">
        <v>45156</v>
      </c>
      <c r="D54" t="inlineStr">
        <is>
          <t>STRÖMSUND</t>
        </is>
      </c>
      <c r="F54" t="n">
        <v>39.8</v>
      </c>
      <c r="G54" t="n">
        <v>3</v>
      </c>
      <c r="H54" t="n">
        <v>3</v>
      </c>
      <c r="I54" t="n">
        <v>6</v>
      </c>
      <c r="J54" t="n">
        <v>0</v>
      </c>
      <c r="K54" t="n">
        <v>0</v>
      </c>
      <c r="L54" t="n">
        <v>0</v>
      </c>
      <c r="M54" t="n">
        <v>0</v>
      </c>
      <c r="N54" t="n">
        <v>6</v>
      </c>
      <c r="O54" t="n">
        <v>0</v>
      </c>
      <c r="P54" t="n">
        <v>10</v>
      </c>
      <c r="Q54">
        <f>HYPERLINK("artfynd\A 1470-2023.xlsx")</f>
        <v/>
      </c>
      <c r="R54">
        <f>HYPERLINK("kartor\A 1470-2023.png")</f>
        <v/>
      </c>
      <c r="T54">
        <f>HYPERLINK("klagomål\A 1470-2023.docx")</f>
        <v/>
      </c>
      <c r="U54">
        <f>HYPERLINK("klagomålsmail\A 1470-2023.docx")</f>
        <v/>
      </c>
      <c r="V54">
        <f>HYPERLINK("tillsyn\A 1470-2023.docx")</f>
        <v/>
      </c>
      <c r="W54">
        <f>HYPERLINK("tillsynsmail\A 1470-2023.docx")</f>
        <v/>
      </c>
    </row>
    <row r="55">
      <c r="A55" t="inlineStr">
        <is>
          <t>A 42372-2018</t>
        </is>
      </c>
      <c r="B55" s="1" t="n">
        <v>43353</v>
      </c>
      <c r="C55" s="1" t="n">
        <v>45156</v>
      </c>
      <c r="D55" t="inlineStr">
        <is>
          <t>STRÖMSUND</t>
        </is>
      </c>
      <c r="E55" t="inlineStr">
        <is>
          <t>Holmen skog AB</t>
        </is>
      </c>
      <c r="F55" t="n">
        <v>13.2</v>
      </c>
      <c r="G55" t="n">
        <v>0</v>
      </c>
      <c r="H55" t="n">
        <v>2</v>
      </c>
      <c r="I55" t="n">
        <v>6</v>
      </c>
      <c r="J55" t="n">
        <v>1</v>
      </c>
      <c r="K55" t="n">
        <v>0</v>
      </c>
      <c r="L55" t="n">
        <v>0</v>
      </c>
      <c r="M55" t="n">
        <v>0</v>
      </c>
      <c r="N55" t="n">
        <v>7</v>
      </c>
      <c r="O55" t="n">
        <v>1</v>
      </c>
      <c r="P55" t="n">
        <v>9</v>
      </c>
      <c r="Q55">
        <f>HYPERLINK("artfynd\A 42372-2018.xlsx")</f>
        <v/>
      </c>
      <c r="R55">
        <f>HYPERLINK("kartor\A 42372-2018.png")</f>
        <v/>
      </c>
      <c r="T55">
        <f>HYPERLINK("klagomål\A 42372-2018.docx")</f>
        <v/>
      </c>
      <c r="U55">
        <f>HYPERLINK("klagomålsmail\A 42372-2018.docx")</f>
        <v/>
      </c>
      <c r="V55">
        <f>HYPERLINK("tillsyn\A 42372-2018.docx")</f>
        <v/>
      </c>
      <c r="W55">
        <f>HYPERLINK("tillsynsmail\A 42372-2018.docx")</f>
        <v/>
      </c>
    </row>
    <row r="56">
      <c r="A56" t="inlineStr">
        <is>
          <t>A 59998-2018</t>
        </is>
      </c>
      <c r="B56" s="1" t="n">
        <v>43411</v>
      </c>
      <c r="C56" s="1" t="n">
        <v>45156</v>
      </c>
      <c r="D56" t="inlineStr">
        <is>
          <t>STRÖMSUND</t>
        </is>
      </c>
      <c r="E56" t="inlineStr">
        <is>
          <t>SCA</t>
        </is>
      </c>
      <c r="F56" t="n">
        <v>3.5</v>
      </c>
      <c r="G56" t="n">
        <v>0</v>
      </c>
      <c r="H56" t="n">
        <v>3</v>
      </c>
      <c r="I56" t="n">
        <v>6</v>
      </c>
      <c r="J56" t="n">
        <v>0</v>
      </c>
      <c r="K56" t="n">
        <v>0</v>
      </c>
      <c r="L56" t="n">
        <v>0</v>
      </c>
      <c r="M56" t="n">
        <v>0</v>
      </c>
      <c r="N56" t="n">
        <v>6</v>
      </c>
      <c r="O56" t="n">
        <v>0</v>
      </c>
      <c r="P56" t="n">
        <v>9</v>
      </c>
      <c r="Q56">
        <f>HYPERLINK("artfynd\A 59998-2018.xlsx")</f>
        <v/>
      </c>
      <c r="R56">
        <f>HYPERLINK("kartor\A 59998-2018.png")</f>
        <v/>
      </c>
      <c r="T56">
        <f>HYPERLINK("klagomål\A 59998-2018.docx")</f>
        <v/>
      </c>
      <c r="U56">
        <f>HYPERLINK("klagomålsmail\A 59998-2018.docx")</f>
        <v/>
      </c>
      <c r="V56">
        <f>HYPERLINK("tillsyn\A 59998-2018.docx")</f>
        <v/>
      </c>
      <c r="W56">
        <f>HYPERLINK("tillsynsmail\A 59998-2018.docx")</f>
        <v/>
      </c>
    </row>
    <row r="57">
      <c r="A57" t="inlineStr">
        <is>
          <t>A 62518-2018</t>
        </is>
      </c>
      <c r="B57" s="1" t="n">
        <v>43413</v>
      </c>
      <c r="C57" s="1" t="n">
        <v>45156</v>
      </c>
      <c r="D57" t="inlineStr">
        <is>
          <t>STRÖMSUND</t>
        </is>
      </c>
      <c r="E57" t="inlineStr">
        <is>
          <t>SCA</t>
        </is>
      </c>
      <c r="F57" t="n">
        <v>3.5</v>
      </c>
      <c r="G57" t="n">
        <v>0</v>
      </c>
      <c r="H57" t="n">
        <v>3</v>
      </c>
      <c r="I57" t="n">
        <v>6</v>
      </c>
      <c r="J57" t="n">
        <v>0</v>
      </c>
      <c r="K57" t="n">
        <v>0</v>
      </c>
      <c r="L57" t="n">
        <v>0</v>
      </c>
      <c r="M57" t="n">
        <v>0</v>
      </c>
      <c r="N57" t="n">
        <v>6</v>
      </c>
      <c r="O57" t="n">
        <v>0</v>
      </c>
      <c r="P57" t="n">
        <v>9</v>
      </c>
      <c r="Q57">
        <f>HYPERLINK("artfynd\A 62518-2018.xlsx")</f>
        <v/>
      </c>
      <c r="R57">
        <f>HYPERLINK("kartor\A 62518-2018.png")</f>
        <v/>
      </c>
      <c r="T57">
        <f>HYPERLINK("klagomål\A 62518-2018.docx")</f>
        <v/>
      </c>
      <c r="U57">
        <f>HYPERLINK("klagomålsmail\A 62518-2018.docx")</f>
        <v/>
      </c>
      <c r="V57">
        <f>HYPERLINK("tillsyn\A 62518-2018.docx")</f>
        <v/>
      </c>
      <c r="W57">
        <f>HYPERLINK("tillsynsmail\A 62518-2018.docx")</f>
        <v/>
      </c>
    </row>
    <row r="58">
      <c r="A58" t="inlineStr">
        <is>
          <t>A 39924-2019</t>
        </is>
      </c>
      <c r="B58" s="1" t="n">
        <v>43692</v>
      </c>
      <c r="C58" s="1" t="n">
        <v>45156</v>
      </c>
      <c r="D58" t="inlineStr">
        <is>
          <t>STRÖMSUND</t>
        </is>
      </c>
      <c r="E58" t="inlineStr">
        <is>
          <t>Holmen skog AB</t>
        </is>
      </c>
      <c r="F58" t="n">
        <v>0.8</v>
      </c>
      <c r="G58" t="n">
        <v>2</v>
      </c>
      <c r="H58" t="n">
        <v>5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3</v>
      </c>
      <c r="O58" t="n">
        <v>0</v>
      </c>
      <c r="P58" t="n">
        <v>9</v>
      </c>
      <c r="Q58">
        <f>HYPERLINK("artfynd\A 39924-2019.xlsx")</f>
        <v/>
      </c>
      <c r="R58">
        <f>HYPERLINK("kartor\A 39924-2019.png")</f>
        <v/>
      </c>
      <c r="T58">
        <f>HYPERLINK("klagomål\A 39924-2019.docx")</f>
        <v/>
      </c>
      <c r="U58">
        <f>HYPERLINK("klagomålsmail\A 39924-2019.docx")</f>
        <v/>
      </c>
      <c r="V58">
        <f>HYPERLINK("tillsyn\A 39924-2019.docx")</f>
        <v/>
      </c>
      <c r="W58">
        <f>HYPERLINK("tillsynsmail\A 39924-2019.docx")</f>
        <v/>
      </c>
    </row>
    <row r="59">
      <c r="A59" t="inlineStr">
        <is>
          <t>A 6776-2020</t>
        </is>
      </c>
      <c r="B59" s="1" t="n">
        <v>43867</v>
      </c>
      <c r="C59" s="1" t="n">
        <v>45156</v>
      </c>
      <c r="D59" t="inlineStr">
        <is>
          <t>STRÖMSUND</t>
        </is>
      </c>
      <c r="F59" t="n">
        <v>10.7</v>
      </c>
      <c r="G59" t="n">
        <v>0</v>
      </c>
      <c r="H59" t="n">
        <v>4</v>
      </c>
      <c r="I59" t="n">
        <v>5</v>
      </c>
      <c r="J59" t="n">
        <v>0</v>
      </c>
      <c r="K59" t="n">
        <v>0</v>
      </c>
      <c r="L59" t="n">
        <v>0</v>
      </c>
      <c r="M59" t="n">
        <v>0</v>
      </c>
      <c r="N59" t="n">
        <v>5</v>
      </c>
      <c r="O59" t="n">
        <v>0</v>
      </c>
      <c r="P59" t="n">
        <v>9</v>
      </c>
      <c r="Q59">
        <f>HYPERLINK("artfynd\A 6776-2020.xlsx")</f>
        <v/>
      </c>
      <c r="R59">
        <f>HYPERLINK("kartor\A 6776-2020.png")</f>
        <v/>
      </c>
      <c r="T59">
        <f>HYPERLINK("klagomål\A 6776-2020.docx")</f>
        <v/>
      </c>
      <c r="U59">
        <f>HYPERLINK("klagomålsmail\A 6776-2020.docx")</f>
        <v/>
      </c>
      <c r="V59">
        <f>HYPERLINK("tillsyn\A 6776-2020.docx")</f>
        <v/>
      </c>
      <c r="W59">
        <f>HYPERLINK("tillsynsmail\A 6776-2020.docx")</f>
        <v/>
      </c>
    </row>
    <row r="60">
      <c r="A60" t="inlineStr">
        <is>
          <t>A 6870-2020</t>
        </is>
      </c>
      <c r="B60" s="1" t="n">
        <v>43867</v>
      </c>
      <c r="C60" s="1" t="n">
        <v>45156</v>
      </c>
      <c r="D60" t="inlineStr">
        <is>
          <t>STRÖMSUND</t>
        </is>
      </c>
      <c r="E60" t="inlineStr">
        <is>
          <t>SCA</t>
        </is>
      </c>
      <c r="F60" t="n">
        <v>42.3</v>
      </c>
      <c r="G60" t="n">
        <v>0</v>
      </c>
      <c r="H60" t="n">
        <v>0</v>
      </c>
      <c r="I60" t="n">
        <v>7</v>
      </c>
      <c r="J60" t="n">
        <v>2</v>
      </c>
      <c r="K60" t="n">
        <v>0</v>
      </c>
      <c r="L60" t="n">
        <v>0</v>
      </c>
      <c r="M60" t="n">
        <v>0</v>
      </c>
      <c r="N60" t="n">
        <v>9</v>
      </c>
      <c r="O60" t="n">
        <v>2</v>
      </c>
      <c r="P60" t="n">
        <v>9</v>
      </c>
      <c r="Q60">
        <f>HYPERLINK("artfynd\A 6870-2020.xlsx")</f>
        <v/>
      </c>
      <c r="R60">
        <f>HYPERLINK("kartor\A 6870-2020.png")</f>
        <v/>
      </c>
      <c r="T60">
        <f>HYPERLINK("klagomål\A 6870-2020.docx")</f>
        <v/>
      </c>
      <c r="U60">
        <f>HYPERLINK("klagomålsmail\A 6870-2020.docx")</f>
        <v/>
      </c>
      <c r="V60">
        <f>HYPERLINK("tillsyn\A 6870-2020.docx")</f>
        <v/>
      </c>
      <c r="W60">
        <f>HYPERLINK("tillsynsmail\A 6870-2020.docx")</f>
        <v/>
      </c>
    </row>
    <row r="61">
      <c r="A61" t="inlineStr">
        <is>
          <t>A 36809-2020</t>
        </is>
      </c>
      <c r="B61" s="1" t="n">
        <v>44053</v>
      </c>
      <c r="C61" s="1" t="n">
        <v>45156</v>
      </c>
      <c r="D61" t="inlineStr">
        <is>
          <t>STRÖMSUND</t>
        </is>
      </c>
      <c r="E61" t="inlineStr">
        <is>
          <t>Holmen skog AB</t>
        </is>
      </c>
      <c r="F61" t="n">
        <v>5.7</v>
      </c>
      <c r="G61" t="n">
        <v>3</v>
      </c>
      <c r="H61" t="n">
        <v>5</v>
      </c>
      <c r="I61" t="n">
        <v>3</v>
      </c>
      <c r="J61" t="n">
        <v>1</v>
      </c>
      <c r="K61" t="n">
        <v>0</v>
      </c>
      <c r="L61" t="n">
        <v>0</v>
      </c>
      <c r="M61" t="n">
        <v>0</v>
      </c>
      <c r="N61" t="n">
        <v>4</v>
      </c>
      <c r="O61" t="n">
        <v>1</v>
      </c>
      <c r="P61" t="n">
        <v>9</v>
      </c>
      <c r="Q61">
        <f>HYPERLINK("artfynd\A 36809-2020.xlsx")</f>
        <v/>
      </c>
      <c r="R61">
        <f>HYPERLINK("kartor\A 36809-2020.png")</f>
        <v/>
      </c>
      <c r="T61">
        <f>HYPERLINK("klagomål\A 36809-2020.docx")</f>
        <v/>
      </c>
      <c r="U61">
        <f>HYPERLINK("klagomålsmail\A 36809-2020.docx")</f>
        <v/>
      </c>
      <c r="V61">
        <f>HYPERLINK("tillsyn\A 36809-2020.docx")</f>
        <v/>
      </c>
      <c r="W61">
        <f>HYPERLINK("tillsynsmail\A 36809-2020.docx")</f>
        <v/>
      </c>
    </row>
    <row r="62">
      <c r="A62" t="inlineStr">
        <is>
          <t>A 44983-2020</t>
        </is>
      </c>
      <c r="B62" s="1" t="n">
        <v>44083</v>
      </c>
      <c r="C62" s="1" t="n">
        <v>45156</v>
      </c>
      <c r="D62" t="inlineStr">
        <is>
          <t>STRÖMSUND</t>
        </is>
      </c>
      <c r="F62" t="n">
        <v>8.5</v>
      </c>
      <c r="G62" t="n">
        <v>1</v>
      </c>
      <c r="H62" t="n">
        <v>4</v>
      </c>
      <c r="I62" t="n">
        <v>3</v>
      </c>
      <c r="J62" t="n">
        <v>1</v>
      </c>
      <c r="K62" t="n">
        <v>0</v>
      </c>
      <c r="L62" t="n">
        <v>0</v>
      </c>
      <c r="M62" t="n">
        <v>0</v>
      </c>
      <c r="N62" t="n">
        <v>4</v>
      </c>
      <c r="O62" t="n">
        <v>1</v>
      </c>
      <c r="P62" t="n">
        <v>9</v>
      </c>
      <c r="Q62">
        <f>HYPERLINK("artfynd\A 44983-2020.xlsx")</f>
        <v/>
      </c>
      <c r="R62">
        <f>HYPERLINK("kartor\A 44983-2020.png")</f>
        <v/>
      </c>
      <c r="T62">
        <f>HYPERLINK("klagomål\A 44983-2020.docx")</f>
        <v/>
      </c>
      <c r="U62">
        <f>HYPERLINK("klagomålsmail\A 44983-2020.docx")</f>
        <v/>
      </c>
      <c r="V62">
        <f>HYPERLINK("tillsyn\A 44983-2020.docx")</f>
        <v/>
      </c>
      <c r="W62">
        <f>HYPERLINK("tillsynsmail\A 44983-2020.docx")</f>
        <v/>
      </c>
    </row>
    <row r="63">
      <c r="A63" t="inlineStr">
        <is>
          <t>A 39928-2021</t>
        </is>
      </c>
      <c r="B63" s="1" t="n">
        <v>44417</v>
      </c>
      <c r="C63" s="1" t="n">
        <v>45156</v>
      </c>
      <c r="D63" t="inlineStr">
        <is>
          <t>STRÖMSUND</t>
        </is>
      </c>
      <c r="E63" t="inlineStr">
        <is>
          <t>SCA</t>
        </is>
      </c>
      <c r="F63" t="n">
        <v>1.5</v>
      </c>
      <c r="G63" t="n">
        <v>2</v>
      </c>
      <c r="H63" t="n">
        <v>2</v>
      </c>
      <c r="I63" t="n">
        <v>3</v>
      </c>
      <c r="J63" t="n">
        <v>2</v>
      </c>
      <c r="K63" t="n">
        <v>2</v>
      </c>
      <c r="L63" t="n">
        <v>0</v>
      </c>
      <c r="M63" t="n">
        <v>0</v>
      </c>
      <c r="N63" t="n">
        <v>7</v>
      </c>
      <c r="O63" t="n">
        <v>4</v>
      </c>
      <c r="P63" t="n">
        <v>9</v>
      </c>
      <c r="Q63">
        <f>HYPERLINK("artfynd\A 39928-2021.xlsx")</f>
        <v/>
      </c>
      <c r="R63">
        <f>HYPERLINK("kartor\A 39928-2021.png")</f>
        <v/>
      </c>
      <c r="T63">
        <f>HYPERLINK("klagomål\A 39928-2021.docx")</f>
        <v/>
      </c>
      <c r="U63">
        <f>HYPERLINK("klagomålsmail\A 39928-2021.docx")</f>
        <v/>
      </c>
      <c r="V63">
        <f>HYPERLINK("tillsyn\A 39928-2021.docx")</f>
        <v/>
      </c>
      <c r="W63">
        <f>HYPERLINK("tillsynsmail\A 39928-2021.docx")</f>
        <v/>
      </c>
    </row>
    <row r="64">
      <c r="A64" t="inlineStr">
        <is>
          <t>A 11485-2022</t>
        </is>
      </c>
      <c r="B64" s="1" t="n">
        <v>44630</v>
      </c>
      <c r="C64" s="1" t="n">
        <v>45156</v>
      </c>
      <c r="D64" t="inlineStr">
        <is>
          <t>STRÖMSUND</t>
        </is>
      </c>
      <c r="E64" t="inlineStr">
        <is>
          <t>SCA</t>
        </is>
      </c>
      <c r="F64" t="n">
        <v>9.4</v>
      </c>
      <c r="G64" t="n">
        <v>0</v>
      </c>
      <c r="H64" t="n">
        <v>5</v>
      </c>
      <c r="I64" t="n">
        <v>4</v>
      </c>
      <c r="J64" t="n">
        <v>0</v>
      </c>
      <c r="K64" t="n">
        <v>0</v>
      </c>
      <c r="L64" t="n">
        <v>0</v>
      </c>
      <c r="M64" t="n">
        <v>0</v>
      </c>
      <c r="N64" t="n">
        <v>4</v>
      </c>
      <c r="O64" t="n">
        <v>0</v>
      </c>
      <c r="P64" t="n">
        <v>9</v>
      </c>
      <c r="Q64">
        <f>HYPERLINK("artfynd\A 11485-2022.xlsx")</f>
        <v/>
      </c>
      <c r="R64">
        <f>HYPERLINK("kartor\A 11485-2022.png")</f>
        <v/>
      </c>
      <c r="T64">
        <f>HYPERLINK("klagomål\A 11485-2022.docx")</f>
        <v/>
      </c>
      <c r="U64">
        <f>HYPERLINK("klagomålsmail\A 11485-2022.docx")</f>
        <v/>
      </c>
      <c r="V64">
        <f>HYPERLINK("tillsyn\A 11485-2022.docx")</f>
        <v/>
      </c>
      <c r="W64">
        <f>HYPERLINK("tillsynsmail\A 11485-2022.docx")</f>
        <v/>
      </c>
    </row>
    <row r="65">
      <c r="A65" t="inlineStr">
        <is>
          <t>A 34679-2022</t>
        </is>
      </c>
      <c r="B65" s="1" t="n">
        <v>44795</v>
      </c>
      <c r="C65" s="1" t="n">
        <v>45156</v>
      </c>
      <c r="D65" t="inlineStr">
        <is>
          <t>STRÖMSUND</t>
        </is>
      </c>
      <c r="F65" t="n">
        <v>4.7</v>
      </c>
      <c r="G65" t="n">
        <v>2</v>
      </c>
      <c r="H65" t="n">
        <v>3</v>
      </c>
      <c r="I65" t="n">
        <v>4</v>
      </c>
      <c r="J65" t="n">
        <v>1</v>
      </c>
      <c r="K65" t="n">
        <v>0</v>
      </c>
      <c r="L65" t="n">
        <v>0</v>
      </c>
      <c r="M65" t="n">
        <v>0</v>
      </c>
      <c r="N65" t="n">
        <v>5</v>
      </c>
      <c r="O65" t="n">
        <v>1</v>
      </c>
      <c r="P65" t="n">
        <v>9</v>
      </c>
      <c r="Q65">
        <f>HYPERLINK("artfynd\A 34679-2022.xlsx")</f>
        <v/>
      </c>
      <c r="R65">
        <f>HYPERLINK("kartor\A 34679-2022.png")</f>
        <v/>
      </c>
      <c r="T65">
        <f>HYPERLINK("klagomål\A 34679-2022.docx")</f>
        <v/>
      </c>
      <c r="U65">
        <f>HYPERLINK("klagomålsmail\A 34679-2022.docx")</f>
        <v/>
      </c>
      <c r="V65">
        <f>HYPERLINK("tillsyn\A 34679-2022.docx")</f>
        <v/>
      </c>
      <c r="W65">
        <f>HYPERLINK("tillsynsmail\A 34679-2022.docx")</f>
        <v/>
      </c>
    </row>
    <row r="66">
      <c r="A66" t="inlineStr">
        <is>
          <t>A 36791-2022</t>
        </is>
      </c>
      <c r="B66" s="1" t="n">
        <v>44805</v>
      </c>
      <c r="C66" s="1" t="n">
        <v>45156</v>
      </c>
      <c r="D66" t="inlineStr">
        <is>
          <t>STRÖMSUND</t>
        </is>
      </c>
      <c r="F66" t="n">
        <v>9.300000000000001</v>
      </c>
      <c r="G66" t="n">
        <v>0</v>
      </c>
      <c r="H66" t="n">
        <v>4</v>
      </c>
      <c r="I66" t="n">
        <v>5</v>
      </c>
      <c r="J66" t="n">
        <v>0</v>
      </c>
      <c r="K66" t="n">
        <v>0</v>
      </c>
      <c r="L66" t="n">
        <v>0</v>
      </c>
      <c r="M66" t="n">
        <v>0</v>
      </c>
      <c r="N66" t="n">
        <v>5</v>
      </c>
      <c r="O66" t="n">
        <v>0</v>
      </c>
      <c r="P66" t="n">
        <v>9</v>
      </c>
      <c r="Q66">
        <f>HYPERLINK("artfynd\A 36791-2022.xlsx")</f>
        <v/>
      </c>
      <c r="R66">
        <f>HYPERLINK("kartor\A 36791-2022.png")</f>
        <v/>
      </c>
      <c r="T66">
        <f>HYPERLINK("klagomål\A 36791-2022.docx")</f>
        <v/>
      </c>
      <c r="U66">
        <f>HYPERLINK("klagomålsmail\A 36791-2022.docx")</f>
        <v/>
      </c>
      <c r="V66">
        <f>HYPERLINK("tillsyn\A 36791-2022.docx")</f>
        <v/>
      </c>
      <c r="W66">
        <f>HYPERLINK("tillsynsmail\A 36791-2022.docx")</f>
        <v/>
      </c>
    </row>
    <row r="67">
      <c r="A67" t="inlineStr">
        <is>
          <t>A 56894-2022</t>
        </is>
      </c>
      <c r="B67" s="1" t="n">
        <v>44894</v>
      </c>
      <c r="C67" s="1" t="n">
        <v>45156</v>
      </c>
      <c r="D67" t="inlineStr">
        <is>
          <t>STRÖMSUND</t>
        </is>
      </c>
      <c r="E67" t="inlineStr">
        <is>
          <t>Holmen skog AB</t>
        </is>
      </c>
      <c r="F67" t="n">
        <v>14</v>
      </c>
      <c r="G67" t="n">
        <v>1</v>
      </c>
      <c r="H67" t="n">
        <v>4</v>
      </c>
      <c r="I67" t="n">
        <v>3</v>
      </c>
      <c r="J67" t="n">
        <v>2</v>
      </c>
      <c r="K67" t="n">
        <v>0</v>
      </c>
      <c r="L67" t="n">
        <v>0</v>
      </c>
      <c r="M67" t="n">
        <v>0</v>
      </c>
      <c r="N67" t="n">
        <v>5</v>
      </c>
      <c r="O67" t="n">
        <v>2</v>
      </c>
      <c r="P67" t="n">
        <v>9</v>
      </c>
      <c r="Q67">
        <f>HYPERLINK("artfynd\A 56894-2022.xlsx")</f>
        <v/>
      </c>
      <c r="R67">
        <f>HYPERLINK("kartor\A 56894-2022.png")</f>
        <v/>
      </c>
      <c r="S67">
        <f>HYPERLINK("knärot\A 56894-2022.png")</f>
        <v/>
      </c>
      <c r="T67">
        <f>HYPERLINK("klagomål\A 56894-2022.docx")</f>
        <v/>
      </c>
      <c r="U67">
        <f>HYPERLINK("klagomålsmail\A 56894-2022.docx")</f>
        <v/>
      </c>
      <c r="V67">
        <f>HYPERLINK("tillsyn\A 56894-2022.docx")</f>
        <v/>
      </c>
      <c r="W67">
        <f>HYPERLINK("tillsynsmail\A 56894-2022.docx")</f>
        <v/>
      </c>
    </row>
    <row r="68">
      <c r="A68" t="inlineStr">
        <is>
          <t>A 22467-2023</t>
        </is>
      </c>
      <c r="B68" s="1" t="n">
        <v>45070</v>
      </c>
      <c r="C68" s="1" t="n">
        <v>45156</v>
      </c>
      <c r="D68" t="inlineStr">
        <is>
          <t>STRÖMSUND</t>
        </is>
      </c>
      <c r="E68" t="inlineStr">
        <is>
          <t>SCA</t>
        </is>
      </c>
      <c r="F68" t="n">
        <v>5.6</v>
      </c>
      <c r="G68" t="n">
        <v>0</v>
      </c>
      <c r="H68" t="n">
        <v>4</v>
      </c>
      <c r="I68" t="n">
        <v>5</v>
      </c>
      <c r="J68" t="n">
        <v>0</v>
      </c>
      <c r="K68" t="n">
        <v>0</v>
      </c>
      <c r="L68" t="n">
        <v>0</v>
      </c>
      <c r="M68" t="n">
        <v>0</v>
      </c>
      <c r="N68" t="n">
        <v>5</v>
      </c>
      <c r="O68" t="n">
        <v>0</v>
      </c>
      <c r="P68" t="n">
        <v>9</v>
      </c>
      <c r="Q68">
        <f>HYPERLINK("artfynd\A 22467-2023.xlsx")</f>
        <v/>
      </c>
      <c r="R68">
        <f>HYPERLINK("kartor\A 22467-2023.png")</f>
        <v/>
      </c>
      <c r="T68">
        <f>HYPERLINK("klagomål\A 22467-2023.docx")</f>
        <v/>
      </c>
      <c r="U68">
        <f>HYPERLINK("klagomålsmail\A 22467-2023.docx")</f>
        <v/>
      </c>
      <c r="V68">
        <f>HYPERLINK("tillsyn\A 22467-2023.docx")</f>
        <v/>
      </c>
      <c r="W68">
        <f>HYPERLINK("tillsynsmail\A 22467-2023.docx")</f>
        <v/>
      </c>
    </row>
    <row r="69">
      <c r="A69" t="inlineStr">
        <is>
          <t>A 58580-2020</t>
        </is>
      </c>
      <c r="B69" s="1" t="n">
        <v>44144</v>
      </c>
      <c r="C69" s="1" t="n">
        <v>45156</v>
      </c>
      <c r="D69" t="inlineStr">
        <is>
          <t>STRÖMSUND</t>
        </is>
      </c>
      <c r="F69" t="n">
        <v>74.8</v>
      </c>
      <c r="G69" t="n">
        <v>0</v>
      </c>
      <c r="H69" t="n">
        <v>5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3</v>
      </c>
      <c r="O69" t="n">
        <v>0</v>
      </c>
      <c r="P69" t="n">
        <v>8</v>
      </c>
      <c r="Q69">
        <f>HYPERLINK("artfynd\A 58580-2020.xlsx")</f>
        <v/>
      </c>
      <c r="R69">
        <f>HYPERLINK("kartor\A 58580-2020.png")</f>
        <v/>
      </c>
      <c r="T69">
        <f>HYPERLINK("klagomål\A 58580-2020.docx")</f>
        <v/>
      </c>
      <c r="U69">
        <f>HYPERLINK("klagomålsmail\A 58580-2020.docx")</f>
        <v/>
      </c>
      <c r="V69">
        <f>HYPERLINK("tillsyn\A 58580-2020.docx")</f>
        <v/>
      </c>
      <c r="W69">
        <f>HYPERLINK("tillsynsmail\A 58580-2020.docx")</f>
        <v/>
      </c>
    </row>
    <row r="70">
      <c r="A70" t="inlineStr">
        <is>
          <t>A 21091-2022</t>
        </is>
      </c>
      <c r="B70" s="1" t="n">
        <v>44699</v>
      </c>
      <c r="C70" s="1" t="n">
        <v>45156</v>
      </c>
      <c r="D70" t="inlineStr">
        <is>
          <t>STRÖMSUND</t>
        </is>
      </c>
      <c r="E70" t="inlineStr">
        <is>
          <t>SCA</t>
        </is>
      </c>
      <c r="F70" t="n">
        <v>26.9</v>
      </c>
      <c r="G70" t="n">
        <v>2</v>
      </c>
      <c r="H70" t="n">
        <v>4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2</v>
      </c>
      <c r="O70" t="n">
        <v>1</v>
      </c>
      <c r="P70" t="n">
        <v>8</v>
      </c>
      <c r="Q70">
        <f>HYPERLINK("artfynd\A 21091-2022.xlsx")</f>
        <v/>
      </c>
      <c r="R70">
        <f>HYPERLINK("kartor\A 21091-2022.png")</f>
        <v/>
      </c>
      <c r="T70">
        <f>HYPERLINK("klagomål\A 21091-2022.docx")</f>
        <v/>
      </c>
      <c r="U70">
        <f>HYPERLINK("klagomålsmail\A 21091-2022.docx")</f>
        <v/>
      </c>
      <c r="V70">
        <f>HYPERLINK("tillsyn\A 21091-2022.docx")</f>
        <v/>
      </c>
      <c r="W70">
        <f>HYPERLINK("tillsynsmail\A 21091-2022.docx")</f>
        <v/>
      </c>
    </row>
    <row r="71">
      <c r="A71" t="inlineStr">
        <is>
          <t>A 33901-2022</t>
        </is>
      </c>
      <c r="B71" s="1" t="n">
        <v>44790</v>
      </c>
      <c r="C71" s="1" t="n">
        <v>45156</v>
      </c>
      <c r="D71" t="inlineStr">
        <is>
          <t>STRÖMSUND</t>
        </is>
      </c>
      <c r="E71" t="inlineStr">
        <is>
          <t>Holmen skog AB</t>
        </is>
      </c>
      <c r="F71" t="n">
        <v>4.7</v>
      </c>
      <c r="G71" t="n">
        <v>0</v>
      </c>
      <c r="H71" t="n">
        <v>2</v>
      </c>
      <c r="I71" t="n">
        <v>5</v>
      </c>
      <c r="J71" t="n">
        <v>1</v>
      </c>
      <c r="K71" t="n">
        <v>0</v>
      </c>
      <c r="L71" t="n">
        <v>0</v>
      </c>
      <c r="M71" t="n">
        <v>0</v>
      </c>
      <c r="N71" t="n">
        <v>6</v>
      </c>
      <c r="O71" t="n">
        <v>1</v>
      </c>
      <c r="P71" t="n">
        <v>8</v>
      </c>
      <c r="Q71">
        <f>HYPERLINK("artfynd\A 33901-2022.xlsx")</f>
        <v/>
      </c>
      <c r="R71">
        <f>HYPERLINK("kartor\A 33901-2022.png")</f>
        <v/>
      </c>
      <c r="T71">
        <f>HYPERLINK("klagomål\A 33901-2022.docx")</f>
        <v/>
      </c>
      <c r="U71">
        <f>HYPERLINK("klagomålsmail\A 33901-2022.docx")</f>
        <v/>
      </c>
      <c r="V71">
        <f>HYPERLINK("tillsyn\A 33901-2022.docx")</f>
        <v/>
      </c>
      <c r="W71">
        <f>HYPERLINK("tillsynsmail\A 33901-2022.docx")</f>
        <v/>
      </c>
    </row>
    <row r="72">
      <c r="A72" t="inlineStr">
        <is>
          <t>A 14256-2023</t>
        </is>
      </c>
      <c r="B72" s="1" t="n">
        <v>45009</v>
      </c>
      <c r="C72" s="1" t="n">
        <v>45156</v>
      </c>
      <c r="D72" t="inlineStr">
        <is>
          <t>STRÖMSUND</t>
        </is>
      </c>
      <c r="F72" t="n">
        <v>20.7</v>
      </c>
      <c r="G72" t="n">
        <v>1</v>
      </c>
      <c r="H72" t="n">
        <v>6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2</v>
      </c>
      <c r="O72" t="n">
        <v>0</v>
      </c>
      <c r="P72" t="n">
        <v>8</v>
      </c>
      <c r="Q72">
        <f>HYPERLINK("artfynd\A 14256-2023.xlsx")</f>
        <v/>
      </c>
      <c r="R72">
        <f>HYPERLINK("kartor\A 14256-2023.png")</f>
        <v/>
      </c>
      <c r="T72">
        <f>HYPERLINK("klagomål\A 14256-2023.docx")</f>
        <v/>
      </c>
      <c r="U72">
        <f>HYPERLINK("klagomålsmail\A 14256-2023.docx")</f>
        <v/>
      </c>
      <c r="V72">
        <f>HYPERLINK("tillsyn\A 14256-2023.docx")</f>
        <v/>
      </c>
      <c r="W72">
        <f>HYPERLINK("tillsynsmail\A 14256-2023.docx")</f>
        <v/>
      </c>
    </row>
    <row r="73">
      <c r="A73" t="inlineStr">
        <is>
          <t>A 35778-2019</t>
        </is>
      </c>
      <c r="B73" s="1" t="n">
        <v>43665</v>
      </c>
      <c r="C73" s="1" t="n">
        <v>45156</v>
      </c>
      <c r="D73" t="inlineStr">
        <is>
          <t>STRÖMSUND</t>
        </is>
      </c>
      <c r="F73" t="n">
        <v>33.5</v>
      </c>
      <c r="G73" t="n">
        <v>1</v>
      </c>
      <c r="H73" t="n">
        <v>2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4</v>
      </c>
      <c r="O73" t="n">
        <v>1</v>
      </c>
      <c r="P73" t="n">
        <v>7</v>
      </c>
      <c r="Q73">
        <f>HYPERLINK("artfynd\A 35778-2019.xlsx")</f>
        <v/>
      </c>
      <c r="R73">
        <f>HYPERLINK("kartor\A 35778-2019.png")</f>
        <v/>
      </c>
      <c r="T73">
        <f>HYPERLINK("klagomål\A 35778-2019.docx")</f>
        <v/>
      </c>
      <c r="U73">
        <f>HYPERLINK("klagomålsmail\A 35778-2019.docx")</f>
        <v/>
      </c>
      <c r="V73">
        <f>HYPERLINK("tillsyn\A 35778-2019.docx")</f>
        <v/>
      </c>
      <c r="W73">
        <f>HYPERLINK("tillsynsmail\A 35778-2019.docx")</f>
        <v/>
      </c>
    </row>
    <row r="74">
      <c r="A74" t="inlineStr">
        <is>
          <t>A 32078-2020</t>
        </is>
      </c>
      <c r="B74" s="1" t="n">
        <v>44015</v>
      </c>
      <c r="C74" s="1" t="n">
        <v>45156</v>
      </c>
      <c r="D74" t="inlineStr">
        <is>
          <t>STRÖMSUND</t>
        </is>
      </c>
      <c r="E74" t="inlineStr">
        <is>
          <t>Holmen skog AB</t>
        </is>
      </c>
      <c r="F74" t="n">
        <v>5.2</v>
      </c>
      <c r="G74" t="n">
        <v>2</v>
      </c>
      <c r="H74" t="n">
        <v>3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4</v>
      </c>
      <c r="O74" t="n">
        <v>1</v>
      </c>
      <c r="P74" t="n">
        <v>7</v>
      </c>
      <c r="Q74">
        <f>HYPERLINK("artfynd\A 32078-2020.xlsx")</f>
        <v/>
      </c>
      <c r="R74">
        <f>HYPERLINK("kartor\A 32078-2020.png")</f>
        <v/>
      </c>
      <c r="S74">
        <f>HYPERLINK("knärot\A 32078-2020.png")</f>
        <v/>
      </c>
      <c r="T74">
        <f>HYPERLINK("klagomål\A 32078-2020.docx")</f>
        <v/>
      </c>
      <c r="U74">
        <f>HYPERLINK("klagomålsmail\A 32078-2020.docx")</f>
        <v/>
      </c>
      <c r="V74">
        <f>HYPERLINK("tillsyn\A 32078-2020.docx")</f>
        <v/>
      </c>
      <c r="W74">
        <f>HYPERLINK("tillsynsmail\A 32078-2020.docx")</f>
        <v/>
      </c>
    </row>
    <row r="75">
      <c r="A75" t="inlineStr">
        <is>
          <t>A 32091-2020</t>
        </is>
      </c>
      <c r="B75" s="1" t="n">
        <v>44015</v>
      </c>
      <c r="C75" s="1" t="n">
        <v>45156</v>
      </c>
      <c r="D75" t="inlineStr">
        <is>
          <t>STRÖMSUND</t>
        </is>
      </c>
      <c r="E75" t="inlineStr">
        <is>
          <t>Holmen skog AB</t>
        </is>
      </c>
      <c r="F75" t="n">
        <v>3.6</v>
      </c>
      <c r="G75" t="n">
        <v>0</v>
      </c>
      <c r="H75" t="n">
        <v>2</v>
      </c>
      <c r="I75" t="n">
        <v>5</v>
      </c>
      <c r="J75" t="n">
        <v>0</v>
      </c>
      <c r="K75" t="n">
        <v>0</v>
      </c>
      <c r="L75" t="n">
        <v>0</v>
      </c>
      <c r="M75" t="n">
        <v>0</v>
      </c>
      <c r="N75" t="n">
        <v>5</v>
      </c>
      <c r="O75" t="n">
        <v>0</v>
      </c>
      <c r="P75" t="n">
        <v>7</v>
      </c>
      <c r="Q75">
        <f>HYPERLINK("artfynd\A 32091-2020.xlsx")</f>
        <v/>
      </c>
      <c r="R75">
        <f>HYPERLINK("kartor\A 32091-2020.png")</f>
        <v/>
      </c>
      <c r="T75">
        <f>HYPERLINK("klagomål\A 32091-2020.docx")</f>
        <v/>
      </c>
      <c r="U75">
        <f>HYPERLINK("klagomålsmail\A 32091-2020.docx")</f>
        <v/>
      </c>
      <c r="V75">
        <f>HYPERLINK("tillsyn\A 32091-2020.docx")</f>
        <v/>
      </c>
      <c r="W75">
        <f>HYPERLINK("tillsynsmail\A 32091-2020.docx")</f>
        <v/>
      </c>
    </row>
    <row r="76">
      <c r="A76" t="inlineStr">
        <is>
          <t>A 47027-2020</t>
        </is>
      </c>
      <c r="B76" s="1" t="n">
        <v>44096</v>
      </c>
      <c r="C76" s="1" t="n">
        <v>45156</v>
      </c>
      <c r="D76" t="inlineStr">
        <is>
          <t>STRÖMSUND</t>
        </is>
      </c>
      <c r="E76" t="inlineStr">
        <is>
          <t>Holmen skog AB</t>
        </is>
      </c>
      <c r="F76" t="n">
        <v>10.1</v>
      </c>
      <c r="G76" t="n">
        <v>0</v>
      </c>
      <c r="H76" t="n">
        <v>2</v>
      </c>
      <c r="I76" t="n">
        <v>4</v>
      </c>
      <c r="J76" t="n">
        <v>0</v>
      </c>
      <c r="K76" t="n">
        <v>1</v>
      </c>
      <c r="L76" t="n">
        <v>0</v>
      </c>
      <c r="M76" t="n">
        <v>0</v>
      </c>
      <c r="N76" t="n">
        <v>5</v>
      </c>
      <c r="O76" t="n">
        <v>1</v>
      </c>
      <c r="P76" t="n">
        <v>7</v>
      </c>
      <c r="Q76">
        <f>HYPERLINK("artfynd\A 47027-2020.xlsx")</f>
        <v/>
      </c>
      <c r="R76">
        <f>HYPERLINK("kartor\A 47027-2020.png")</f>
        <v/>
      </c>
      <c r="T76">
        <f>HYPERLINK("klagomål\A 47027-2020.docx")</f>
        <v/>
      </c>
      <c r="U76">
        <f>HYPERLINK("klagomålsmail\A 47027-2020.docx")</f>
        <v/>
      </c>
      <c r="V76">
        <f>HYPERLINK("tillsyn\A 47027-2020.docx")</f>
        <v/>
      </c>
      <c r="W76">
        <f>HYPERLINK("tillsynsmail\A 47027-2020.docx")</f>
        <v/>
      </c>
    </row>
    <row r="77">
      <c r="A77" t="inlineStr">
        <is>
          <t>A 68530-2020</t>
        </is>
      </c>
      <c r="B77" s="1" t="n">
        <v>44186</v>
      </c>
      <c r="C77" s="1" t="n">
        <v>45156</v>
      </c>
      <c r="D77" t="inlineStr">
        <is>
          <t>STRÖMSUND</t>
        </is>
      </c>
      <c r="E77" t="inlineStr">
        <is>
          <t>Holmen skog AB</t>
        </is>
      </c>
      <c r="F77" t="n">
        <v>82.3</v>
      </c>
      <c r="G77" t="n">
        <v>1</v>
      </c>
      <c r="H77" t="n">
        <v>1</v>
      </c>
      <c r="I77" t="n">
        <v>4</v>
      </c>
      <c r="J77" t="n">
        <v>1</v>
      </c>
      <c r="K77" t="n">
        <v>0</v>
      </c>
      <c r="L77" t="n">
        <v>0</v>
      </c>
      <c r="M77" t="n">
        <v>0</v>
      </c>
      <c r="N77" t="n">
        <v>5</v>
      </c>
      <c r="O77" t="n">
        <v>1</v>
      </c>
      <c r="P77" t="n">
        <v>7</v>
      </c>
      <c r="Q77">
        <f>HYPERLINK("artfynd\A 68530-2020.xlsx")</f>
        <v/>
      </c>
      <c r="R77">
        <f>HYPERLINK("kartor\A 68530-2020.png")</f>
        <v/>
      </c>
      <c r="T77">
        <f>HYPERLINK("klagomål\A 68530-2020.docx")</f>
        <v/>
      </c>
      <c r="U77">
        <f>HYPERLINK("klagomålsmail\A 68530-2020.docx")</f>
        <v/>
      </c>
      <c r="V77">
        <f>HYPERLINK("tillsyn\A 68530-2020.docx")</f>
        <v/>
      </c>
      <c r="W77">
        <f>HYPERLINK("tillsynsmail\A 68530-2020.docx")</f>
        <v/>
      </c>
    </row>
    <row r="78">
      <c r="A78" t="inlineStr">
        <is>
          <t>A 33544-2021</t>
        </is>
      </c>
      <c r="B78" s="1" t="n">
        <v>44377</v>
      </c>
      <c r="C78" s="1" t="n">
        <v>45156</v>
      </c>
      <c r="D78" t="inlineStr">
        <is>
          <t>STRÖMSUND</t>
        </is>
      </c>
      <c r="F78" t="n">
        <v>5.8</v>
      </c>
      <c r="G78" t="n">
        <v>1</v>
      </c>
      <c r="H78" t="n">
        <v>3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4</v>
      </c>
      <c r="O78" t="n">
        <v>0</v>
      </c>
      <c r="P78" t="n">
        <v>7</v>
      </c>
      <c r="Q78">
        <f>HYPERLINK("artfynd\A 33544-2021.xlsx")</f>
        <v/>
      </c>
      <c r="R78">
        <f>HYPERLINK("kartor\A 33544-2021.png")</f>
        <v/>
      </c>
      <c r="T78">
        <f>HYPERLINK("klagomål\A 33544-2021.docx")</f>
        <v/>
      </c>
      <c r="U78">
        <f>HYPERLINK("klagomålsmail\A 33544-2021.docx")</f>
        <v/>
      </c>
      <c r="V78">
        <f>HYPERLINK("tillsyn\A 33544-2021.docx")</f>
        <v/>
      </c>
      <c r="W78">
        <f>HYPERLINK("tillsynsmail\A 33544-2021.docx")</f>
        <v/>
      </c>
    </row>
    <row r="79">
      <c r="A79" t="inlineStr">
        <is>
          <t>A 33546-2021</t>
        </is>
      </c>
      <c r="B79" s="1" t="n">
        <v>44377</v>
      </c>
      <c r="C79" s="1" t="n">
        <v>45156</v>
      </c>
      <c r="D79" t="inlineStr">
        <is>
          <t>STRÖMSUND</t>
        </is>
      </c>
      <c r="F79" t="n">
        <v>1.9</v>
      </c>
      <c r="G79" t="n">
        <v>0</v>
      </c>
      <c r="H79" t="n">
        <v>3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4</v>
      </c>
      <c r="O79" t="n">
        <v>0</v>
      </c>
      <c r="P79" t="n">
        <v>7</v>
      </c>
      <c r="Q79">
        <f>HYPERLINK("artfynd\A 33546-2021.xlsx")</f>
        <v/>
      </c>
      <c r="R79">
        <f>HYPERLINK("kartor\A 33546-2021.png")</f>
        <v/>
      </c>
      <c r="T79">
        <f>HYPERLINK("klagomål\A 33546-2021.docx")</f>
        <v/>
      </c>
      <c r="U79">
        <f>HYPERLINK("klagomålsmail\A 33546-2021.docx")</f>
        <v/>
      </c>
      <c r="V79">
        <f>HYPERLINK("tillsyn\A 33546-2021.docx")</f>
        <v/>
      </c>
      <c r="W79">
        <f>HYPERLINK("tillsynsmail\A 33546-2021.docx")</f>
        <v/>
      </c>
    </row>
    <row r="80">
      <c r="A80" t="inlineStr">
        <is>
          <t>A 63509-2021</t>
        </is>
      </c>
      <c r="B80" s="1" t="n">
        <v>44504</v>
      </c>
      <c r="C80" s="1" t="n">
        <v>45156</v>
      </c>
      <c r="D80" t="inlineStr">
        <is>
          <t>STRÖMSUND</t>
        </is>
      </c>
      <c r="E80" t="inlineStr">
        <is>
          <t>SCA</t>
        </is>
      </c>
      <c r="F80" t="n">
        <v>163.4</v>
      </c>
      <c r="G80" t="n">
        <v>0</v>
      </c>
      <c r="H80" t="n">
        <v>2</v>
      </c>
      <c r="I80" t="n">
        <v>3</v>
      </c>
      <c r="J80" t="n">
        <v>2</v>
      </c>
      <c r="K80" t="n">
        <v>0</v>
      </c>
      <c r="L80" t="n">
        <v>0</v>
      </c>
      <c r="M80" t="n">
        <v>0</v>
      </c>
      <c r="N80" t="n">
        <v>5</v>
      </c>
      <c r="O80" t="n">
        <v>2</v>
      </c>
      <c r="P80" t="n">
        <v>7</v>
      </c>
      <c r="Q80">
        <f>HYPERLINK("artfynd\A 63509-2021.xlsx")</f>
        <v/>
      </c>
      <c r="R80">
        <f>HYPERLINK("kartor\A 63509-2021.png")</f>
        <v/>
      </c>
      <c r="T80">
        <f>HYPERLINK("klagomål\A 63509-2021.docx")</f>
        <v/>
      </c>
      <c r="U80">
        <f>HYPERLINK("klagomålsmail\A 63509-2021.docx")</f>
        <v/>
      </c>
      <c r="V80">
        <f>HYPERLINK("tillsyn\A 63509-2021.docx")</f>
        <v/>
      </c>
      <c r="W80">
        <f>HYPERLINK("tillsynsmail\A 63509-2021.docx")</f>
        <v/>
      </c>
    </row>
    <row r="81">
      <c r="A81" t="inlineStr">
        <is>
          <t>A 14293-2022</t>
        </is>
      </c>
      <c r="B81" s="1" t="n">
        <v>44651</v>
      </c>
      <c r="C81" s="1" t="n">
        <v>45156</v>
      </c>
      <c r="D81" t="inlineStr">
        <is>
          <t>STRÖMSUND</t>
        </is>
      </c>
      <c r="E81" t="inlineStr">
        <is>
          <t>SCA</t>
        </is>
      </c>
      <c r="F81" t="n">
        <v>0.4</v>
      </c>
      <c r="G81" t="n">
        <v>1</v>
      </c>
      <c r="H81" t="n">
        <v>2</v>
      </c>
      <c r="I81" t="n">
        <v>5</v>
      </c>
      <c r="J81" t="n">
        <v>0</v>
      </c>
      <c r="K81" t="n">
        <v>0</v>
      </c>
      <c r="L81" t="n">
        <v>0</v>
      </c>
      <c r="M81" t="n">
        <v>0</v>
      </c>
      <c r="N81" t="n">
        <v>5</v>
      </c>
      <c r="O81" t="n">
        <v>0</v>
      </c>
      <c r="P81" t="n">
        <v>7</v>
      </c>
      <c r="Q81">
        <f>HYPERLINK("artfynd\A 14293-2022.xlsx")</f>
        <v/>
      </c>
      <c r="R81">
        <f>HYPERLINK("kartor\A 14293-2022.png")</f>
        <v/>
      </c>
      <c r="T81">
        <f>HYPERLINK("klagomål\A 14293-2022.docx")</f>
        <v/>
      </c>
      <c r="U81">
        <f>HYPERLINK("klagomålsmail\A 14293-2022.docx")</f>
        <v/>
      </c>
      <c r="V81">
        <f>HYPERLINK("tillsyn\A 14293-2022.docx")</f>
        <v/>
      </c>
      <c r="W81">
        <f>HYPERLINK("tillsynsmail\A 14293-2022.docx")</f>
        <v/>
      </c>
    </row>
    <row r="82">
      <c r="A82" t="inlineStr">
        <is>
          <t>A 29945-2022</t>
        </is>
      </c>
      <c r="B82" s="1" t="n">
        <v>44756</v>
      </c>
      <c r="C82" s="1" t="n">
        <v>45156</v>
      </c>
      <c r="D82" t="inlineStr">
        <is>
          <t>STRÖMSUND</t>
        </is>
      </c>
      <c r="E82" t="inlineStr">
        <is>
          <t>Holmen skog AB</t>
        </is>
      </c>
      <c r="F82" t="n">
        <v>14.5</v>
      </c>
      <c r="G82" t="n">
        <v>0</v>
      </c>
      <c r="H82" t="n">
        <v>2</v>
      </c>
      <c r="I82" t="n">
        <v>5</v>
      </c>
      <c r="J82" t="n">
        <v>0</v>
      </c>
      <c r="K82" t="n">
        <v>0</v>
      </c>
      <c r="L82" t="n">
        <v>0</v>
      </c>
      <c r="M82" t="n">
        <v>0</v>
      </c>
      <c r="N82" t="n">
        <v>5</v>
      </c>
      <c r="O82" t="n">
        <v>0</v>
      </c>
      <c r="P82" t="n">
        <v>7</v>
      </c>
      <c r="Q82">
        <f>HYPERLINK("artfynd\A 29945-2022.xlsx")</f>
        <v/>
      </c>
      <c r="R82">
        <f>HYPERLINK("kartor\A 29945-2022.png")</f>
        <v/>
      </c>
      <c r="T82">
        <f>HYPERLINK("klagomål\A 29945-2022.docx")</f>
        <v/>
      </c>
      <c r="U82">
        <f>HYPERLINK("klagomålsmail\A 29945-2022.docx")</f>
        <v/>
      </c>
      <c r="V82">
        <f>HYPERLINK("tillsyn\A 29945-2022.docx")</f>
        <v/>
      </c>
      <c r="W82">
        <f>HYPERLINK("tillsynsmail\A 29945-2022.docx")</f>
        <v/>
      </c>
    </row>
    <row r="83">
      <c r="A83" t="inlineStr">
        <is>
          <t>A 3703-2023</t>
        </is>
      </c>
      <c r="B83" s="1" t="n">
        <v>44950</v>
      </c>
      <c r="C83" s="1" t="n">
        <v>45156</v>
      </c>
      <c r="D83" t="inlineStr">
        <is>
          <t>STRÖMSUND</t>
        </is>
      </c>
      <c r="E83" t="inlineStr">
        <is>
          <t>SCA</t>
        </is>
      </c>
      <c r="F83" t="n">
        <v>11.8</v>
      </c>
      <c r="G83" t="n">
        <v>0</v>
      </c>
      <c r="H83" t="n">
        <v>3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4</v>
      </c>
      <c r="O83" t="n">
        <v>0</v>
      </c>
      <c r="P83" t="n">
        <v>7</v>
      </c>
      <c r="Q83">
        <f>HYPERLINK("artfynd\A 3703-2023.xlsx")</f>
        <v/>
      </c>
      <c r="R83">
        <f>HYPERLINK("kartor\A 3703-2023.png")</f>
        <v/>
      </c>
      <c r="T83">
        <f>HYPERLINK("klagomål\A 3703-2023.docx")</f>
        <v/>
      </c>
      <c r="U83">
        <f>HYPERLINK("klagomålsmail\A 3703-2023.docx")</f>
        <v/>
      </c>
      <c r="V83">
        <f>HYPERLINK("tillsyn\A 3703-2023.docx")</f>
        <v/>
      </c>
      <c r="W83">
        <f>HYPERLINK("tillsynsmail\A 3703-2023.docx")</f>
        <v/>
      </c>
    </row>
    <row r="84">
      <c r="A84" t="inlineStr">
        <is>
          <t>A 27364-2023</t>
        </is>
      </c>
      <c r="B84" s="1" t="n">
        <v>45096</v>
      </c>
      <c r="C84" s="1" t="n">
        <v>45156</v>
      </c>
      <c r="D84" t="inlineStr">
        <is>
          <t>STRÖMSUND</t>
        </is>
      </c>
      <c r="E84" t="inlineStr">
        <is>
          <t>SCA</t>
        </is>
      </c>
      <c r="F84" t="n">
        <v>8.300000000000001</v>
      </c>
      <c r="G84" t="n">
        <v>0</v>
      </c>
      <c r="H84" t="n">
        <v>1</v>
      </c>
      <c r="I84" t="n">
        <v>5</v>
      </c>
      <c r="J84" t="n">
        <v>1</v>
      </c>
      <c r="K84" t="n">
        <v>0</v>
      </c>
      <c r="L84" t="n">
        <v>0</v>
      </c>
      <c r="M84" t="n">
        <v>0</v>
      </c>
      <c r="N84" t="n">
        <v>6</v>
      </c>
      <c r="O84" t="n">
        <v>1</v>
      </c>
      <c r="P84" t="n">
        <v>7</v>
      </c>
      <c r="Q84">
        <f>HYPERLINK("artfynd\A 27364-2023.xlsx")</f>
        <v/>
      </c>
      <c r="R84">
        <f>HYPERLINK("kartor\A 27364-2023.png")</f>
        <v/>
      </c>
      <c r="T84">
        <f>HYPERLINK("klagomål\A 27364-2023.docx")</f>
        <v/>
      </c>
      <c r="U84">
        <f>HYPERLINK("klagomålsmail\A 27364-2023.docx")</f>
        <v/>
      </c>
      <c r="V84">
        <f>HYPERLINK("tillsyn\A 27364-2023.docx")</f>
        <v/>
      </c>
      <c r="W84">
        <f>HYPERLINK("tillsynsmail\A 27364-2023.docx")</f>
        <v/>
      </c>
    </row>
    <row r="85">
      <c r="A85" t="inlineStr">
        <is>
          <t>A 47082-2019</t>
        </is>
      </c>
      <c r="B85" s="1" t="n">
        <v>43720</v>
      </c>
      <c r="C85" s="1" t="n">
        <v>45156</v>
      </c>
      <c r="D85" t="inlineStr">
        <is>
          <t>STRÖMSUND</t>
        </is>
      </c>
      <c r="E85" t="inlineStr">
        <is>
          <t>SCA</t>
        </is>
      </c>
      <c r="F85" t="n">
        <v>11.6</v>
      </c>
      <c r="G85" t="n">
        <v>1</v>
      </c>
      <c r="H85" t="n">
        <v>2</v>
      </c>
      <c r="I85" t="n">
        <v>2</v>
      </c>
      <c r="J85" t="n">
        <v>2</v>
      </c>
      <c r="K85" t="n">
        <v>0</v>
      </c>
      <c r="L85" t="n">
        <v>0</v>
      </c>
      <c r="M85" t="n">
        <v>0</v>
      </c>
      <c r="N85" t="n">
        <v>4</v>
      </c>
      <c r="O85" t="n">
        <v>2</v>
      </c>
      <c r="P85" t="n">
        <v>6</v>
      </c>
      <c r="Q85">
        <f>HYPERLINK("artfynd\A 47082-2019.xlsx")</f>
        <v/>
      </c>
      <c r="R85">
        <f>HYPERLINK("kartor\A 47082-2019.png")</f>
        <v/>
      </c>
      <c r="T85">
        <f>HYPERLINK("klagomål\A 47082-2019.docx")</f>
        <v/>
      </c>
      <c r="U85">
        <f>HYPERLINK("klagomålsmail\A 47082-2019.docx")</f>
        <v/>
      </c>
      <c r="V85">
        <f>HYPERLINK("tillsyn\A 47082-2019.docx")</f>
        <v/>
      </c>
      <c r="W85">
        <f>HYPERLINK("tillsynsmail\A 47082-2019.docx")</f>
        <v/>
      </c>
    </row>
    <row r="86">
      <c r="A86" t="inlineStr">
        <is>
          <t>A 54397-2019</t>
        </is>
      </c>
      <c r="B86" s="1" t="n">
        <v>43754</v>
      </c>
      <c r="C86" s="1" t="n">
        <v>45156</v>
      </c>
      <c r="D86" t="inlineStr">
        <is>
          <t>STRÖMSUND</t>
        </is>
      </c>
      <c r="E86" t="inlineStr">
        <is>
          <t>Holmen skog AB</t>
        </is>
      </c>
      <c r="F86" t="n">
        <v>7.3</v>
      </c>
      <c r="G86" t="n">
        <v>0</v>
      </c>
      <c r="H86" t="n">
        <v>2</v>
      </c>
      <c r="I86" t="n">
        <v>4</v>
      </c>
      <c r="J86" t="n">
        <v>0</v>
      </c>
      <c r="K86" t="n">
        <v>0</v>
      </c>
      <c r="L86" t="n">
        <v>0</v>
      </c>
      <c r="M86" t="n">
        <v>0</v>
      </c>
      <c r="N86" t="n">
        <v>4</v>
      </c>
      <c r="O86" t="n">
        <v>0</v>
      </c>
      <c r="P86" t="n">
        <v>6</v>
      </c>
      <c r="Q86">
        <f>HYPERLINK("artfynd\A 54397-2019.xlsx")</f>
        <v/>
      </c>
      <c r="R86">
        <f>HYPERLINK("kartor\A 54397-2019.png")</f>
        <v/>
      </c>
      <c r="T86">
        <f>HYPERLINK("klagomål\A 54397-2019.docx")</f>
        <v/>
      </c>
      <c r="U86">
        <f>HYPERLINK("klagomålsmail\A 54397-2019.docx")</f>
        <v/>
      </c>
      <c r="V86">
        <f>HYPERLINK("tillsyn\A 54397-2019.docx")</f>
        <v/>
      </c>
      <c r="W86">
        <f>HYPERLINK("tillsynsmail\A 54397-2019.docx")</f>
        <v/>
      </c>
    </row>
    <row r="87">
      <c r="A87" t="inlineStr">
        <is>
          <t>A 10058-2020</t>
        </is>
      </c>
      <c r="B87" s="1" t="n">
        <v>43882</v>
      </c>
      <c r="C87" s="1" t="n">
        <v>45156</v>
      </c>
      <c r="D87" t="inlineStr">
        <is>
          <t>STRÖMSUND</t>
        </is>
      </c>
      <c r="F87" t="n">
        <v>10.7</v>
      </c>
      <c r="G87" t="n">
        <v>0</v>
      </c>
      <c r="H87" t="n">
        <v>1</v>
      </c>
      <c r="I87" t="n">
        <v>4</v>
      </c>
      <c r="J87" t="n">
        <v>1</v>
      </c>
      <c r="K87" t="n">
        <v>0</v>
      </c>
      <c r="L87" t="n">
        <v>0</v>
      </c>
      <c r="M87" t="n">
        <v>0</v>
      </c>
      <c r="N87" t="n">
        <v>5</v>
      </c>
      <c r="O87" t="n">
        <v>1</v>
      </c>
      <c r="P87" t="n">
        <v>6</v>
      </c>
      <c r="Q87">
        <f>HYPERLINK("artfynd\A 10058-2020.xlsx")</f>
        <v/>
      </c>
      <c r="R87">
        <f>HYPERLINK("kartor\A 10058-2020.png")</f>
        <v/>
      </c>
      <c r="T87">
        <f>HYPERLINK("klagomål\A 10058-2020.docx")</f>
        <v/>
      </c>
      <c r="U87">
        <f>HYPERLINK("klagomålsmail\A 10058-2020.docx")</f>
        <v/>
      </c>
      <c r="V87">
        <f>HYPERLINK("tillsyn\A 10058-2020.docx")</f>
        <v/>
      </c>
      <c r="W87">
        <f>HYPERLINK("tillsynsmail\A 10058-2020.docx")</f>
        <v/>
      </c>
    </row>
    <row r="88">
      <c r="A88" t="inlineStr">
        <is>
          <t>A 55641-2020</t>
        </is>
      </c>
      <c r="B88" s="1" t="n">
        <v>44131</v>
      </c>
      <c r="C88" s="1" t="n">
        <v>45156</v>
      </c>
      <c r="D88" t="inlineStr">
        <is>
          <t>STRÖMSUND</t>
        </is>
      </c>
      <c r="F88" t="n">
        <v>60.4</v>
      </c>
      <c r="G88" t="n">
        <v>0</v>
      </c>
      <c r="H88" t="n">
        <v>0</v>
      </c>
      <c r="I88" t="n">
        <v>4</v>
      </c>
      <c r="J88" t="n">
        <v>2</v>
      </c>
      <c r="K88" t="n">
        <v>0</v>
      </c>
      <c r="L88" t="n">
        <v>0</v>
      </c>
      <c r="M88" t="n">
        <v>0</v>
      </c>
      <c r="N88" t="n">
        <v>6</v>
      </c>
      <c r="O88" t="n">
        <v>2</v>
      </c>
      <c r="P88" t="n">
        <v>6</v>
      </c>
      <c r="Q88">
        <f>HYPERLINK("artfynd\A 55641-2020.xlsx")</f>
        <v/>
      </c>
      <c r="R88">
        <f>HYPERLINK("kartor\A 55641-2020.png")</f>
        <v/>
      </c>
      <c r="T88">
        <f>HYPERLINK("klagomål\A 55641-2020.docx")</f>
        <v/>
      </c>
      <c r="U88">
        <f>HYPERLINK("klagomålsmail\A 55641-2020.docx")</f>
        <v/>
      </c>
      <c r="V88">
        <f>HYPERLINK("tillsyn\A 55641-2020.docx")</f>
        <v/>
      </c>
      <c r="W88">
        <f>HYPERLINK("tillsynsmail\A 55641-2020.docx")</f>
        <v/>
      </c>
    </row>
    <row r="89">
      <c r="A89" t="inlineStr">
        <is>
          <t>A 66555-2020</t>
        </is>
      </c>
      <c r="B89" s="1" t="n">
        <v>44179</v>
      </c>
      <c r="C89" s="1" t="n">
        <v>45156</v>
      </c>
      <c r="D89" t="inlineStr">
        <is>
          <t>STRÖMSUND</t>
        </is>
      </c>
      <c r="E89" t="inlineStr">
        <is>
          <t>SCA</t>
        </is>
      </c>
      <c r="F89" t="n">
        <v>20.9</v>
      </c>
      <c r="G89" t="n">
        <v>0</v>
      </c>
      <c r="H89" t="n">
        <v>0</v>
      </c>
      <c r="I89" t="n">
        <v>5</v>
      </c>
      <c r="J89" t="n">
        <v>1</v>
      </c>
      <c r="K89" t="n">
        <v>0</v>
      </c>
      <c r="L89" t="n">
        <v>0</v>
      </c>
      <c r="M89" t="n">
        <v>0</v>
      </c>
      <c r="N89" t="n">
        <v>6</v>
      </c>
      <c r="O89" t="n">
        <v>1</v>
      </c>
      <c r="P89" t="n">
        <v>6</v>
      </c>
      <c r="Q89">
        <f>HYPERLINK("artfynd\A 66555-2020.xlsx")</f>
        <v/>
      </c>
      <c r="R89">
        <f>HYPERLINK("kartor\A 66555-2020.png")</f>
        <v/>
      </c>
      <c r="T89">
        <f>HYPERLINK("klagomål\A 66555-2020.docx")</f>
        <v/>
      </c>
      <c r="U89">
        <f>HYPERLINK("klagomålsmail\A 66555-2020.docx")</f>
        <v/>
      </c>
      <c r="V89">
        <f>HYPERLINK("tillsyn\A 66555-2020.docx")</f>
        <v/>
      </c>
      <c r="W89">
        <f>HYPERLINK("tillsynsmail\A 66555-2020.docx")</f>
        <v/>
      </c>
    </row>
    <row r="90">
      <c r="A90" t="inlineStr">
        <is>
          <t>A 69641-2020</t>
        </is>
      </c>
      <c r="B90" s="1" t="n">
        <v>44195</v>
      </c>
      <c r="C90" s="1" t="n">
        <v>45156</v>
      </c>
      <c r="D90" t="inlineStr">
        <is>
          <t>STRÖMSUND</t>
        </is>
      </c>
      <c r="F90" t="n">
        <v>15.8</v>
      </c>
      <c r="G90" t="n">
        <v>1</v>
      </c>
      <c r="H90" t="n">
        <v>3</v>
      </c>
      <c r="I90" t="n">
        <v>2</v>
      </c>
      <c r="J90" t="n">
        <v>0</v>
      </c>
      <c r="K90" t="n">
        <v>0</v>
      </c>
      <c r="L90" t="n">
        <v>0</v>
      </c>
      <c r="M90" t="n">
        <v>0</v>
      </c>
      <c r="N90" t="n">
        <v>2</v>
      </c>
      <c r="O90" t="n">
        <v>0</v>
      </c>
      <c r="P90" t="n">
        <v>6</v>
      </c>
      <c r="Q90">
        <f>HYPERLINK("artfynd\A 69641-2020.xlsx")</f>
        <v/>
      </c>
      <c r="R90">
        <f>HYPERLINK("kartor\A 69641-2020.png")</f>
        <v/>
      </c>
      <c r="T90">
        <f>HYPERLINK("klagomål\A 69641-2020.docx")</f>
        <v/>
      </c>
      <c r="U90">
        <f>HYPERLINK("klagomålsmail\A 69641-2020.docx")</f>
        <v/>
      </c>
      <c r="V90">
        <f>HYPERLINK("tillsyn\A 69641-2020.docx")</f>
        <v/>
      </c>
      <c r="W90">
        <f>HYPERLINK("tillsynsmail\A 69641-2020.docx")</f>
        <v/>
      </c>
    </row>
    <row r="91">
      <c r="A91" t="inlineStr">
        <is>
          <t>A 23752-2021</t>
        </is>
      </c>
      <c r="B91" s="1" t="n">
        <v>44334</v>
      </c>
      <c r="C91" s="1" t="n">
        <v>45156</v>
      </c>
      <c r="D91" t="inlineStr">
        <is>
          <t>STRÖMSUND</t>
        </is>
      </c>
      <c r="E91" t="inlineStr">
        <is>
          <t>SCA</t>
        </is>
      </c>
      <c r="F91" t="n">
        <v>7</v>
      </c>
      <c r="G91" t="n">
        <v>0</v>
      </c>
      <c r="H91" t="n">
        <v>5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0</v>
      </c>
      <c r="P91" t="n">
        <v>6</v>
      </c>
      <c r="Q91">
        <f>HYPERLINK("artfynd\A 23752-2021.xlsx")</f>
        <v/>
      </c>
      <c r="R91">
        <f>HYPERLINK("kartor\A 23752-2021.png")</f>
        <v/>
      </c>
      <c r="T91">
        <f>HYPERLINK("klagomål\A 23752-2021.docx")</f>
        <v/>
      </c>
      <c r="U91">
        <f>HYPERLINK("klagomålsmail\A 23752-2021.docx")</f>
        <v/>
      </c>
      <c r="V91">
        <f>HYPERLINK("tillsyn\A 23752-2021.docx")</f>
        <v/>
      </c>
      <c r="W91">
        <f>HYPERLINK("tillsynsmail\A 23752-2021.docx")</f>
        <v/>
      </c>
    </row>
    <row r="92">
      <c r="A92" t="inlineStr">
        <is>
          <t>A 26126-2021</t>
        </is>
      </c>
      <c r="B92" s="1" t="n">
        <v>44345</v>
      </c>
      <c r="C92" s="1" t="n">
        <v>45156</v>
      </c>
      <c r="D92" t="inlineStr">
        <is>
          <t>STRÖMSUND</t>
        </is>
      </c>
      <c r="E92" t="inlineStr">
        <is>
          <t>SCA</t>
        </is>
      </c>
      <c r="F92" t="n">
        <v>2.4</v>
      </c>
      <c r="G92" t="n">
        <v>0</v>
      </c>
      <c r="H92" t="n">
        <v>3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3</v>
      </c>
      <c r="O92" t="n">
        <v>0</v>
      </c>
      <c r="P92" t="n">
        <v>6</v>
      </c>
      <c r="Q92">
        <f>HYPERLINK("artfynd\A 26126-2021.xlsx")</f>
        <v/>
      </c>
      <c r="R92">
        <f>HYPERLINK("kartor\A 26126-2021.png")</f>
        <v/>
      </c>
      <c r="T92">
        <f>HYPERLINK("klagomål\A 26126-2021.docx")</f>
        <v/>
      </c>
      <c r="U92">
        <f>HYPERLINK("klagomålsmail\A 26126-2021.docx")</f>
        <v/>
      </c>
      <c r="V92">
        <f>HYPERLINK("tillsyn\A 26126-2021.docx")</f>
        <v/>
      </c>
      <c r="W92">
        <f>HYPERLINK("tillsynsmail\A 26126-2021.docx")</f>
        <v/>
      </c>
    </row>
    <row r="93">
      <c r="A93" t="inlineStr">
        <is>
          <t>A 32355-2021</t>
        </is>
      </c>
      <c r="B93" s="1" t="n">
        <v>44371</v>
      </c>
      <c r="C93" s="1" t="n">
        <v>45156</v>
      </c>
      <c r="D93" t="inlineStr">
        <is>
          <t>STRÖMSUND</t>
        </is>
      </c>
      <c r="E93" t="inlineStr">
        <is>
          <t>SCA</t>
        </is>
      </c>
      <c r="F93" t="n">
        <v>14.3</v>
      </c>
      <c r="G93" t="n">
        <v>0</v>
      </c>
      <c r="H93" t="n">
        <v>0</v>
      </c>
      <c r="I93" t="n">
        <v>4</v>
      </c>
      <c r="J93" t="n">
        <v>2</v>
      </c>
      <c r="K93" t="n">
        <v>0</v>
      </c>
      <c r="L93" t="n">
        <v>0</v>
      </c>
      <c r="M93" t="n">
        <v>0</v>
      </c>
      <c r="N93" t="n">
        <v>6</v>
      </c>
      <c r="O93" t="n">
        <v>2</v>
      </c>
      <c r="P93" t="n">
        <v>6</v>
      </c>
      <c r="Q93">
        <f>HYPERLINK("artfynd\A 32355-2021.xlsx")</f>
        <v/>
      </c>
      <c r="R93">
        <f>HYPERLINK("kartor\A 32355-2021.png")</f>
        <v/>
      </c>
      <c r="T93">
        <f>HYPERLINK("klagomål\A 32355-2021.docx")</f>
        <v/>
      </c>
      <c r="U93">
        <f>HYPERLINK("klagomålsmail\A 32355-2021.docx")</f>
        <v/>
      </c>
      <c r="V93">
        <f>HYPERLINK("tillsyn\A 32355-2021.docx")</f>
        <v/>
      </c>
      <c r="W93">
        <f>HYPERLINK("tillsynsmail\A 32355-2021.docx")</f>
        <v/>
      </c>
    </row>
    <row r="94">
      <c r="A94" t="inlineStr">
        <is>
          <t>A 38588-2021</t>
        </is>
      </c>
      <c r="B94" s="1" t="n">
        <v>44407</v>
      </c>
      <c r="C94" s="1" t="n">
        <v>45156</v>
      </c>
      <c r="D94" t="inlineStr">
        <is>
          <t>STRÖMSUND</t>
        </is>
      </c>
      <c r="E94" t="inlineStr">
        <is>
          <t>SCA</t>
        </is>
      </c>
      <c r="F94" t="n">
        <v>7.4</v>
      </c>
      <c r="G94" t="n">
        <v>0</v>
      </c>
      <c r="H94" t="n">
        <v>1</v>
      </c>
      <c r="I94" t="n">
        <v>5</v>
      </c>
      <c r="J94" t="n">
        <v>0</v>
      </c>
      <c r="K94" t="n">
        <v>0</v>
      </c>
      <c r="L94" t="n">
        <v>0</v>
      </c>
      <c r="M94" t="n">
        <v>0</v>
      </c>
      <c r="N94" t="n">
        <v>5</v>
      </c>
      <c r="O94" t="n">
        <v>0</v>
      </c>
      <c r="P94" t="n">
        <v>6</v>
      </c>
      <c r="Q94">
        <f>HYPERLINK("artfynd\A 38588-2021.xlsx")</f>
        <v/>
      </c>
      <c r="R94">
        <f>HYPERLINK("kartor\A 38588-2021.png")</f>
        <v/>
      </c>
      <c r="T94">
        <f>HYPERLINK("klagomål\A 38588-2021.docx")</f>
        <v/>
      </c>
      <c r="U94">
        <f>HYPERLINK("klagomålsmail\A 38588-2021.docx")</f>
        <v/>
      </c>
      <c r="V94">
        <f>HYPERLINK("tillsyn\A 38588-2021.docx")</f>
        <v/>
      </c>
      <c r="W94">
        <f>HYPERLINK("tillsynsmail\A 38588-2021.docx")</f>
        <v/>
      </c>
    </row>
    <row r="95">
      <c r="A95" t="inlineStr">
        <is>
          <t>A 42550-2021</t>
        </is>
      </c>
      <c r="B95" s="1" t="n">
        <v>44427</v>
      </c>
      <c r="C95" s="1" t="n">
        <v>45156</v>
      </c>
      <c r="D95" t="inlineStr">
        <is>
          <t>STRÖMSUND</t>
        </is>
      </c>
      <c r="E95" t="inlineStr">
        <is>
          <t>SCA</t>
        </is>
      </c>
      <c r="F95" t="n">
        <v>4.8</v>
      </c>
      <c r="G95" t="n">
        <v>0</v>
      </c>
      <c r="H95" t="n">
        <v>2</v>
      </c>
      <c r="I95" t="n">
        <v>4</v>
      </c>
      <c r="J95" t="n">
        <v>0</v>
      </c>
      <c r="K95" t="n">
        <v>0</v>
      </c>
      <c r="L95" t="n">
        <v>0</v>
      </c>
      <c r="M95" t="n">
        <v>0</v>
      </c>
      <c r="N95" t="n">
        <v>4</v>
      </c>
      <c r="O95" t="n">
        <v>0</v>
      </c>
      <c r="P95" t="n">
        <v>6</v>
      </c>
      <c r="Q95">
        <f>HYPERLINK("artfynd\A 42550-2021.xlsx")</f>
        <v/>
      </c>
      <c r="R95">
        <f>HYPERLINK("kartor\A 42550-2021.png")</f>
        <v/>
      </c>
      <c r="T95">
        <f>HYPERLINK("klagomål\A 42550-2021.docx")</f>
        <v/>
      </c>
      <c r="U95">
        <f>HYPERLINK("klagomålsmail\A 42550-2021.docx")</f>
        <v/>
      </c>
      <c r="V95">
        <f>HYPERLINK("tillsyn\A 42550-2021.docx")</f>
        <v/>
      </c>
      <c r="W95">
        <f>HYPERLINK("tillsynsmail\A 42550-2021.docx")</f>
        <v/>
      </c>
    </row>
    <row r="96">
      <c r="A96" t="inlineStr">
        <is>
          <t>A 54194-2021</t>
        </is>
      </c>
      <c r="B96" s="1" t="n">
        <v>44470</v>
      </c>
      <c r="C96" s="1" t="n">
        <v>45156</v>
      </c>
      <c r="D96" t="inlineStr">
        <is>
          <t>STRÖMSUND</t>
        </is>
      </c>
      <c r="F96" t="n">
        <v>15.8</v>
      </c>
      <c r="G96" t="n">
        <v>2</v>
      </c>
      <c r="H96" t="n">
        <v>3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2</v>
      </c>
      <c r="O96" t="n">
        <v>0</v>
      </c>
      <c r="P96" t="n">
        <v>6</v>
      </c>
      <c r="Q96">
        <f>HYPERLINK("artfynd\A 54194-2021.xlsx")</f>
        <v/>
      </c>
      <c r="R96">
        <f>HYPERLINK("kartor\A 54194-2021.png")</f>
        <v/>
      </c>
      <c r="T96">
        <f>HYPERLINK("klagomål\A 54194-2021.docx")</f>
        <v/>
      </c>
      <c r="U96">
        <f>HYPERLINK("klagomålsmail\A 54194-2021.docx")</f>
        <v/>
      </c>
      <c r="V96">
        <f>HYPERLINK("tillsyn\A 54194-2021.docx")</f>
        <v/>
      </c>
      <c r="W96">
        <f>HYPERLINK("tillsynsmail\A 54194-2021.docx")</f>
        <v/>
      </c>
    </row>
    <row r="97">
      <c r="A97" t="inlineStr">
        <is>
          <t>A 22335-2022</t>
        </is>
      </c>
      <c r="B97" s="1" t="n">
        <v>44712</v>
      </c>
      <c r="C97" s="1" t="n">
        <v>45156</v>
      </c>
      <c r="D97" t="inlineStr">
        <is>
          <t>STRÖMSUND</t>
        </is>
      </c>
      <c r="E97" t="inlineStr">
        <is>
          <t>SCA</t>
        </is>
      </c>
      <c r="F97" t="n">
        <v>2.6</v>
      </c>
      <c r="G97" t="n">
        <v>1</v>
      </c>
      <c r="H97" t="n">
        <v>0</v>
      </c>
      <c r="I97" t="n">
        <v>5</v>
      </c>
      <c r="J97" t="n">
        <v>1</v>
      </c>
      <c r="K97" t="n">
        <v>0</v>
      </c>
      <c r="L97" t="n">
        <v>0</v>
      </c>
      <c r="M97" t="n">
        <v>0</v>
      </c>
      <c r="N97" t="n">
        <v>6</v>
      </c>
      <c r="O97" t="n">
        <v>1</v>
      </c>
      <c r="P97" t="n">
        <v>6</v>
      </c>
      <c r="Q97">
        <f>HYPERLINK("artfynd\A 22335-2022.xlsx")</f>
        <v/>
      </c>
      <c r="R97">
        <f>HYPERLINK("kartor\A 22335-2022.png")</f>
        <v/>
      </c>
      <c r="T97">
        <f>HYPERLINK("klagomål\A 22335-2022.docx")</f>
        <v/>
      </c>
      <c r="U97">
        <f>HYPERLINK("klagomålsmail\A 22335-2022.docx")</f>
        <v/>
      </c>
      <c r="V97">
        <f>HYPERLINK("tillsyn\A 22335-2022.docx")</f>
        <v/>
      </c>
      <c r="W97">
        <f>HYPERLINK("tillsynsmail\A 22335-2022.docx")</f>
        <v/>
      </c>
    </row>
    <row r="98">
      <c r="A98" t="inlineStr">
        <is>
          <t>A 36221-2022</t>
        </is>
      </c>
      <c r="B98" s="1" t="n">
        <v>44803</v>
      </c>
      <c r="C98" s="1" t="n">
        <v>45156</v>
      </c>
      <c r="D98" t="inlineStr">
        <is>
          <t>STRÖMSUND</t>
        </is>
      </c>
      <c r="F98" t="n">
        <v>8.6</v>
      </c>
      <c r="G98" t="n">
        <v>2</v>
      </c>
      <c r="H98" t="n">
        <v>2</v>
      </c>
      <c r="I98" t="n">
        <v>2</v>
      </c>
      <c r="J98" t="n">
        <v>2</v>
      </c>
      <c r="K98" t="n">
        <v>0</v>
      </c>
      <c r="L98" t="n">
        <v>0</v>
      </c>
      <c r="M98" t="n">
        <v>0</v>
      </c>
      <c r="N98" t="n">
        <v>4</v>
      </c>
      <c r="O98" t="n">
        <v>2</v>
      </c>
      <c r="P98" t="n">
        <v>6</v>
      </c>
      <c r="Q98">
        <f>HYPERLINK("artfynd\A 36221-2022.xlsx")</f>
        <v/>
      </c>
      <c r="R98">
        <f>HYPERLINK("kartor\A 36221-2022.png")</f>
        <v/>
      </c>
      <c r="S98">
        <f>HYPERLINK("knärot\A 36221-2022.png")</f>
        <v/>
      </c>
      <c r="T98">
        <f>HYPERLINK("klagomål\A 36221-2022.docx")</f>
        <v/>
      </c>
      <c r="U98">
        <f>HYPERLINK("klagomålsmail\A 36221-2022.docx")</f>
        <v/>
      </c>
      <c r="V98">
        <f>HYPERLINK("tillsyn\A 36221-2022.docx")</f>
        <v/>
      </c>
      <c r="W98">
        <f>HYPERLINK("tillsynsmail\A 36221-2022.docx")</f>
        <v/>
      </c>
    </row>
    <row r="99">
      <c r="A99" t="inlineStr">
        <is>
          <t>A 50686-2022</t>
        </is>
      </c>
      <c r="B99" s="1" t="n">
        <v>44866</v>
      </c>
      <c r="C99" s="1" t="n">
        <v>45156</v>
      </c>
      <c r="D99" t="inlineStr">
        <is>
          <t>STRÖMSUND</t>
        </is>
      </c>
      <c r="E99" t="inlineStr">
        <is>
          <t>SCA</t>
        </is>
      </c>
      <c r="F99" t="n">
        <v>8.5</v>
      </c>
      <c r="G99" t="n">
        <v>2</v>
      </c>
      <c r="H99" t="n">
        <v>0</v>
      </c>
      <c r="I99" t="n">
        <v>3</v>
      </c>
      <c r="J99" t="n">
        <v>1</v>
      </c>
      <c r="K99" t="n">
        <v>1</v>
      </c>
      <c r="L99" t="n">
        <v>0</v>
      </c>
      <c r="M99" t="n">
        <v>0</v>
      </c>
      <c r="N99" t="n">
        <v>5</v>
      </c>
      <c r="O99" t="n">
        <v>2</v>
      </c>
      <c r="P99" t="n">
        <v>6</v>
      </c>
      <c r="Q99">
        <f>HYPERLINK("artfynd\A 50686-2022.xlsx")</f>
        <v/>
      </c>
      <c r="R99">
        <f>HYPERLINK("kartor\A 50686-2022.png")</f>
        <v/>
      </c>
      <c r="T99">
        <f>HYPERLINK("klagomål\A 50686-2022.docx")</f>
        <v/>
      </c>
      <c r="U99">
        <f>HYPERLINK("klagomålsmail\A 50686-2022.docx")</f>
        <v/>
      </c>
      <c r="V99">
        <f>HYPERLINK("tillsyn\A 50686-2022.docx")</f>
        <v/>
      </c>
      <c r="W99">
        <f>HYPERLINK("tillsynsmail\A 50686-2022.docx")</f>
        <v/>
      </c>
    </row>
    <row r="100">
      <c r="A100" t="inlineStr">
        <is>
          <t>A 538-2023</t>
        </is>
      </c>
      <c r="B100" s="1" t="n">
        <v>44930</v>
      </c>
      <c r="C100" s="1" t="n">
        <v>45156</v>
      </c>
      <c r="D100" t="inlineStr">
        <is>
          <t>STRÖMSUND</t>
        </is>
      </c>
      <c r="F100" t="n">
        <v>108.6</v>
      </c>
      <c r="G100" t="n">
        <v>2</v>
      </c>
      <c r="H100" t="n">
        <v>1</v>
      </c>
      <c r="I100" t="n">
        <v>5</v>
      </c>
      <c r="J100" t="n">
        <v>0</v>
      </c>
      <c r="K100" t="n">
        <v>0</v>
      </c>
      <c r="L100" t="n">
        <v>0</v>
      </c>
      <c r="M100" t="n">
        <v>0</v>
      </c>
      <c r="N100" t="n">
        <v>5</v>
      </c>
      <c r="O100" t="n">
        <v>0</v>
      </c>
      <c r="P100" t="n">
        <v>6</v>
      </c>
      <c r="Q100">
        <f>HYPERLINK("artfynd\A 538-2023.xlsx")</f>
        <v/>
      </c>
      <c r="R100">
        <f>HYPERLINK("kartor\A 538-2023.png")</f>
        <v/>
      </c>
      <c r="T100">
        <f>HYPERLINK("klagomål\A 538-2023.docx")</f>
        <v/>
      </c>
      <c r="U100">
        <f>HYPERLINK("klagomålsmail\A 538-2023.docx")</f>
        <v/>
      </c>
      <c r="V100">
        <f>HYPERLINK("tillsyn\A 538-2023.docx")</f>
        <v/>
      </c>
      <c r="W100">
        <f>HYPERLINK("tillsynsmail\A 538-2023.docx")</f>
        <v/>
      </c>
    </row>
    <row r="101">
      <c r="A101" t="inlineStr">
        <is>
          <t>A 3704-2023</t>
        </is>
      </c>
      <c r="B101" s="1" t="n">
        <v>44950</v>
      </c>
      <c r="C101" s="1" t="n">
        <v>45156</v>
      </c>
      <c r="D101" t="inlineStr">
        <is>
          <t>STRÖMSUND</t>
        </is>
      </c>
      <c r="E101" t="inlineStr">
        <is>
          <t>SCA</t>
        </is>
      </c>
      <c r="F101" t="n">
        <v>11.5</v>
      </c>
      <c r="G101" t="n">
        <v>0</v>
      </c>
      <c r="H101" t="n">
        <v>1</v>
      </c>
      <c r="I101" t="n">
        <v>5</v>
      </c>
      <c r="J101" t="n">
        <v>0</v>
      </c>
      <c r="K101" t="n">
        <v>0</v>
      </c>
      <c r="L101" t="n">
        <v>0</v>
      </c>
      <c r="M101" t="n">
        <v>0</v>
      </c>
      <c r="N101" t="n">
        <v>5</v>
      </c>
      <c r="O101" t="n">
        <v>0</v>
      </c>
      <c r="P101" t="n">
        <v>6</v>
      </c>
      <c r="Q101">
        <f>HYPERLINK("artfynd\A 3704-2023.xlsx")</f>
        <v/>
      </c>
      <c r="R101">
        <f>HYPERLINK("kartor\A 3704-2023.png")</f>
        <v/>
      </c>
      <c r="T101">
        <f>HYPERLINK("klagomål\A 3704-2023.docx")</f>
        <v/>
      </c>
      <c r="U101">
        <f>HYPERLINK("klagomålsmail\A 3704-2023.docx")</f>
        <v/>
      </c>
      <c r="V101">
        <f>HYPERLINK("tillsyn\A 3704-2023.docx")</f>
        <v/>
      </c>
      <c r="W101">
        <f>HYPERLINK("tillsynsmail\A 3704-2023.docx")</f>
        <v/>
      </c>
    </row>
    <row r="102">
      <c r="A102" t="inlineStr">
        <is>
          <t>A 17956-2023</t>
        </is>
      </c>
      <c r="B102" s="1" t="n">
        <v>45037</v>
      </c>
      <c r="C102" s="1" t="n">
        <v>45156</v>
      </c>
      <c r="D102" t="inlineStr">
        <is>
          <t>STRÖMSUND</t>
        </is>
      </c>
      <c r="F102" t="n">
        <v>5.1</v>
      </c>
      <c r="G102" t="n">
        <v>0</v>
      </c>
      <c r="H102" t="n">
        <v>4</v>
      </c>
      <c r="I102" t="n">
        <v>2</v>
      </c>
      <c r="J102" t="n">
        <v>0</v>
      </c>
      <c r="K102" t="n">
        <v>0</v>
      </c>
      <c r="L102" t="n">
        <v>0</v>
      </c>
      <c r="M102" t="n">
        <v>0</v>
      </c>
      <c r="N102" t="n">
        <v>2</v>
      </c>
      <c r="O102" t="n">
        <v>0</v>
      </c>
      <c r="P102" t="n">
        <v>6</v>
      </c>
      <c r="Q102">
        <f>HYPERLINK("artfynd\A 17956-2023.xlsx")</f>
        <v/>
      </c>
      <c r="R102">
        <f>HYPERLINK("kartor\A 17956-2023.png")</f>
        <v/>
      </c>
      <c r="T102">
        <f>HYPERLINK("klagomål\A 17956-2023.docx")</f>
        <v/>
      </c>
      <c r="U102">
        <f>HYPERLINK("klagomålsmail\A 17956-2023.docx")</f>
        <v/>
      </c>
      <c r="V102">
        <f>HYPERLINK("tillsyn\A 17956-2023.docx")</f>
        <v/>
      </c>
      <c r="W102">
        <f>HYPERLINK("tillsynsmail\A 17956-2023.docx")</f>
        <v/>
      </c>
    </row>
    <row r="103">
      <c r="A103" t="inlineStr">
        <is>
          <t>A 29963-2023</t>
        </is>
      </c>
      <c r="B103" s="1" t="n">
        <v>45107</v>
      </c>
      <c r="C103" s="1" t="n">
        <v>45156</v>
      </c>
      <c r="D103" t="inlineStr">
        <is>
          <t>STRÖMSUND</t>
        </is>
      </c>
      <c r="E103" t="inlineStr">
        <is>
          <t>SCA</t>
        </is>
      </c>
      <c r="F103" t="n">
        <v>15.7</v>
      </c>
      <c r="G103" t="n">
        <v>0</v>
      </c>
      <c r="H103" t="n">
        <v>0</v>
      </c>
      <c r="I103" t="n">
        <v>5</v>
      </c>
      <c r="J103" t="n">
        <v>1</v>
      </c>
      <c r="K103" t="n">
        <v>0</v>
      </c>
      <c r="L103" t="n">
        <v>0</v>
      </c>
      <c r="M103" t="n">
        <v>0</v>
      </c>
      <c r="N103" t="n">
        <v>6</v>
      </c>
      <c r="O103" t="n">
        <v>1</v>
      </c>
      <c r="P103" t="n">
        <v>6</v>
      </c>
      <c r="Q103">
        <f>HYPERLINK("artfynd\A 29963-2023.xlsx")</f>
        <v/>
      </c>
      <c r="R103">
        <f>HYPERLINK("kartor\A 29963-2023.png")</f>
        <v/>
      </c>
      <c r="T103">
        <f>HYPERLINK("klagomål\A 29963-2023.docx")</f>
        <v/>
      </c>
      <c r="U103">
        <f>HYPERLINK("klagomålsmail\A 29963-2023.docx")</f>
        <v/>
      </c>
      <c r="V103">
        <f>HYPERLINK("tillsyn\A 29963-2023.docx")</f>
        <v/>
      </c>
      <c r="W103">
        <f>HYPERLINK("tillsynsmail\A 29963-2023.docx")</f>
        <v/>
      </c>
    </row>
    <row r="104">
      <c r="A104" t="inlineStr">
        <is>
          <t>A 42426-2019</t>
        </is>
      </c>
      <c r="B104" s="1" t="n">
        <v>43703</v>
      </c>
      <c r="C104" s="1" t="n">
        <v>45156</v>
      </c>
      <c r="D104" t="inlineStr">
        <is>
          <t>STRÖMSUND</t>
        </is>
      </c>
      <c r="E104" t="inlineStr">
        <is>
          <t>SCA</t>
        </is>
      </c>
      <c r="F104" t="n">
        <v>7.6</v>
      </c>
      <c r="G104" t="n">
        <v>0</v>
      </c>
      <c r="H104" t="n">
        <v>1</v>
      </c>
      <c r="I104" t="n">
        <v>4</v>
      </c>
      <c r="J104" t="n">
        <v>0</v>
      </c>
      <c r="K104" t="n">
        <v>0</v>
      </c>
      <c r="L104" t="n">
        <v>0</v>
      </c>
      <c r="M104" t="n">
        <v>0</v>
      </c>
      <c r="N104" t="n">
        <v>4</v>
      </c>
      <c r="O104" t="n">
        <v>0</v>
      </c>
      <c r="P104" t="n">
        <v>5</v>
      </c>
      <c r="Q104">
        <f>HYPERLINK("artfynd\A 42426-2019.xlsx")</f>
        <v/>
      </c>
      <c r="R104">
        <f>HYPERLINK("kartor\A 42426-2019.png")</f>
        <v/>
      </c>
      <c r="T104">
        <f>HYPERLINK("klagomål\A 42426-2019.docx")</f>
        <v/>
      </c>
      <c r="U104">
        <f>HYPERLINK("klagomålsmail\A 42426-2019.docx")</f>
        <v/>
      </c>
      <c r="V104">
        <f>HYPERLINK("tillsyn\A 42426-2019.docx")</f>
        <v/>
      </c>
      <c r="W104">
        <f>HYPERLINK("tillsynsmail\A 42426-2019.docx")</f>
        <v/>
      </c>
    </row>
    <row r="105">
      <c r="A105" t="inlineStr">
        <is>
          <t>A 59102-2019</t>
        </is>
      </c>
      <c r="B105" s="1" t="n">
        <v>43774</v>
      </c>
      <c r="C105" s="1" t="n">
        <v>45156</v>
      </c>
      <c r="D105" t="inlineStr">
        <is>
          <t>STRÖMSUND</t>
        </is>
      </c>
      <c r="E105" t="inlineStr">
        <is>
          <t>SCA</t>
        </is>
      </c>
      <c r="F105" t="n">
        <v>3</v>
      </c>
      <c r="G105" t="n">
        <v>3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1</v>
      </c>
      <c r="O105" t="n">
        <v>0</v>
      </c>
      <c r="P105" t="n">
        <v>5</v>
      </c>
      <c r="Q105">
        <f>HYPERLINK("artfynd\A 59102-2019.xlsx")</f>
        <v/>
      </c>
      <c r="R105">
        <f>HYPERLINK("kartor\A 59102-2019.png")</f>
        <v/>
      </c>
      <c r="T105">
        <f>HYPERLINK("klagomål\A 59102-2019.docx")</f>
        <v/>
      </c>
      <c r="U105">
        <f>HYPERLINK("klagomålsmail\A 59102-2019.docx")</f>
        <v/>
      </c>
      <c r="V105">
        <f>HYPERLINK("tillsyn\A 59102-2019.docx")</f>
        <v/>
      </c>
      <c r="W105">
        <f>HYPERLINK("tillsynsmail\A 59102-2019.docx")</f>
        <v/>
      </c>
    </row>
    <row r="106">
      <c r="A106" t="inlineStr">
        <is>
          <t>A 34121-2020</t>
        </is>
      </c>
      <c r="B106" s="1" t="n">
        <v>44028</v>
      </c>
      <c r="C106" s="1" t="n">
        <v>45156</v>
      </c>
      <c r="D106" t="inlineStr">
        <is>
          <t>STRÖMSUND</t>
        </is>
      </c>
      <c r="E106" t="inlineStr">
        <is>
          <t>SCA</t>
        </is>
      </c>
      <c r="F106" t="n">
        <v>28.8</v>
      </c>
      <c r="G106" t="n">
        <v>0</v>
      </c>
      <c r="H106" t="n">
        <v>0</v>
      </c>
      <c r="I106" t="n">
        <v>3</v>
      </c>
      <c r="J106" t="n">
        <v>2</v>
      </c>
      <c r="K106" t="n">
        <v>0</v>
      </c>
      <c r="L106" t="n">
        <v>0</v>
      </c>
      <c r="M106" t="n">
        <v>0</v>
      </c>
      <c r="N106" t="n">
        <v>5</v>
      </c>
      <c r="O106" t="n">
        <v>2</v>
      </c>
      <c r="P106" t="n">
        <v>5</v>
      </c>
      <c r="Q106">
        <f>HYPERLINK("artfynd\A 34121-2020.xlsx")</f>
        <v/>
      </c>
      <c r="R106">
        <f>HYPERLINK("kartor\A 34121-2020.png")</f>
        <v/>
      </c>
      <c r="T106">
        <f>HYPERLINK("klagomål\A 34121-2020.docx")</f>
        <v/>
      </c>
      <c r="U106">
        <f>HYPERLINK("klagomålsmail\A 34121-2020.docx")</f>
        <v/>
      </c>
      <c r="V106">
        <f>HYPERLINK("tillsyn\A 34121-2020.docx")</f>
        <v/>
      </c>
      <c r="W106">
        <f>HYPERLINK("tillsynsmail\A 34121-2020.docx")</f>
        <v/>
      </c>
    </row>
    <row r="107">
      <c r="A107" t="inlineStr">
        <is>
          <t>A 35691-2020</t>
        </is>
      </c>
      <c r="B107" s="1" t="n">
        <v>44046</v>
      </c>
      <c r="C107" s="1" t="n">
        <v>45156</v>
      </c>
      <c r="D107" t="inlineStr">
        <is>
          <t>STRÖMSUND</t>
        </is>
      </c>
      <c r="F107" t="n">
        <v>13.9</v>
      </c>
      <c r="G107" t="n">
        <v>1</v>
      </c>
      <c r="H107" t="n">
        <v>4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1</v>
      </c>
      <c r="O107" t="n">
        <v>0</v>
      </c>
      <c r="P107" t="n">
        <v>5</v>
      </c>
      <c r="Q107">
        <f>HYPERLINK("artfynd\A 35691-2020.xlsx")</f>
        <v/>
      </c>
      <c r="R107">
        <f>HYPERLINK("kartor\A 35691-2020.png")</f>
        <v/>
      </c>
      <c r="T107">
        <f>HYPERLINK("klagomål\A 35691-2020.docx")</f>
        <v/>
      </c>
      <c r="U107">
        <f>HYPERLINK("klagomålsmail\A 35691-2020.docx")</f>
        <v/>
      </c>
      <c r="V107">
        <f>HYPERLINK("tillsyn\A 35691-2020.docx")</f>
        <v/>
      </c>
      <c r="W107">
        <f>HYPERLINK("tillsynsmail\A 35691-2020.docx")</f>
        <v/>
      </c>
    </row>
    <row r="108">
      <c r="A108" t="inlineStr">
        <is>
          <t>A 50257-2020</t>
        </is>
      </c>
      <c r="B108" s="1" t="n">
        <v>44109</v>
      </c>
      <c r="C108" s="1" t="n">
        <v>45156</v>
      </c>
      <c r="D108" t="inlineStr">
        <is>
          <t>STRÖMSUND</t>
        </is>
      </c>
      <c r="E108" t="inlineStr">
        <is>
          <t>SCA</t>
        </is>
      </c>
      <c r="F108" t="n">
        <v>16.6</v>
      </c>
      <c r="G108" t="n">
        <v>0</v>
      </c>
      <c r="H108" t="n">
        <v>0</v>
      </c>
      <c r="I108" t="n">
        <v>4</v>
      </c>
      <c r="J108" t="n">
        <v>1</v>
      </c>
      <c r="K108" t="n">
        <v>0</v>
      </c>
      <c r="L108" t="n">
        <v>0</v>
      </c>
      <c r="M108" t="n">
        <v>0</v>
      </c>
      <c r="N108" t="n">
        <v>5</v>
      </c>
      <c r="O108" t="n">
        <v>1</v>
      </c>
      <c r="P108" t="n">
        <v>5</v>
      </c>
      <c r="Q108">
        <f>HYPERLINK("artfynd\A 50257-2020.xlsx")</f>
        <v/>
      </c>
      <c r="R108">
        <f>HYPERLINK("kartor\A 50257-2020.png")</f>
        <v/>
      </c>
      <c r="T108">
        <f>HYPERLINK("klagomål\A 50257-2020.docx")</f>
        <v/>
      </c>
      <c r="U108">
        <f>HYPERLINK("klagomålsmail\A 50257-2020.docx")</f>
        <v/>
      </c>
      <c r="V108">
        <f>HYPERLINK("tillsyn\A 50257-2020.docx")</f>
        <v/>
      </c>
      <c r="W108">
        <f>HYPERLINK("tillsynsmail\A 50257-2020.docx")</f>
        <v/>
      </c>
    </row>
    <row r="109">
      <c r="A109" t="inlineStr">
        <is>
          <t>A 55612-2020</t>
        </is>
      </c>
      <c r="B109" s="1" t="n">
        <v>44131</v>
      </c>
      <c r="C109" s="1" t="n">
        <v>45156</v>
      </c>
      <c r="D109" t="inlineStr">
        <is>
          <t>STRÖMSUND</t>
        </is>
      </c>
      <c r="E109" t="inlineStr">
        <is>
          <t>Holmen skog AB</t>
        </is>
      </c>
      <c r="F109" t="n">
        <v>24.2</v>
      </c>
      <c r="G109" t="n">
        <v>0</v>
      </c>
      <c r="H109" t="n">
        <v>0</v>
      </c>
      <c r="I109" t="n">
        <v>5</v>
      </c>
      <c r="J109" t="n">
        <v>0</v>
      </c>
      <c r="K109" t="n">
        <v>0</v>
      </c>
      <c r="L109" t="n">
        <v>0</v>
      </c>
      <c r="M109" t="n">
        <v>0</v>
      </c>
      <c r="N109" t="n">
        <v>5</v>
      </c>
      <c r="O109" t="n">
        <v>0</v>
      </c>
      <c r="P109" t="n">
        <v>5</v>
      </c>
      <c r="Q109">
        <f>HYPERLINK("artfynd\A 55612-2020.xlsx")</f>
        <v/>
      </c>
      <c r="R109">
        <f>HYPERLINK("kartor\A 55612-2020.png")</f>
        <v/>
      </c>
      <c r="T109">
        <f>HYPERLINK("klagomål\A 55612-2020.docx")</f>
        <v/>
      </c>
      <c r="U109">
        <f>HYPERLINK("klagomålsmail\A 55612-2020.docx")</f>
        <v/>
      </c>
      <c r="V109">
        <f>HYPERLINK("tillsyn\A 55612-2020.docx")</f>
        <v/>
      </c>
      <c r="W109">
        <f>HYPERLINK("tillsynsmail\A 55612-2020.docx")</f>
        <v/>
      </c>
    </row>
    <row r="110">
      <c r="A110" t="inlineStr">
        <is>
          <t>A 22318-2021</t>
        </is>
      </c>
      <c r="B110" s="1" t="n">
        <v>44321</v>
      </c>
      <c r="C110" s="1" t="n">
        <v>45156</v>
      </c>
      <c r="D110" t="inlineStr">
        <is>
          <t>STRÖMSUND</t>
        </is>
      </c>
      <c r="E110" t="inlineStr">
        <is>
          <t>Holmen skog AB</t>
        </is>
      </c>
      <c r="F110" t="n">
        <v>13</v>
      </c>
      <c r="G110" t="n">
        <v>4</v>
      </c>
      <c r="H110" t="n">
        <v>0</v>
      </c>
      <c r="I110" t="n">
        <v>4</v>
      </c>
      <c r="J110" t="n">
        <v>0</v>
      </c>
      <c r="K110" t="n">
        <v>0</v>
      </c>
      <c r="L110" t="n">
        <v>0</v>
      </c>
      <c r="M110" t="n">
        <v>0</v>
      </c>
      <c r="N110" t="n">
        <v>4</v>
      </c>
      <c r="O110" t="n">
        <v>0</v>
      </c>
      <c r="P110" t="n">
        <v>5</v>
      </c>
      <c r="Q110">
        <f>HYPERLINK("artfynd\A 22318-2021.xlsx")</f>
        <v/>
      </c>
      <c r="R110">
        <f>HYPERLINK("kartor\A 22318-2021.png")</f>
        <v/>
      </c>
      <c r="T110">
        <f>HYPERLINK("klagomål\A 22318-2021.docx")</f>
        <v/>
      </c>
      <c r="U110">
        <f>HYPERLINK("klagomålsmail\A 22318-2021.docx")</f>
        <v/>
      </c>
      <c r="V110">
        <f>HYPERLINK("tillsyn\A 22318-2021.docx")</f>
        <v/>
      </c>
      <c r="W110">
        <f>HYPERLINK("tillsynsmail\A 22318-2021.docx")</f>
        <v/>
      </c>
    </row>
    <row r="111">
      <c r="A111" t="inlineStr">
        <is>
          <t>A 26149-2021</t>
        </is>
      </c>
      <c r="B111" s="1" t="n">
        <v>44346</v>
      </c>
      <c r="C111" s="1" t="n">
        <v>45156</v>
      </c>
      <c r="D111" t="inlineStr">
        <is>
          <t>STRÖMSUND</t>
        </is>
      </c>
      <c r="E111" t="inlineStr">
        <is>
          <t>SCA</t>
        </is>
      </c>
      <c r="F111" t="n">
        <v>14.4</v>
      </c>
      <c r="G111" t="n">
        <v>0</v>
      </c>
      <c r="H111" t="n">
        <v>3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2</v>
      </c>
      <c r="O111" t="n">
        <v>0</v>
      </c>
      <c r="P111" t="n">
        <v>5</v>
      </c>
      <c r="Q111">
        <f>HYPERLINK("artfynd\A 26149-2021.xlsx")</f>
        <v/>
      </c>
      <c r="R111">
        <f>HYPERLINK("kartor\A 26149-2021.png")</f>
        <v/>
      </c>
      <c r="T111">
        <f>HYPERLINK("klagomål\A 26149-2021.docx")</f>
        <v/>
      </c>
      <c r="U111">
        <f>HYPERLINK("klagomålsmail\A 26149-2021.docx")</f>
        <v/>
      </c>
      <c r="V111">
        <f>HYPERLINK("tillsyn\A 26149-2021.docx")</f>
        <v/>
      </c>
      <c r="W111">
        <f>HYPERLINK("tillsynsmail\A 26149-2021.docx")</f>
        <v/>
      </c>
    </row>
    <row r="112">
      <c r="A112" t="inlineStr">
        <is>
          <t>A 69109-2021</t>
        </is>
      </c>
      <c r="B112" s="1" t="n">
        <v>44530</v>
      </c>
      <c r="C112" s="1" t="n">
        <v>45156</v>
      </c>
      <c r="D112" t="inlineStr">
        <is>
          <t>STRÖMSUND</t>
        </is>
      </c>
      <c r="F112" t="n">
        <v>11.6</v>
      </c>
      <c r="G112" t="n">
        <v>0</v>
      </c>
      <c r="H112" t="n">
        <v>5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5</v>
      </c>
      <c r="Q112">
        <f>HYPERLINK("artfynd\A 69109-2021.xlsx")</f>
        <v/>
      </c>
      <c r="R112">
        <f>HYPERLINK("kartor\A 69109-2021.png")</f>
        <v/>
      </c>
      <c r="T112">
        <f>HYPERLINK("klagomål\A 69109-2021.docx")</f>
        <v/>
      </c>
      <c r="U112">
        <f>HYPERLINK("klagomålsmail\A 69109-2021.docx")</f>
        <v/>
      </c>
      <c r="V112">
        <f>HYPERLINK("tillsyn\A 69109-2021.docx")</f>
        <v/>
      </c>
      <c r="W112">
        <f>HYPERLINK("tillsynsmail\A 69109-2021.docx")</f>
        <v/>
      </c>
    </row>
    <row r="113">
      <c r="A113" t="inlineStr">
        <is>
          <t>A 23207-2022</t>
        </is>
      </c>
      <c r="B113" s="1" t="n">
        <v>44719</v>
      </c>
      <c r="C113" s="1" t="n">
        <v>45156</v>
      </c>
      <c r="D113" t="inlineStr">
        <is>
          <t>STRÖMSUND</t>
        </is>
      </c>
      <c r="E113" t="inlineStr">
        <is>
          <t>SCA</t>
        </is>
      </c>
      <c r="F113" t="n">
        <v>1.6</v>
      </c>
      <c r="G113" t="n">
        <v>1</v>
      </c>
      <c r="H113" t="n">
        <v>1</v>
      </c>
      <c r="I113" t="n">
        <v>3</v>
      </c>
      <c r="J113" t="n">
        <v>1</v>
      </c>
      <c r="K113" t="n">
        <v>0</v>
      </c>
      <c r="L113" t="n">
        <v>0</v>
      </c>
      <c r="M113" t="n">
        <v>0</v>
      </c>
      <c r="N113" t="n">
        <v>4</v>
      </c>
      <c r="O113" t="n">
        <v>1</v>
      </c>
      <c r="P113" t="n">
        <v>5</v>
      </c>
      <c r="Q113">
        <f>HYPERLINK("artfynd\A 23207-2022.xlsx")</f>
        <v/>
      </c>
      <c r="R113">
        <f>HYPERLINK("kartor\A 23207-2022.png")</f>
        <v/>
      </c>
      <c r="T113">
        <f>HYPERLINK("klagomål\A 23207-2022.docx")</f>
        <v/>
      </c>
      <c r="U113">
        <f>HYPERLINK("klagomålsmail\A 23207-2022.docx")</f>
        <v/>
      </c>
      <c r="V113">
        <f>HYPERLINK("tillsyn\A 23207-2022.docx")</f>
        <v/>
      </c>
      <c r="W113">
        <f>HYPERLINK("tillsynsmail\A 23207-2022.docx")</f>
        <v/>
      </c>
    </row>
    <row r="114">
      <c r="A114" t="inlineStr">
        <is>
          <t>A 38101-2022</t>
        </is>
      </c>
      <c r="B114" s="1" t="n">
        <v>44811</v>
      </c>
      <c r="C114" s="1" t="n">
        <v>45156</v>
      </c>
      <c r="D114" t="inlineStr">
        <is>
          <t>STRÖMSUND</t>
        </is>
      </c>
      <c r="E114" t="inlineStr">
        <is>
          <t>SCA</t>
        </is>
      </c>
      <c r="F114" t="n">
        <v>6.9</v>
      </c>
      <c r="G114" t="n">
        <v>1</v>
      </c>
      <c r="H114" t="n">
        <v>0</v>
      </c>
      <c r="I114" t="n">
        <v>4</v>
      </c>
      <c r="J114" t="n">
        <v>1</v>
      </c>
      <c r="K114" t="n">
        <v>0</v>
      </c>
      <c r="L114" t="n">
        <v>0</v>
      </c>
      <c r="M114" t="n">
        <v>0</v>
      </c>
      <c r="N114" t="n">
        <v>5</v>
      </c>
      <c r="O114" t="n">
        <v>1</v>
      </c>
      <c r="P114" t="n">
        <v>5</v>
      </c>
      <c r="Q114">
        <f>HYPERLINK("artfynd\A 38101-2022.xlsx")</f>
        <v/>
      </c>
      <c r="R114">
        <f>HYPERLINK("kartor\A 38101-2022.png")</f>
        <v/>
      </c>
      <c r="T114">
        <f>HYPERLINK("klagomål\A 38101-2022.docx")</f>
        <v/>
      </c>
      <c r="U114">
        <f>HYPERLINK("klagomålsmail\A 38101-2022.docx")</f>
        <v/>
      </c>
      <c r="V114">
        <f>HYPERLINK("tillsyn\A 38101-2022.docx")</f>
        <v/>
      </c>
      <c r="W114">
        <f>HYPERLINK("tillsynsmail\A 38101-2022.docx")</f>
        <v/>
      </c>
    </row>
    <row r="115">
      <c r="A115" t="inlineStr">
        <is>
          <t>A 39695-2022</t>
        </is>
      </c>
      <c r="B115" s="1" t="n">
        <v>44818</v>
      </c>
      <c r="C115" s="1" t="n">
        <v>45156</v>
      </c>
      <c r="D115" t="inlineStr">
        <is>
          <t>STRÖMSUND</t>
        </is>
      </c>
      <c r="E115" t="inlineStr">
        <is>
          <t>SCA</t>
        </is>
      </c>
      <c r="F115" t="n">
        <v>4.4</v>
      </c>
      <c r="G115" t="n">
        <v>0</v>
      </c>
      <c r="H115" t="n">
        <v>0</v>
      </c>
      <c r="I115" t="n">
        <v>4</v>
      </c>
      <c r="J115" t="n">
        <v>1</v>
      </c>
      <c r="K115" t="n">
        <v>0</v>
      </c>
      <c r="L115" t="n">
        <v>0</v>
      </c>
      <c r="M115" t="n">
        <v>0</v>
      </c>
      <c r="N115" t="n">
        <v>5</v>
      </c>
      <c r="O115" t="n">
        <v>1</v>
      </c>
      <c r="P115" t="n">
        <v>5</v>
      </c>
      <c r="Q115">
        <f>HYPERLINK("artfynd\A 39695-2022.xlsx")</f>
        <v/>
      </c>
      <c r="R115">
        <f>HYPERLINK("kartor\A 39695-2022.png")</f>
        <v/>
      </c>
      <c r="T115">
        <f>HYPERLINK("klagomål\A 39695-2022.docx")</f>
        <v/>
      </c>
      <c r="U115">
        <f>HYPERLINK("klagomålsmail\A 39695-2022.docx")</f>
        <v/>
      </c>
      <c r="V115">
        <f>HYPERLINK("tillsyn\A 39695-2022.docx")</f>
        <v/>
      </c>
      <c r="W115">
        <f>HYPERLINK("tillsynsmail\A 39695-2022.docx")</f>
        <v/>
      </c>
    </row>
    <row r="116">
      <c r="A116" t="inlineStr">
        <is>
          <t>A 57827-2022</t>
        </is>
      </c>
      <c r="B116" s="1" t="n">
        <v>44897</v>
      </c>
      <c r="C116" s="1" t="n">
        <v>45156</v>
      </c>
      <c r="D116" t="inlineStr">
        <is>
          <t>STRÖMSUND</t>
        </is>
      </c>
      <c r="E116" t="inlineStr">
        <is>
          <t>SCA</t>
        </is>
      </c>
      <c r="F116" t="n">
        <v>4.9</v>
      </c>
      <c r="G116" t="n">
        <v>0</v>
      </c>
      <c r="H116" t="n">
        <v>2</v>
      </c>
      <c r="I116" t="n">
        <v>3</v>
      </c>
      <c r="J116" t="n">
        <v>0</v>
      </c>
      <c r="K116" t="n">
        <v>0</v>
      </c>
      <c r="L116" t="n">
        <v>0</v>
      </c>
      <c r="M116" t="n">
        <v>0</v>
      </c>
      <c r="N116" t="n">
        <v>3</v>
      </c>
      <c r="O116" t="n">
        <v>0</v>
      </c>
      <c r="P116" t="n">
        <v>5</v>
      </c>
      <c r="Q116">
        <f>HYPERLINK("artfynd\A 57827-2022.xlsx")</f>
        <v/>
      </c>
      <c r="R116">
        <f>HYPERLINK("kartor\A 57827-2022.png")</f>
        <v/>
      </c>
      <c r="T116">
        <f>HYPERLINK("klagomål\A 57827-2022.docx")</f>
        <v/>
      </c>
      <c r="U116">
        <f>HYPERLINK("klagomålsmail\A 57827-2022.docx")</f>
        <v/>
      </c>
      <c r="V116">
        <f>HYPERLINK("tillsyn\A 57827-2022.docx")</f>
        <v/>
      </c>
      <c r="W116">
        <f>HYPERLINK("tillsynsmail\A 57827-2022.docx")</f>
        <v/>
      </c>
    </row>
    <row r="117">
      <c r="A117" t="inlineStr">
        <is>
          <t>A 61381-2022</t>
        </is>
      </c>
      <c r="B117" s="1" t="n">
        <v>44915</v>
      </c>
      <c r="C117" s="1" t="n">
        <v>45156</v>
      </c>
      <c r="D117" t="inlineStr">
        <is>
          <t>STRÖMSUND</t>
        </is>
      </c>
      <c r="F117" t="n">
        <v>8.1</v>
      </c>
      <c r="G117" t="n">
        <v>2</v>
      </c>
      <c r="H117" t="n">
        <v>1</v>
      </c>
      <c r="I117" t="n">
        <v>3</v>
      </c>
      <c r="J117" t="n">
        <v>0</v>
      </c>
      <c r="K117" t="n">
        <v>0</v>
      </c>
      <c r="L117" t="n">
        <v>0</v>
      </c>
      <c r="M117" t="n">
        <v>0</v>
      </c>
      <c r="N117" t="n">
        <v>3</v>
      </c>
      <c r="O117" t="n">
        <v>0</v>
      </c>
      <c r="P117" t="n">
        <v>5</v>
      </c>
      <c r="Q117">
        <f>HYPERLINK("artfynd\A 61381-2022.xlsx")</f>
        <v/>
      </c>
      <c r="R117">
        <f>HYPERLINK("kartor\A 61381-2022.png")</f>
        <v/>
      </c>
      <c r="T117">
        <f>HYPERLINK("klagomål\A 61381-2022.docx")</f>
        <v/>
      </c>
      <c r="U117">
        <f>HYPERLINK("klagomålsmail\A 61381-2022.docx")</f>
        <v/>
      </c>
      <c r="V117">
        <f>HYPERLINK("tillsyn\A 61381-2022.docx")</f>
        <v/>
      </c>
      <c r="W117">
        <f>HYPERLINK("tillsynsmail\A 61381-2022.docx")</f>
        <v/>
      </c>
    </row>
    <row r="118">
      <c r="A118" t="inlineStr">
        <is>
          <t>A 23524-2023</t>
        </is>
      </c>
      <c r="B118" s="1" t="n">
        <v>45076</v>
      </c>
      <c r="C118" s="1" t="n">
        <v>45156</v>
      </c>
      <c r="D118" t="inlineStr">
        <is>
          <t>STRÖMSUND</t>
        </is>
      </c>
      <c r="E118" t="inlineStr">
        <is>
          <t>SCA</t>
        </is>
      </c>
      <c r="F118" t="n">
        <v>12.5</v>
      </c>
      <c r="G118" t="n">
        <v>0</v>
      </c>
      <c r="H118" t="n">
        <v>1</v>
      </c>
      <c r="I118" t="n">
        <v>4</v>
      </c>
      <c r="J118" t="n">
        <v>0</v>
      </c>
      <c r="K118" t="n">
        <v>0</v>
      </c>
      <c r="L118" t="n">
        <v>0</v>
      </c>
      <c r="M118" t="n">
        <v>0</v>
      </c>
      <c r="N118" t="n">
        <v>4</v>
      </c>
      <c r="O118" t="n">
        <v>0</v>
      </c>
      <c r="P118" t="n">
        <v>5</v>
      </c>
      <c r="Q118">
        <f>HYPERLINK("artfynd\A 23524-2023.xlsx")</f>
        <v/>
      </c>
      <c r="R118">
        <f>HYPERLINK("kartor\A 23524-2023.png")</f>
        <v/>
      </c>
      <c r="T118">
        <f>HYPERLINK("klagomål\A 23524-2023.docx")</f>
        <v/>
      </c>
      <c r="U118">
        <f>HYPERLINK("klagomålsmail\A 23524-2023.docx")</f>
        <v/>
      </c>
      <c r="V118">
        <f>HYPERLINK("tillsyn\A 23524-2023.docx")</f>
        <v/>
      </c>
      <c r="W118">
        <f>HYPERLINK("tillsynsmail\A 23524-2023.docx")</f>
        <v/>
      </c>
    </row>
    <row r="119">
      <c r="A119" t="inlineStr">
        <is>
          <t>A 24832-2023</t>
        </is>
      </c>
      <c r="B119" s="1" t="n">
        <v>45084</v>
      </c>
      <c r="C119" s="1" t="n">
        <v>45156</v>
      </c>
      <c r="D119" t="inlineStr">
        <is>
          <t>STRÖMSUND</t>
        </is>
      </c>
      <c r="F119" t="n">
        <v>9.6</v>
      </c>
      <c r="G119" t="n">
        <v>2</v>
      </c>
      <c r="H119" t="n">
        <v>1</v>
      </c>
      <c r="I119" t="n">
        <v>3</v>
      </c>
      <c r="J119" t="n">
        <v>0</v>
      </c>
      <c r="K119" t="n">
        <v>0</v>
      </c>
      <c r="L119" t="n">
        <v>0</v>
      </c>
      <c r="M119" t="n">
        <v>0</v>
      </c>
      <c r="N119" t="n">
        <v>3</v>
      </c>
      <c r="O119" t="n">
        <v>0</v>
      </c>
      <c r="P119" t="n">
        <v>5</v>
      </c>
      <c r="Q119">
        <f>HYPERLINK("artfynd\A 24832-2023.xlsx")</f>
        <v/>
      </c>
      <c r="R119">
        <f>HYPERLINK("kartor\A 24832-2023.png")</f>
        <v/>
      </c>
      <c r="T119">
        <f>HYPERLINK("klagomål\A 24832-2023.docx")</f>
        <v/>
      </c>
      <c r="U119">
        <f>HYPERLINK("klagomålsmail\A 24832-2023.docx")</f>
        <v/>
      </c>
      <c r="V119">
        <f>HYPERLINK("tillsyn\A 24832-2023.docx")</f>
        <v/>
      </c>
      <c r="W119">
        <f>HYPERLINK("tillsynsmail\A 24832-2023.docx")</f>
        <v/>
      </c>
    </row>
    <row r="120">
      <c r="A120" t="inlineStr">
        <is>
          <t>A 26406-2023</t>
        </is>
      </c>
      <c r="B120" s="1" t="n">
        <v>45089</v>
      </c>
      <c r="C120" s="1" t="n">
        <v>45156</v>
      </c>
      <c r="D120" t="inlineStr">
        <is>
          <t>STRÖMSUND</t>
        </is>
      </c>
      <c r="F120" t="n">
        <v>12.8</v>
      </c>
      <c r="G120" t="n">
        <v>1</v>
      </c>
      <c r="H120" t="n">
        <v>1</v>
      </c>
      <c r="I120" t="n">
        <v>3</v>
      </c>
      <c r="J120" t="n">
        <v>1</v>
      </c>
      <c r="K120" t="n">
        <v>0</v>
      </c>
      <c r="L120" t="n">
        <v>0</v>
      </c>
      <c r="M120" t="n">
        <v>0</v>
      </c>
      <c r="N120" t="n">
        <v>4</v>
      </c>
      <c r="O120" t="n">
        <v>1</v>
      </c>
      <c r="P120" t="n">
        <v>5</v>
      </c>
      <c r="Q120">
        <f>HYPERLINK("artfynd\A 26406-2023.xlsx")</f>
        <v/>
      </c>
      <c r="R120">
        <f>HYPERLINK("kartor\A 26406-2023.png")</f>
        <v/>
      </c>
      <c r="S120">
        <f>HYPERLINK("knärot\A 26406-2023.png")</f>
        <v/>
      </c>
      <c r="T120">
        <f>HYPERLINK("klagomål\A 26406-2023.docx")</f>
        <v/>
      </c>
      <c r="U120">
        <f>HYPERLINK("klagomålsmail\A 26406-2023.docx")</f>
        <v/>
      </c>
      <c r="V120">
        <f>HYPERLINK("tillsyn\A 26406-2023.docx")</f>
        <v/>
      </c>
      <c r="W120">
        <f>HYPERLINK("tillsynsmail\A 26406-2023.docx")</f>
        <v/>
      </c>
    </row>
    <row r="121">
      <c r="A121" t="inlineStr">
        <is>
          <t>A 27686-2023</t>
        </is>
      </c>
      <c r="B121" s="1" t="n">
        <v>45097</v>
      </c>
      <c r="C121" s="1" t="n">
        <v>45156</v>
      </c>
      <c r="D121" t="inlineStr">
        <is>
          <t>STRÖMSUND</t>
        </is>
      </c>
      <c r="E121" t="inlineStr">
        <is>
          <t>SCA</t>
        </is>
      </c>
      <c r="F121" t="n">
        <v>8.699999999999999</v>
      </c>
      <c r="G121" t="n">
        <v>1</v>
      </c>
      <c r="H121" t="n">
        <v>0</v>
      </c>
      <c r="I121" t="n">
        <v>5</v>
      </c>
      <c r="J121" t="n">
        <v>0</v>
      </c>
      <c r="K121" t="n">
        <v>0</v>
      </c>
      <c r="L121" t="n">
        <v>0</v>
      </c>
      <c r="M121" t="n">
        <v>0</v>
      </c>
      <c r="N121" t="n">
        <v>5</v>
      </c>
      <c r="O121" t="n">
        <v>0</v>
      </c>
      <c r="P121" t="n">
        <v>5</v>
      </c>
      <c r="Q121">
        <f>HYPERLINK("artfynd\A 27686-2023.xlsx")</f>
        <v/>
      </c>
      <c r="R121">
        <f>HYPERLINK("kartor\A 27686-2023.png")</f>
        <v/>
      </c>
      <c r="T121">
        <f>HYPERLINK("klagomål\A 27686-2023.docx")</f>
        <v/>
      </c>
      <c r="U121">
        <f>HYPERLINK("klagomålsmail\A 27686-2023.docx")</f>
        <v/>
      </c>
      <c r="V121">
        <f>HYPERLINK("tillsyn\A 27686-2023.docx")</f>
        <v/>
      </c>
      <c r="W121">
        <f>HYPERLINK("tillsynsmail\A 27686-2023.docx")</f>
        <v/>
      </c>
    </row>
    <row r="122">
      <c r="A122" t="inlineStr">
        <is>
          <t>A 29061-2023</t>
        </is>
      </c>
      <c r="B122" s="1" t="n">
        <v>45104</v>
      </c>
      <c r="C122" s="1" t="n">
        <v>45156</v>
      </c>
      <c r="D122" t="inlineStr">
        <is>
          <t>STRÖMSUND</t>
        </is>
      </c>
      <c r="E122" t="inlineStr">
        <is>
          <t>SCA</t>
        </is>
      </c>
      <c r="F122" t="n">
        <v>5.2</v>
      </c>
      <c r="G122" t="n">
        <v>1</v>
      </c>
      <c r="H122" t="n">
        <v>0</v>
      </c>
      <c r="I122" t="n">
        <v>5</v>
      </c>
      <c r="J122" t="n">
        <v>0</v>
      </c>
      <c r="K122" t="n">
        <v>0</v>
      </c>
      <c r="L122" t="n">
        <v>0</v>
      </c>
      <c r="M122" t="n">
        <v>0</v>
      </c>
      <c r="N122" t="n">
        <v>5</v>
      </c>
      <c r="O122" t="n">
        <v>0</v>
      </c>
      <c r="P122" t="n">
        <v>5</v>
      </c>
      <c r="Q122">
        <f>HYPERLINK("artfynd\A 29061-2023.xlsx")</f>
        <v/>
      </c>
      <c r="R122">
        <f>HYPERLINK("kartor\A 29061-2023.png")</f>
        <v/>
      </c>
      <c r="T122">
        <f>HYPERLINK("klagomål\A 29061-2023.docx")</f>
        <v/>
      </c>
      <c r="U122">
        <f>HYPERLINK("klagomålsmail\A 29061-2023.docx")</f>
        <v/>
      </c>
      <c r="V122">
        <f>HYPERLINK("tillsyn\A 29061-2023.docx")</f>
        <v/>
      </c>
      <c r="W122">
        <f>HYPERLINK("tillsynsmail\A 29061-2023.docx")</f>
        <v/>
      </c>
    </row>
    <row r="123">
      <c r="A123" t="inlineStr">
        <is>
          <t>A 13004-2019</t>
        </is>
      </c>
      <c r="B123" s="1" t="n">
        <v>43525</v>
      </c>
      <c r="C123" s="1" t="n">
        <v>45156</v>
      </c>
      <c r="D123" t="inlineStr">
        <is>
          <t>STRÖMSUND</t>
        </is>
      </c>
      <c r="F123" t="n">
        <v>3.1</v>
      </c>
      <c r="G123" t="n">
        <v>1</v>
      </c>
      <c r="H123" t="n">
        <v>1</v>
      </c>
      <c r="I123" t="n">
        <v>3</v>
      </c>
      <c r="J123" t="n">
        <v>0</v>
      </c>
      <c r="K123" t="n">
        <v>0</v>
      </c>
      <c r="L123" t="n">
        <v>0</v>
      </c>
      <c r="M123" t="n">
        <v>0</v>
      </c>
      <c r="N123" t="n">
        <v>3</v>
      </c>
      <c r="O123" t="n">
        <v>0</v>
      </c>
      <c r="P123" t="n">
        <v>4</v>
      </c>
      <c r="Q123">
        <f>HYPERLINK("artfynd\A 13004-2019.xlsx")</f>
        <v/>
      </c>
      <c r="R123">
        <f>HYPERLINK("kartor\A 13004-2019.png")</f>
        <v/>
      </c>
      <c r="T123">
        <f>HYPERLINK("klagomål\A 13004-2019.docx")</f>
        <v/>
      </c>
      <c r="U123">
        <f>HYPERLINK("klagomålsmail\A 13004-2019.docx")</f>
        <v/>
      </c>
      <c r="V123">
        <f>HYPERLINK("tillsyn\A 13004-2019.docx")</f>
        <v/>
      </c>
      <c r="W123">
        <f>HYPERLINK("tillsynsmail\A 13004-2019.docx")</f>
        <v/>
      </c>
    </row>
    <row r="124">
      <c r="A124" t="inlineStr">
        <is>
          <t>A 22339-2019</t>
        </is>
      </c>
      <c r="B124" s="1" t="n">
        <v>43586</v>
      </c>
      <c r="C124" s="1" t="n">
        <v>45156</v>
      </c>
      <c r="D124" t="inlineStr">
        <is>
          <t>STRÖMSUND</t>
        </is>
      </c>
      <c r="E124" t="inlineStr">
        <is>
          <t>SCA</t>
        </is>
      </c>
      <c r="F124" t="n">
        <v>2.8</v>
      </c>
      <c r="G124" t="n">
        <v>0</v>
      </c>
      <c r="H124" t="n">
        <v>2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2</v>
      </c>
      <c r="O124" t="n">
        <v>0</v>
      </c>
      <c r="P124" t="n">
        <v>4</v>
      </c>
      <c r="Q124">
        <f>HYPERLINK("artfynd\A 22339-2019.xlsx")</f>
        <v/>
      </c>
      <c r="R124">
        <f>HYPERLINK("kartor\A 22339-2019.png")</f>
        <v/>
      </c>
      <c r="T124">
        <f>HYPERLINK("klagomål\A 22339-2019.docx")</f>
        <v/>
      </c>
      <c r="U124">
        <f>HYPERLINK("klagomålsmail\A 22339-2019.docx")</f>
        <v/>
      </c>
      <c r="V124">
        <f>HYPERLINK("tillsyn\A 22339-2019.docx")</f>
        <v/>
      </c>
      <c r="W124">
        <f>HYPERLINK("tillsynsmail\A 22339-2019.docx")</f>
        <v/>
      </c>
    </row>
    <row r="125">
      <c r="A125" t="inlineStr">
        <is>
          <t>A 30381-2019</t>
        </is>
      </c>
      <c r="B125" s="1" t="n">
        <v>43634</v>
      </c>
      <c r="C125" s="1" t="n">
        <v>45156</v>
      </c>
      <c r="D125" t="inlineStr">
        <is>
          <t>STRÖMSUND</t>
        </is>
      </c>
      <c r="E125" t="inlineStr">
        <is>
          <t>SCA</t>
        </is>
      </c>
      <c r="F125" t="n">
        <v>1.5</v>
      </c>
      <c r="G125" t="n">
        <v>1</v>
      </c>
      <c r="H125" t="n">
        <v>1</v>
      </c>
      <c r="I125" t="n">
        <v>2</v>
      </c>
      <c r="J125" t="n">
        <v>1</v>
      </c>
      <c r="K125" t="n">
        <v>0</v>
      </c>
      <c r="L125" t="n">
        <v>0</v>
      </c>
      <c r="M125" t="n">
        <v>0</v>
      </c>
      <c r="N125" t="n">
        <v>3</v>
      </c>
      <c r="O125" t="n">
        <v>1</v>
      </c>
      <c r="P125" t="n">
        <v>4</v>
      </c>
      <c r="Q125">
        <f>HYPERLINK("artfynd\A 30381-2019.xlsx")</f>
        <v/>
      </c>
      <c r="R125">
        <f>HYPERLINK("kartor\A 30381-2019.png")</f>
        <v/>
      </c>
      <c r="S125">
        <f>HYPERLINK("knärot\A 30381-2019.png")</f>
        <v/>
      </c>
      <c r="T125">
        <f>HYPERLINK("klagomål\A 30381-2019.docx")</f>
        <v/>
      </c>
      <c r="U125">
        <f>HYPERLINK("klagomålsmail\A 30381-2019.docx")</f>
        <v/>
      </c>
      <c r="V125">
        <f>HYPERLINK("tillsyn\A 30381-2019.docx")</f>
        <v/>
      </c>
      <c r="W125">
        <f>HYPERLINK("tillsynsmail\A 30381-2019.docx")</f>
        <v/>
      </c>
    </row>
    <row r="126">
      <c r="A126" t="inlineStr">
        <is>
          <t>A 39265-2019</t>
        </is>
      </c>
      <c r="B126" s="1" t="n">
        <v>43690</v>
      </c>
      <c r="C126" s="1" t="n">
        <v>45156</v>
      </c>
      <c r="D126" t="inlineStr">
        <is>
          <t>STRÖMSUND</t>
        </is>
      </c>
      <c r="E126" t="inlineStr">
        <is>
          <t>Holmen skog AB</t>
        </is>
      </c>
      <c r="F126" t="n">
        <v>16.9</v>
      </c>
      <c r="G126" t="n">
        <v>1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2</v>
      </c>
      <c r="O126" t="n">
        <v>0</v>
      </c>
      <c r="P126" t="n">
        <v>4</v>
      </c>
      <c r="Q126">
        <f>HYPERLINK("artfynd\A 39265-2019.xlsx")</f>
        <v/>
      </c>
      <c r="R126">
        <f>HYPERLINK("kartor\A 39265-2019.png")</f>
        <v/>
      </c>
      <c r="T126">
        <f>HYPERLINK("klagomål\A 39265-2019.docx")</f>
        <v/>
      </c>
      <c r="U126">
        <f>HYPERLINK("klagomålsmail\A 39265-2019.docx")</f>
        <v/>
      </c>
      <c r="V126">
        <f>HYPERLINK("tillsyn\A 39265-2019.docx")</f>
        <v/>
      </c>
      <c r="W126">
        <f>HYPERLINK("tillsynsmail\A 39265-2019.docx")</f>
        <v/>
      </c>
    </row>
    <row r="127">
      <c r="A127" t="inlineStr">
        <is>
          <t>A 17948-2020</t>
        </is>
      </c>
      <c r="B127" s="1" t="n">
        <v>43924</v>
      </c>
      <c r="C127" s="1" t="n">
        <v>45156</v>
      </c>
      <c r="D127" t="inlineStr">
        <is>
          <t>STRÖMSUND</t>
        </is>
      </c>
      <c r="E127" t="inlineStr">
        <is>
          <t>SCA</t>
        </is>
      </c>
      <c r="F127" t="n">
        <v>15.7</v>
      </c>
      <c r="G127" t="n">
        <v>0</v>
      </c>
      <c r="H127" t="n">
        <v>3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1</v>
      </c>
      <c r="O127" t="n">
        <v>0</v>
      </c>
      <c r="P127" t="n">
        <v>4</v>
      </c>
      <c r="Q127">
        <f>HYPERLINK("artfynd\A 17948-2020.xlsx")</f>
        <v/>
      </c>
      <c r="R127">
        <f>HYPERLINK("kartor\A 17948-2020.png")</f>
        <v/>
      </c>
      <c r="T127">
        <f>HYPERLINK("klagomål\A 17948-2020.docx")</f>
        <v/>
      </c>
      <c r="U127">
        <f>HYPERLINK("klagomålsmail\A 17948-2020.docx")</f>
        <v/>
      </c>
      <c r="V127">
        <f>HYPERLINK("tillsyn\A 17948-2020.docx")</f>
        <v/>
      </c>
      <c r="W127">
        <f>HYPERLINK("tillsynsmail\A 17948-2020.docx")</f>
        <v/>
      </c>
    </row>
    <row r="128">
      <c r="A128" t="inlineStr">
        <is>
          <t>A 30021-2020</t>
        </is>
      </c>
      <c r="B128" s="1" t="n">
        <v>44006</v>
      </c>
      <c r="C128" s="1" t="n">
        <v>45156</v>
      </c>
      <c r="D128" t="inlineStr">
        <is>
          <t>STRÖMSUND</t>
        </is>
      </c>
      <c r="E128" t="inlineStr">
        <is>
          <t>Holmen skog AB</t>
        </is>
      </c>
      <c r="F128" t="n">
        <v>22.6</v>
      </c>
      <c r="G128" t="n">
        <v>1</v>
      </c>
      <c r="H128" t="n">
        <v>0</v>
      </c>
      <c r="I128" t="n">
        <v>4</v>
      </c>
      <c r="J128" t="n">
        <v>0</v>
      </c>
      <c r="K128" t="n">
        <v>0</v>
      </c>
      <c r="L128" t="n">
        <v>0</v>
      </c>
      <c r="M128" t="n">
        <v>0</v>
      </c>
      <c r="N128" t="n">
        <v>4</v>
      </c>
      <c r="O128" t="n">
        <v>0</v>
      </c>
      <c r="P128" t="n">
        <v>4</v>
      </c>
      <c r="Q128">
        <f>HYPERLINK("artfynd\A 30021-2020.xlsx")</f>
        <v/>
      </c>
      <c r="R128">
        <f>HYPERLINK("kartor\A 30021-2020.png")</f>
        <v/>
      </c>
      <c r="T128">
        <f>HYPERLINK("klagomål\A 30021-2020.docx")</f>
        <v/>
      </c>
      <c r="U128">
        <f>HYPERLINK("klagomålsmail\A 30021-2020.docx")</f>
        <v/>
      </c>
      <c r="V128">
        <f>HYPERLINK("tillsyn\A 30021-2020.docx")</f>
        <v/>
      </c>
      <c r="W128">
        <f>HYPERLINK("tillsynsmail\A 30021-2020.docx")</f>
        <v/>
      </c>
    </row>
    <row r="129">
      <c r="A129" t="inlineStr">
        <is>
          <t>A 30763-2020</t>
        </is>
      </c>
      <c r="B129" s="1" t="n">
        <v>44008</v>
      </c>
      <c r="C129" s="1" t="n">
        <v>45156</v>
      </c>
      <c r="D129" t="inlineStr">
        <is>
          <t>STRÖMSUND</t>
        </is>
      </c>
      <c r="E129" t="inlineStr">
        <is>
          <t>SCA</t>
        </is>
      </c>
      <c r="F129" t="n">
        <v>20.8</v>
      </c>
      <c r="G129" t="n">
        <v>3</v>
      </c>
      <c r="H129" t="n">
        <v>1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2</v>
      </c>
      <c r="O129" t="n">
        <v>0</v>
      </c>
      <c r="P129" t="n">
        <v>4</v>
      </c>
      <c r="Q129">
        <f>HYPERLINK("artfynd\A 30763-2020.xlsx")</f>
        <v/>
      </c>
      <c r="R129">
        <f>HYPERLINK("kartor\A 30763-2020.png")</f>
        <v/>
      </c>
      <c r="T129">
        <f>HYPERLINK("klagomål\A 30763-2020.docx")</f>
        <v/>
      </c>
      <c r="U129">
        <f>HYPERLINK("klagomålsmail\A 30763-2020.docx")</f>
        <v/>
      </c>
      <c r="V129">
        <f>HYPERLINK("tillsyn\A 30763-2020.docx")</f>
        <v/>
      </c>
      <c r="W129">
        <f>HYPERLINK("tillsynsmail\A 30763-2020.docx")</f>
        <v/>
      </c>
    </row>
    <row r="130">
      <c r="A130" t="inlineStr">
        <is>
          <t>A 31990-2020</t>
        </is>
      </c>
      <c r="B130" s="1" t="n">
        <v>44014</v>
      </c>
      <c r="C130" s="1" t="n">
        <v>45156</v>
      </c>
      <c r="D130" t="inlineStr">
        <is>
          <t>STRÖMSUND</t>
        </is>
      </c>
      <c r="E130" t="inlineStr">
        <is>
          <t>SCA</t>
        </is>
      </c>
      <c r="F130" t="n">
        <v>3.4</v>
      </c>
      <c r="G130" t="n">
        <v>4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4</v>
      </c>
      <c r="Q130">
        <f>HYPERLINK("artfynd\A 31990-2020.xlsx")</f>
        <v/>
      </c>
      <c r="R130">
        <f>HYPERLINK("kartor\A 31990-2020.png")</f>
        <v/>
      </c>
      <c r="T130">
        <f>HYPERLINK("klagomål\A 31990-2020.docx")</f>
        <v/>
      </c>
      <c r="U130">
        <f>HYPERLINK("klagomålsmail\A 31990-2020.docx")</f>
        <v/>
      </c>
      <c r="V130">
        <f>HYPERLINK("tillsyn\A 31990-2020.docx")</f>
        <v/>
      </c>
      <c r="W130">
        <f>HYPERLINK("tillsynsmail\A 31990-2020.docx")</f>
        <v/>
      </c>
    </row>
    <row r="131">
      <c r="A131" t="inlineStr">
        <is>
          <t>A 66729-2020</t>
        </is>
      </c>
      <c r="B131" s="1" t="n">
        <v>44179</v>
      </c>
      <c r="C131" s="1" t="n">
        <v>45156</v>
      </c>
      <c r="D131" t="inlineStr">
        <is>
          <t>STRÖMSUND</t>
        </is>
      </c>
      <c r="E131" t="inlineStr">
        <is>
          <t>SCA</t>
        </is>
      </c>
      <c r="F131" t="n">
        <v>22.4</v>
      </c>
      <c r="G131" t="n">
        <v>0</v>
      </c>
      <c r="H131" t="n">
        <v>0</v>
      </c>
      <c r="I131" t="n">
        <v>2</v>
      </c>
      <c r="J131" t="n">
        <v>2</v>
      </c>
      <c r="K131" t="n">
        <v>0</v>
      </c>
      <c r="L131" t="n">
        <v>0</v>
      </c>
      <c r="M131" t="n">
        <v>0</v>
      </c>
      <c r="N131" t="n">
        <v>4</v>
      </c>
      <c r="O131" t="n">
        <v>2</v>
      </c>
      <c r="P131" t="n">
        <v>4</v>
      </c>
      <c r="Q131">
        <f>HYPERLINK("artfynd\A 66729-2020.xlsx")</f>
        <v/>
      </c>
      <c r="R131">
        <f>HYPERLINK("kartor\A 66729-2020.png")</f>
        <v/>
      </c>
      <c r="T131">
        <f>HYPERLINK("klagomål\A 66729-2020.docx")</f>
        <v/>
      </c>
      <c r="U131">
        <f>HYPERLINK("klagomålsmail\A 66729-2020.docx")</f>
        <v/>
      </c>
      <c r="V131">
        <f>HYPERLINK("tillsyn\A 66729-2020.docx")</f>
        <v/>
      </c>
      <c r="W131">
        <f>HYPERLINK("tillsynsmail\A 66729-2020.docx")</f>
        <v/>
      </c>
    </row>
    <row r="132">
      <c r="A132" t="inlineStr">
        <is>
          <t>A 630-2021</t>
        </is>
      </c>
      <c r="B132" s="1" t="n">
        <v>44203</v>
      </c>
      <c r="C132" s="1" t="n">
        <v>45156</v>
      </c>
      <c r="D132" t="inlineStr">
        <is>
          <t>STRÖMSUND</t>
        </is>
      </c>
      <c r="E132" t="inlineStr">
        <is>
          <t>SCA</t>
        </is>
      </c>
      <c r="F132" t="n">
        <v>54.6</v>
      </c>
      <c r="G132" t="n">
        <v>0</v>
      </c>
      <c r="H132" t="n">
        <v>1</v>
      </c>
      <c r="I132" t="n">
        <v>2</v>
      </c>
      <c r="J132" t="n">
        <v>1</v>
      </c>
      <c r="K132" t="n">
        <v>0</v>
      </c>
      <c r="L132" t="n">
        <v>0</v>
      </c>
      <c r="M132" t="n">
        <v>0</v>
      </c>
      <c r="N132" t="n">
        <v>3</v>
      </c>
      <c r="O132" t="n">
        <v>1</v>
      </c>
      <c r="P132" t="n">
        <v>4</v>
      </c>
      <c r="Q132">
        <f>HYPERLINK("artfynd\A 630-2021.xlsx")</f>
        <v/>
      </c>
      <c r="R132">
        <f>HYPERLINK("kartor\A 630-2021.png")</f>
        <v/>
      </c>
      <c r="T132">
        <f>HYPERLINK("klagomål\A 630-2021.docx")</f>
        <v/>
      </c>
      <c r="U132">
        <f>HYPERLINK("klagomålsmail\A 630-2021.docx")</f>
        <v/>
      </c>
      <c r="V132">
        <f>HYPERLINK("tillsyn\A 630-2021.docx")</f>
        <v/>
      </c>
      <c r="W132">
        <f>HYPERLINK("tillsynsmail\A 630-2021.docx")</f>
        <v/>
      </c>
    </row>
    <row r="133">
      <c r="A133" t="inlineStr">
        <is>
          <t>A 28544-2021</t>
        </is>
      </c>
      <c r="B133" s="1" t="n">
        <v>44356</v>
      </c>
      <c r="C133" s="1" t="n">
        <v>45156</v>
      </c>
      <c r="D133" t="inlineStr">
        <is>
          <t>STRÖMSUND</t>
        </is>
      </c>
      <c r="F133" t="n">
        <v>7.4</v>
      </c>
      <c r="G133" t="n">
        <v>2</v>
      </c>
      <c r="H133" t="n">
        <v>2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1</v>
      </c>
      <c r="O133" t="n">
        <v>0</v>
      </c>
      <c r="P133" t="n">
        <v>4</v>
      </c>
      <c r="Q133">
        <f>HYPERLINK("artfynd\A 28544-2021.xlsx")</f>
        <v/>
      </c>
      <c r="R133">
        <f>HYPERLINK("kartor\A 28544-2021.png")</f>
        <v/>
      </c>
      <c r="T133">
        <f>HYPERLINK("klagomål\A 28544-2021.docx")</f>
        <v/>
      </c>
      <c r="U133">
        <f>HYPERLINK("klagomålsmail\A 28544-2021.docx")</f>
        <v/>
      </c>
      <c r="V133">
        <f>HYPERLINK("tillsyn\A 28544-2021.docx")</f>
        <v/>
      </c>
      <c r="W133">
        <f>HYPERLINK("tillsynsmail\A 28544-2021.docx")</f>
        <v/>
      </c>
    </row>
    <row r="134">
      <c r="A134" t="inlineStr">
        <is>
          <t>A 32277-2021</t>
        </is>
      </c>
      <c r="B134" s="1" t="n">
        <v>44371</v>
      </c>
      <c r="C134" s="1" t="n">
        <v>45156</v>
      </c>
      <c r="D134" t="inlineStr">
        <is>
          <t>STRÖMSUND</t>
        </is>
      </c>
      <c r="E134" t="inlineStr">
        <is>
          <t>SCA</t>
        </is>
      </c>
      <c r="F134" t="n">
        <v>17.6</v>
      </c>
      <c r="G134" t="n">
        <v>0</v>
      </c>
      <c r="H134" t="n">
        <v>0</v>
      </c>
      <c r="I134" t="n">
        <v>3</v>
      </c>
      <c r="J134" t="n">
        <v>1</v>
      </c>
      <c r="K134" t="n">
        <v>0</v>
      </c>
      <c r="L134" t="n">
        <v>0</v>
      </c>
      <c r="M134" t="n">
        <v>0</v>
      </c>
      <c r="N134" t="n">
        <v>4</v>
      </c>
      <c r="O134" t="n">
        <v>1</v>
      </c>
      <c r="P134" t="n">
        <v>4</v>
      </c>
      <c r="Q134">
        <f>HYPERLINK("artfynd\A 32277-2021.xlsx")</f>
        <v/>
      </c>
      <c r="R134">
        <f>HYPERLINK("kartor\A 32277-2021.png")</f>
        <v/>
      </c>
      <c r="T134">
        <f>HYPERLINK("klagomål\A 32277-2021.docx")</f>
        <v/>
      </c>
      <c r="U134">
        <f>HYPERLINK("klagomålsmail\A 32277-2021.docx")</f>
        <v/>
      </c>
      <c r="V134">
        <f>HYPERLINK("tillsyn\A 32277-2021.docx")</f>
        <v/>
      </c>
      <c r="W134">
        <f>HYPERLINK("tillsynsmail\A 32277-2021.docx")</f>
        <v/>
      </c>
    </row>
    <row r="135">
      <c r="A135" t="inlineStr">
        <is>
          <t>A 32968-2021</t>
        </is>
      </c>
      <c r="B135" s="1" t="n">
        <v>44376</v>
      </c>
      <c r="C135" s="1" t="n">
        <v>45156</v>
      </c>
      <c r="D135" t="inlineStr">
        <is>
          <t>STRÖMSUND</t>
        </is>
      </c>
      <c r="E135" t="inlineStr">
        <is>
          <t>SCA</t>
        </is>
      </c>
      <c r="F135" t="n">
        <v>34.3</v>
      </c>
      <c r="G135" t="n">
        <v>1</v>
      </c>
      <c r="H135" t="n">
        <v>0</v>
      </c>
      <c r="I135" t="n">
        <v>4</v>
      </c>
      <c r="J135" t="n">
        <v>0</v>
      </c>
      <c r="K135" t="n">
        <v>0</v>
      </c>
      <c r="L135" t="n">
        <v>0</v>
      </c>
      <c r="M135" t="n">
        <v>0</v>
      </c>
      <c r="N135" t="n">
        <v>4</v>
      </c>
      <c r="O135" t="n">
        <v>0</v>
      </c>
      <c r="P135" t="n">
        <v>4</v>
      </c>
      <c r="Q135">
        <f>HYPERLINK("artfynd\A 32968-2021.xlsx")</f>
        <v/>
      </c>
      <c r="R135">
        <f>HYPERLINK("kartor\A 32968-2021.png")</f>
        <v/>
      </c>
      <c r="T135">
        <f>HYPERLINK("klagomål\A 32968-2021.docx")</f>
        <v/>
      </c>
      <c r="U135">
        <f>HYPERLINK("klagomålsmail\A 32968-2021.docx")</f>
        <v/>
      </c>
      <c r="V135">
        <f>HYPERLINK("tillsyn\A 32968-2021.docx")</f>
        <v/>
      </c>
      <c r="W135">
        <f>HYPERLINK("tillsynsmail\A 32968-2021.docx")</f>
        <v/>
      </c>
    </row>
    <row r="136">
      <c r="A136" t="inlineStr">
        <is>
          <t>A 43845-2021</t>
        </is>
      </c>
      <c r="B136" s="1" t="n">
        <v>44433</v>
      </c>
      <c r="C136" s="1" t="n">
        <v>45156</v>
      </c>
      <c r="D136" t="inlineStr">
        <is>
          <t>STRÖMSUND</t>
        </is>
      </c>
      <c r="E136" t="inlineStr">
        <is>
          <t>SCA</t>
        </is>
      </c>
      <c r="F136" t="n">
        <v>39.5</v>
      </c>
      <c r="G136" t="n">
        <v>1</v>
      </c>
      <c r="H136" t="n">
        <v>1</v>
      </c>
      <c r="I136" t="n">
        <v>2</v>
      </c>
      <c r="J136" t="n">
        <v>1</v>
      </c>
      <c r="K136" t="n">
        <v>0</v>
      </c>
      <c r="L136" t="n">
        <v>0</v>
      </c>
      <c r="M136" t="n">
        <v>0</v>
      </c>
      <c r="N136" t="n">
        <v>3</v>
      </c>
      <c r="O136" t="n">
        <v>1</v>
      </c>
      <c r="P136" t="n">
        <v>4</v>
      </c>
      <c r="Q136">
        <f>HYPERLINK("artfynd\A 43845-2021.xlsx")</f>
        <v/>
      </c>
      <c r="R136">
        <f>HYPERLINK("kartor\A 43845-2021.png")</f>
        <v/>
      </c>
      <c r="T136">
        <f>HYPERLINK("klagomål\A 43845-2021.docx")</f>
        <v/>
      </c>
      <c r="U136">
        <f>HYPERLINK("klagomålsmail\A 43845-2021.docx")</f>
        <v/>
      </c>
      <c r="V136">
        <f>HYPERLINK("tillsyn\A 43845-2021.docx")</f>
        <v/>
      </c>
      <c r="W136">
        <f>HYPERLINK("tillsynsmail\A 43845-2021.docx")</f>
        <v/>
      </c>
    </row>
    <row r="137">
      <c r="A137" t="inlineStr">
        <is>
          <t>A 44601-2021</t>
        </is>
      </c>
      <c r="B137" s="1" t="n">
        <v>44435</v>
      </c>
      <c r="C137" s="1" t="n">
        <v>45156</v>
      </c>
      <c r="D137" t="inlineStr">
        <is>
          <t>STRÖMSUND</t>
        </is>
      </c>
      <c r="E137" t="inlineStr">
        <is>
          <t>SCA</t>
        </is>
      </c>
      <c r="F137" t="n">
        <v>10.7</v>
      </c>
      <c r="G137" t="n">
        <v>0</v>
      </c>
      <c r="H137" t="n">
        <v>1</v>
      </c>
      <c r="I137" t="n">
        <v>3</v>
      </c>
      <c r="J137" t="n">
        <v>0</v>
      </c>
      <c r="K137" t="n">
        <v>0</v>
      </c>
      <c r="L137" t="n">
        <v>0</v>
      </c>
      <c r="M137" t="n">
        <v>0</v>
      </c>
      <c r="N137" t="n">
        <v>3</v>
      </c>
      <c r="O137" t="n">
        <v>0</v>
      </c>
      <c r="P137" t="n">
        <v>4</v>
      </c>
      <c r="Q137">
        <f>HYPERLINK("artfynd\A 44601-2021.xlsx")</f>
        <v/>
      </c>
      <c r="R137">
        <f>HYPERLINK("kartor\A 44601-2021.png")</f>
        <v/>
      </c>
      <c r="T137">
        <f>HYPERLINK("klagomål\A 44601-2021.docx")</f>
        <v/>
      </c>
      <c r="U137">
        <f>HYPERLINK("klagomålsmail\A 44601-2021.docx")</f>
        <v/>
      </c>
      <c r="V137">
        <f>HYPERLINK("tillsyn\A 44601-2021.docx")</f>
        <v/>
      </c>
      <c r="W137">
        <f>HYPERLINK("tillsynsmail\A 44601-2021.docx")</f>
        <v/>
      </c>
    </row>
    <row r="138">
      <c r="A138" t="inlineStr">
        <is>
          <t>A 44773-2021</t>
        </is>
      </c>
      <c r="B138" s="1" t="n">
        <v>44438</v>
      </c>
      <c r="C138" s="1" t="n">
        <v>45156</v>
      </c>
      <c r="D138" t="inlineStr">
        <is>
          <t>STRÖMSUND</t>
        </is>
      </c>
      <c r="F138" t="n">
        <v>12.3</v>
      </c>
      <c r="G138" t="n">
        <v>0</v>
      </c>
      <c r="H138" t="n">
        <v>1</v>
      </c>
      <c r="I138" t="n">
        <v>2</v>
      </c>
      <c r="J138" t="n">
        <v>1</v>
      </c>
      <c r="K138" t="n">
        <v>0</v>
      </c>
      <c r="L138" t="n">
        <v>0</v>
      </c>
      <c r="M138" t="n">
        <v>0</v>
      </c>
      <c r="N138" t="n">
        <v>3</v>
      </c>
      <c r="O138" t="n">
        <v>1</v>
      </c>
      <c r="P138" t="n">
        <v>4</v>
      </c>
      <c r="Q138">
        <f>HYPERLINK("artfynd\A 44773-2021.xlsx")</f>
        <v/>
      </c>
      <c r="R138">
        <f>HYPERLINK("kartor\A 44773-2021.png")</f>
        <v/>
      </c>
      <c r="T138">
        <f>HYPERLINK("klagomål\A 44773-2021.docx")</f>
        <v/>
      </c>
      <c r="U138">
        <f>HYPERLINK("klagomålsmail\A 44773-2021.docx")</f>
        <v/>
      </c>
      <c r="V138">
        <f>HYPERLINK("tillsyn\A 44773-2021.docx")</f>
        <v/>
      </c>
      <c r="W138">
        <f>HYPERLINK("tillsynsmail\A 44773-2021.docx")</f>
        <v/>
      </c>
    </row>
    <row r="139">
      <c r="A139" t="inlineStr">
        <is>
          <t>A 61440-2021</t>
        </is>
      </c>
      <c r="B139" s="1" t="n">
        <v>44500</v>
      </c>
      <c r="C139" s="1" t="n">
        <v>45156</v>
      </c>
      <c r="D139" t="inlineStr">
        <is>
          <t>STRÖMSUND</t>
        </is>
      </c>
      <c r="E139" t="inlineStr">
        <is>
          <t>SCA</t>
        </is>
      </c>
      <c r="F139" t="n">
        <v>4.1</v>
      </c>
      <c r="G139" t="n">
        <v>0</v>
      </c>
      <c r="H139" t="n">
        <v>0</v>
      </c>
      <c r="I139" t="n">
        <v>4</v>
      </c>
      <c r="J139" t="n">
        <v>0</v>
      </c>
      <c r="K139" t="n">
        <v>0</v>
      </c>
      <c r="L139" t="n">
        <v>0</v>
      </c>
      <c r="M139" t="n">
        <v>0</v>
      </c>
      <c r="N139" t="n">
        <v>4</v>
      </c>
      <c r="O139" t="n">
        <v>0</v>
      </c>
      <c r="P139" t="n">
        <v>4</v>
      </c>
      <c r="Q139">
        <f>HYPERLINK("artfynd\A 61440-2021.xlsx")</f>
        <v/>
      </c>
      <c r="R139">
        <f>HYPERLINK("kartor\A 61440-2021.png")</f>
        <v/>
      </c>
      <c r="T139">
        <f>HYPERLINK("klagomål\A 61440-2021.docx")</f>
        <v/>
      </c>
      <c r="U139">
        <f>HYPERLINK("klagomålsmail\A 61440-2021.docx")</f>
        <v/>
      </c>
      <c r="V139">
        <f>HYPERLINK("tillsyn\A 61440-2021.docx")</f>
        <v/>
      </c>
      <c r="W139">
        <f>HYPERLINK("tillsynsmail\A 61440-2021.docx")</f>
        <v/>
      </c>
    </row>
    <row r="140">
      <c r="A140" t="inlineStr">
        <is>
          <t>A 3540-2022</t>
        </is>
      </c>
      <c r="B140" s="1" t="n">
        <v>44585</v>
      </c>
      <c r="C140" s="1" t="n">
        <v>45156</v>
      </c>
      <c r="D140" t="inlineStr">
        <is>
          <t>STRÖMSUND</t>
        </is>
      </c>
      <c r="E140" t="inlineStr">
        <is>
          <t>SCA</t>
        </is>
      </c>
      <c r="F140" t="n">
        <v>10.3</v>
      </c>
      <c r="G140" t="n">
        <v>0</v>
      </c>
      <c r="H140" t="n">
        <v>0</v>
      </c>
      <c r="I140" t="n">
        <v>3</v>
      </c>
      <c r="J140" t="n">
        <v>1</v>
      </c>
      <c r="K140" t="n">
        <v>0</v>
      </c>
      <c r="L140" t="n">
        <v>0</v>
      </c>
      <c r="M140" t="n">
        <v>0</v>
      </c>
      <c r="N140" t="n">
        <v>4</v>
      </c>
      <c r="O140" t="n">
        <v>1</v>
      </c>
      <c r="P140" t="n">
        <v>4</v>
      </c>
      <c r="Q140">
        <f>HYPERLINK("artfynd\A 3540-2022.xlsx")</f>
        <v/>
      </c>
      <c r="R140">
        <f>HYPERLINK("kartor\A 3540-2022.png")</f>
        <v/>
      </c>
      <c r="T140">
        <f>HYPERLINK("klagomål\A 3540-2022.docx")</f>
        <v/>
      </c>
      <c r="U140">
        <f>HYPERLINK("klagomålsmail\A 3540-2022.docx")</f>
        <v/>
      </c>
      <c r="V140">
        <f>HYPERLINK("tillsyn\A 3540-2022.docx")</f>
        <v/>
      </c>
      <c r="W140">
        <f>HYPERLINK("tillsynsmail\A 3540-2022.docx")</f>
        <v/>
      </c>
    </row>
    <row r="141">
      <c r="A141" t="inlineStr">
        <is>
          <t>A 6334-2022</t>
        </is>
      </c>
      <c r="B141" s="1" t="n">
        <v>44600</v>
      </c>
      <c r="C141" s="1" t="n">
        <v>45156</v>
      </c>
      <c r="D141" t="inlineStr">
        <is>
          <t>STRÖMSUND</t>
        </is>
      </c>
      <c r="F141" t="n">
        <v>16.7</v>
      </c>
      <c r="G141" t="n">
        <v>0</v>
      </c>
      <c r="H141" t="n">
        <v>1</v>
      </c>
      <c r="I141" t="n">
        <v>3</v>
      </c>
      <c r="J141" t="n">
        <v>0</v>
      </c>
      <c r="K141" t="n">
        <v>0</v>
      </c>
      <c r="L141" t="n">
        <v>0</v>
      </c>
      <c r="M141" t="n">
        <v>0</v>
      </c>
      <c r="N141" t="n">
        <v>3</v>
      </c>
      <c r="O141" t="n">
        <v>0</v>
      </c>
      <c r="P141" t="n">
        <v>4</v>
      </c>
      <c r="Q141">
        <f>HYPERLINK("artfynd\A 6334-2022.xlsx")</f>
        <v/>
      </c>
      <c r="R141">
        <f>HYPERLINK("kartor\A 6334-2022.png")</f>
        <v/>
      </c>
      <c r="T141">
        <f>HYPERLINK("klagomål\A 6334-2022.docx")</f>
        <v/>
      </c>
      <c r="U141">
        <f>HYPERLINK("klagomålsmail\A 6334-2022.docx")</f>
        <v/>
      </c>
      <c r="V141">
        <f>HYPERLINK("tillsyn\A 6334-2022.docx")</f>
        <v/>
      </c>
      <c r="W141">
        <f>HYPERLINK("tillsynsmail\A 6334-2022.docx")</f>
        <v/>
      </c>
    </row>
    <row r="142">
      <c r="A142" t="inlineStr">
        <is>
          <t>A 12018-2022</t>
        </is>
      </c>
      <c r="B142" s="1" t="n">
        <v>44635</v>
      </c>
      <c r="C142" s="1" t="n">
        <v>45156</v>
      </c>
      <c r="D142" t="inlineStr">
        <is>
          <t>STRÖMSUND</t>
        </is>
      </c>
      <c r="E142" t="inlineStr">
        <is>
          <t>SCA</t>
        </is>
      </c>
      <c r="F142" t="n">
        <v>2.5</v>
      </c>
      <c r="G142" t="n">
        <v>1</v>
      </c>
      <c r="H142" t="n">
        <v>1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2</v>
      </c>
      <c r="O142" t="n">
        <v>0</v>
      </c>
      <c r="P142" t="n">
        <v>4</v>
      </c>
      <c r="Q142">
        <f>HYPERLINK("artfynd\A 12018-2022.xlsx")</f>
        <v/>
      </c>
      <c r="R142">
        <f>HYPERLINK("kartor\A 12018-2022.png")</f>
        <v/>
      </c>
      <c r="T142">
        <f>HYPERLINK("klagomål\A 12018-2022.docx")</f>
        <v/>
      </c>
      <c r="U142">
        <f>HYPERLINK("klagomålsmail\A 12018-2022.docx")</f>
        <v/>
      </c>
      <c r="V142">
        <f>HYPERLINK("tillsyn\A 12018-2022.docx")</f>
        <v/>
      </c>
      <c r="W142">
        <f>HYPERLINK("tillsynsmail\A 12018-2022.docx")</f>
        <v/>
      </c>
    </row>
    <row r="143">
      <c r="A143" t="inlineStr">
        <is>
          <t>A 12019-2022</t>
        </is>
      </c>
      <c r="B143" s="1" t="n">
        <v>44635</v>
      </c>
      <c r="C143" s="1" t="n">
        <v>45156</v>
      </c>
      <c r="D143" t="inlineStr">
        <is>
          <t>STRÖMSUND</t>
        </is>
      </c>
      <c r="E143" t="inlineStr">
        <is>
          <t>SCA</t>
        </is>
      </c>
      <c r="F143" t="n">
        <v>3.1</v>
      </c>
      <c r="G143" t="n">
        <v>1</v>
      </c>
      <c r="H143" t="n">
        <v>1</v>
      </c>
      <c r="I143" t="n">
        <v>2</v>
      </c>
      <c r="J143" t="n">
        <v>0</v>
      </c>
      <c r="K143" t="n">
        <v>0</v>
      </c>
      <c r="L143" t="n">
        <v>0</v>
      </c>
      <c r="M143" t="n">
        <v>0</v>
      </c>
      <c r="N143" t="n">
        <v>2</v>
      </c>
      <c r="O143" t="n">
        <v>0</v>
      </c>
      <c r="P143" t="n">
        <v>4</v>
      </c>
      <c r="Q143">
        <f>HYPERLINK("artfynd\A 12019-2022.xlsx")</f>
        <v/>
      </c>
      <c r="R143">
        <f>HYPERLINK("kartor\A 12019-2022.png")</f>
        <v/>
      </c>
      <c r="T143">
        <f>HYPERLINK("klagomål\A 12019-2022.docx")</f>
        <v/>
      </c>
      <c r="U143">
        <f>HYPERLINK("klagomålsmail\A 12019-2022.docx")</f>
        <v/>
      </c>
      <c r="V143">
        <f>HYPERLINK("tillsyn\A 12019-2022.docx")</f>
        <v/>
      </c>
      <c r="W143">
        <f>HYPERLINK("tillsynsmail\A 12019-2022.docx")</f>
        <v/>
      </c>
    </row>
    <row r="144">
      <c r="A144" t="inlineStr">
        <is>
          <t>A 14290-2022</t>
        </is>
      </c>
      <c r="B144" s="1" t="n">
        <v>44651</v>
      </c>
      <c r="C144" s="1" t="n">
        <v>45156</v>
      </c>
      <c r="D144" t="inlineStr">
        <is>
          <t>STRÖMSUND</t>
        </is>
      </c>
      <c r="E144" t="inlineStr">
        <is>
          <t>SCA</t>
        </is>
      </c>
      <c r="F144" t="n">
        <v>0.3</v>
      </c>
      <c r="G144" t="n">
        <v>1</v>
      </c>
      <c r="H144" t="n">
        <v>0</v>
      </c>
      <c r="I144" t="n">
        <v>3</v>
      </c>
      <c r="J144" t="n">
        <v>1</v>
      </c>
      <c r="K144" t="n">
        <v>0</v>
      </c>
      <c r="L144" t="n">
        <v>0</v>
      </c>
      <c r="M144" t="n">
        <v>0</v>
      </c>
      <c r="N144" t="n">
        <v>4</v>
      </c>
      <c r="O144" t="n">
        <v>1</v>
      </c>
      <c r="P144" t="n">
        <v>4</v>
      </c>
      <c r="Q144">
        <f>HYPERLINK("artfynd\A 14290-2022.xlsx")</f>
        <v/>
      </c>
      <c r="R144">
        <f>HYPERLINK("kartor\A 14290-2022.png")</f>
        <v/>
      </c>
      <c r="S144">
        <f>HYPERLINK("knärot\A 14290-2022.png")</f>
        <v/>
      </c>
      <c r="T144">
        <f>HYPERLINK("klagomål\A 14290-2022.docx")</f>
        <v/>
      </c>
      <c r="U144">
        <f>HYPERLINK("klagomålsmail\A 14290-2022.docx")</f>
        <v/>
      </c>
      <c r="V144">
        <f>HYPERLINK("tillsyn\A 14290-2022.docx")</f>
        <v/>
      </c>
      <c r="W144">
        <f>HYPERLINK("tillsynsmail\A 14290-2022.docx")</f>
        <v/>
      </c>
    </row>
    <row r="145">
      <c r="A145" t="inlineStr">
        <is>
          <t>A 27569-2022</t>
        </is>
      </c>
      <c r="B145" s="1" t="n">
        <v>44742</v>
      </c>
      <c r="C145" s="1" t="n">
        <v>45156</v>
      </c>
      <c r="D145" t="inlineStr">
        <is>
          <t>STRÖMSUND</t>
        </is>
      </c>
      <c r="E145" t="inlineStr">
        <is>
          <t>SCA</t>
        </is>
      </c>
      <c r="F145" t="n">
        <v>7.2</v>
      </c>
      <c r="G145" t="n">
        <v>0</v>
      </c>
      <c r="H145" t="n">
        <v>2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2</v>
      </c>
      <c r="O145" t="n">
        <v>0</v>
      </c>
      <c r="P145" t="n">
        <v>4</v>
      </c>
      <c r="Q145">
        <f>HYPERLINK("artfynd\A 27569-2022.xlsx")</f>
        <v/>
      </c>
      <c r="R145">
        <f>HYPERLINK("kartor\A 27569-2022.png")</f>
        <v/>
      </c>
      <c r="T145">
        <f>HYPERLINK("klagomål\A 27569-2022.docx")</f>
        <v/>
      </c>
      <c r="U145">
        <f>HYPERLINK("klagomålsmail\A 27569-2022.docx")</f>
        <v/>
      </c>
      <c r="V145">
        <f>HYPERLINK("tillsyn\A 27569-2022.docx")</f>
        <v/>
      </c>
      <c r="W145">
        <f>HYPERLINK("tillsynsmail\A 27569-2022.docx")</f>
        <v/>
      </c>
    </row>
    <row r="146">
      <c r="A146" t="inlineStr">
        <is>
          <t>A 29302-2022</t>
        </is>
      </c>
      <c r="B146" s="1" t="n">
        <v>44750</v>
      </c>
      <c r="C146" s="1" t="n">
        <v>45156</v>
      </c>
      <c r="D146" t="inlineStr">
        <is>
          <t>STRÖMSUND</t>
        </is>
      </c>
      <c r="E146" t="inlineStr">
        <is>
          <t>SCA</t>
        </is>
      </c>
      <c r="F146" t="n">
        <v>1.9</v>
      </c>
      <c r="G146" t="n">
        <v>0</v>
      </c>
      <c r="H146" t="n">
        <v>1</v>
      </c>
      <c r="I146" t="n">
        <v>2</v>
      </c>
      <c r="J146" t="n">
        <v>1</v>
      </c>
      <c r="K146" t="n">
        <v>0</v>
      </c>
      <c r="L146" t="n">
        <v>0</v>
      </c>
      <c r="M146" t="n">
        <v>0</v>
      </c>
      <c r="N146" t="n">
        <v>3</v>
      </c>
      <c r="O146" t="n">
        <v>1</v>
      </c>
      <c r="P146" t="n">
        <v>4</v>
      </c>
      <c r="Q146">
        <f>HYPERLINK("artfynd\A 29302-2022.xlsx")</f>
        <v/>
      </c>
      <c r="R146">
        <f>HYPERLINK("kartor\A 29302-2022.png")</f>
        <v/>
      </c>
      <c r="T146">
        <f>HYPERLINK("klagomål\A 29302-2022.docx")</f>
        <v/>
      </c>
      <c r="U146">
        <f>HYPERLINK("klagomålsmail\A 29302-2022.docx")</f>
        <v/>
      </c>
      <c r="V146">
        <f>HYPERLINK("tillsyn\A 29302-2022.docx")</f>
        <v/>
      </c>
      <c r="W146">
        <f>HYPERLINK("tillsynsmail\A 29302-2022.docx")</f>
        <v/>
      </c>
    </row>
    <row r="147">
      <c r="A147" t="inlineStr">
        <is>
          <t>A 29550-2022</t>
        </is>
      </c>
      <c r="B147" s="1" t="n">
        <v>44754</v>
      </c>
      <c r="C147" s="1" t="n">
        <v>45156</v>
      </c>
      <c r="D147" t="inlineStr">
        <is>
          <t>STRÖMSUND</t>
        </is>
      </c>
      <c r="E147" t="inlineStr">
        <is>
          <t>Holmen skog AB</t>
        </is>
      </c>
      <c r="F147" t="n">
        <v>1.8</v>
      </c>
      <c r="G147" t="n">
        <v>3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2</v>
      </c>
      <c r="O147" t="n">
        <v>0</v>
      </c>
      <c r="P147" t="n">
        <v>4</v>
      </c>
      <c r="Q147">
        <f>HYPERLINK("artfynd\A 29550-2022.xlsx")</f>
        <v/>
      </c>
      <c r="R147">
        <f>HYPERLINK("kartor\A 29550-2022.png")</f>
        <v/>
      </c>
      <c r="T147">
        <f>HYPERLINK("klagomål\A 29550-2022.docx")</f>
        <v/>
      </c>
      <c r="U147">
        <f>HYPERLINK("klagomålsmail\A 29550-2022.docx")</f>
        <v/>
      </c>
      <c r="V147">
        <f>HYPERLINK("tillsyn\A 29550-2022.docx")</f>
        <v/>
      </c>
      <c r="W147">
        <f>HYPERLINK("tillsynsmail\A 29550-2022.docx")</f>
        <v/>
      </c>
    </row>
    <row r="148">
      <c r="A148" t="inlineStr">
        <is>
          <t>A 30035-2022</t>
        </is>
      </c>
      <c r="B148" s="1" t="n">
        <v>44756</v>
      </c>
      <c r="C148" s="1" t="n">
        <v>45156</v>
      </c>
      <c r="D148" t="inlineStr">
        <is>
          <t>STRÖMSUND</t>
        </is>
      </c>
      <c r="E148" t="inlineStr">
        <is>
          <t>SCA</t>
        </is>
      </c>
      <c r="F148" t="n">
        <v>6.2</v>
      </c>
      <c r="G148" t="n">
        <v>0</v>
      </c>
      <c r="H148" t="n">
        <v>1</v>
      </c>
      <c r="I148" t="n">
        <v>2</v>
      </c>
      <c r="J148" t="n">
        <v>1</v>
      </c>
      <c r="K148" t="n">
        <v>0</v>
      </c>
      <c r="L148" t="n">
        <v>0</v>
      </c>
      <c r="M148" t="n">
        <v>0</v>
      </c>
      <c r="N148" t="n">
        <v>3</v>
      </c>
      <c r="O148" t="n">
        <v>1</v>
      </c>
      <c r="P148" t="n">
        <v>4</v>
      </c>
      <c r="Q148">
        <f>HYPERLINK("artfynd\A 30035-2022.xlsx")</f>
        <v/>
      </c>
      <c r="R148">
        <f>HYPERLINK("kartor\A 30035-2022.png")</f>
        <v/>
      </c>
      <c r="T148">
        <f>HYPERLINK("klagomål\A 30035-2022.docx")</f>
        <v/>
      </c>
      <c r="U148">
        <f>HYPERLINK("klagomålsmail\A 30035-2022.docx")</f>
        <v/>
      </c>
      <c r="V148">
        <f>HYPERLINK("tillsyn\A 30035-2022.docx")</f>
        <v/>
      </c>
      <c r="W148">
        <f>HYPERLINK("tillsynsmail\A 30035-2022.docx")</f>
        <v/>
      </c>
    </row>
    <row r="149">
      <c r="A149" t="inlineStr">
        <is>
          <t>A 30228-2022</t>
        </is>
      </c>
      <c r="B149" s="1" t="n">
        <v>44757</v>
      </c>
      <c r="C149" s="1" t="n">
        <v>45156</v>
      </c>
      <c r="D149" t="inlineStr">
        <is>
          <t>STRÖMSUND</t>
        </is>
      </c>
      <c r="E149" t="inlineStr">
        <is>
          <t>SCA</t>
        </is>
      </c>
      <c r="F149" t="n">
        <v>12</v>
      </c>
      <c r="G149" t="n">
        <v>0</v>
      </c>
      <c r="H149" t="n">
        <v>2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2</v>
      </c>
      <c r="O149" t="n">
        <v>0</v>
      </c>
      <c r="P149" t="n">
        <v>4</v>
      </c>
      <c r="Q149">
        <f>HYPERLINK("artfynd\A 30228-2022.xlsx")</f>
        <v/>
      </c>
      <c r="R149">
        <f>HYPERLINK("kartor\A 30228-2022.png")</f>
        <v/>
      </c>
      <c r="T149">
        <f>HYPERLINK("klagomål\A 30228-2022.docx")</f>
        <v/>
      </c>
      <c r="U149">
        <f>HYPERLINK("klagomålsmail\A 30228-2022.docx")</f>
        <v/>
      </c>
      <c r="V149">
        <f>HYPERLINK("tillsyn\A 30228-2022.docx")</f>
        <v/>
      </c>
      <c r="W149">
        <f>HYPERLINK("tillsynsmail\A 30228-2022.docx")</f>
        <v/>
      </c>
    </row>
    <row r="150">
      <c r="A150" t="inlineStr">
        <is>
          <t>A 41492-2022</t>
        </is>
      </c>
      <c r="B150" s="1" t="n">
        <v>44826</v>
      </c>
      <c r="C150" s="1" t="n">
        <v>45156</v>
      </c>
      <c r="D150" t="inlineStr">
        <is>
          <t>STRÖMSUND</t>
        </is>
      </c>
      <c r="E150" t="inlineStr">
        <is>
          <t>SCA</t>
        </is>
      </c>
      <c r="F150" t="n">
        <v>6.2</v>
      </c>
      <c r="G150" t="n">
        <v>1</v>
      </c>
      <c r="H150" t="n">
        <v>0</v>
      </c>
      <c r="I150" t="n">
        <v>4</v>
      </c>
      <c r="J150" t="n">
        <v>0</v>
      </c>
      <c r="K150" t="n">
        <v>0</v>
      </c>
      <c r="L150" t="n">
        <v>0</v>
      </c>
      <c r="M150" t="n">
        <v>0</v>
      </c>
      <c r="N150" t="n">
        <v>4</v>
      </c>
      <c r="O150" t="n">
        <v>0</v>
      </c>
      <c r="P150" t="n">
        <v>4</v>
      </c>
      <c r="Q150">
        <f>HYPERLINK("artfynd\A 41492-2022.xlsx")</f>
        <v/>
      </c>
      <c r="R150">
        <f>HYPERLINK("kartor\A 41492-2022.png")</f>
        <v/>
      </c>
      <c r="T150">
        <f>HYPERLINK("klagomål\A 41492-2022.docx")</f>
        <v/>
      </c>
      <c r="U150">
        <f>HYPERLINK("klagomålsmail\A 41492-2022.docx")</f>
        <v/>
      </c>
      <c r="V150">
        <f>HYPERLINK("tillsyn\A 41492-2022.docx")</f>
        <v/>
      </c>
      <c r="W150">
        <f>HYPERLINK("tillsynsmail\A 41492-2022.docx")</f>
        <v/>
      </c>
    </row>
    <row r="151">
      <c r="A151" t="inlineStr">
        <is>
          <t>A 41493-2022</t>
        </is>
      </c>
      <c r="B151" s="1" t="n">
        <v>44826</v>
      </c>
      <c r="C151" s="1" t="n">
        <v>45156</v>
      </c>
      <c r="D151" t="inlineStr">
        <is>
          <t>STRÖMSUND</t>
        </is>
      </c>
      <c r="E151" t="inlineStr">
        <is>
          <t>SCA</t>
        </is>
      </c>
      <c r="F151" t="n">
        <v>10.7</v>
      </c>
      <c r="G151" t="n">
        <v>1</v>
      </c>
      <c r="H151" t="n">
        <v>0</v>
      </c>
      <c r="I151" t="n">
        <v>3</v>
      </c>
      <c r="J151" t="n">
        <v>1</v>
      </c>
      <c r="K151" t="n">
        <v>0</v>
      </c>
      <c r="L151" t="n">
        <v>0</v>
      </c>
      <c r="M151" t="n">
        <v>0</v>
      </c>
      <c r="N151" t="n">
        <v>4</v>
      </c>
      <c r="O151" t="n">
        <v>1</v>
      </c>
      <c r="P151" t="n">
        <v>4</v>
      </c>
      <c r="Q151">
        <f>HYPERLINK("artfynd\A 41493-2022.xlsx")</f>
        <v/>
      </c>
      <c r="R151">
        <f>HYPERLINK("kartor\A 41493-2022.png")</f>
        <v/>
      </c>
      <c r="T151">
        <f>HYPERLINK("klagomål\A 41493-2022.docx")</f>
        <v/>
      </c>
      <c r="U151">
        <f>HYPERLINK("klagomålsmail\A 41493-2022.docx")</f>
        <v/>
      </c>
      <c r="V151">
        <f>HYPERLINK("tillsyn\A 41493-2022.docx")</f>
        <v/>
      </c>
      <c r="W151">
        <f>HYPERLINK("tillsynsmail\A 41493-2022.docx")</f>
        <v/>
      </c>
    </row>
    <row r="152">
      <c r="A152" t="inlineStr">
        <is>
          <t>A 42806-2022</t>
        </is>
      </c>
      <c r="B152" s="1" t="n">
        <v>44832</v>
      </c>
      <c r="C152" s="1" t="n">
        <v>45156</v>
      </c>
      <c r="D152" t="inlineStr">
        <is>
          <t>STRÖMSUND</t>
        </is>
      </c>
      <c r="F152" t="n">
        <v>4.9</v>
      </c>
      <c r="G152" t="n">
        <v>0</v>
      </c>
      <c r="H152" t="n">
        <v>3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1</v>
      </c>
      <c r="O152" t="n">
        <v>1</v>
      </c>
      <c r="P152" t="n">
        <v>4</v>
      </c>
      <c r="Q152">
        <f>HYPERLINK("artfynd\A 42806-2022.xlsx")</f>
        <v/>
      </c>
      <c r="R152">
        <f>HYPERLINK("kartor\A 42806-2022.png")</f>
        <v/>
      </c>
      <c r="T152">
        <f>HYPERLINK("klagomål\A 42806-2022.docx")</f>
        <v/>
      </c>
      <c r="U152">
        <f>HYPERLINK("klagomålsmail\A 42806-2022.docx")</f>
        <v/>
      </c>
      <c r="V152">
        <f>HYPERLINK("tillsyn\A 42806-2022.docx")</f>
        <v/>
      </c>
      <c r="W152">
        <f>HYPERLINK("tillsynsmail\A 42806-2022.docx")</f>
        <v/>
      </c>
    </row>
    <row r="153">
      <c r="A153" t="inlineStr">
        <is>
          <t>A 42790-2022</t>
        </is>
      </c>
      <c r="B153" s="1" t="n">
        <v>44832</v>
      </c>
      <c r="C153" s="1" t="n">
        <v>45156</v>
      </c>
      <c r="D153" t="inlineStr">
        <is>
          <t>STRÖMSUND</t>
        </is>
      </c>
      <c r="F153" t="n">
        <v>2.5</v>
      </c>
      <c r="G153" t="n">
        <v>0</v>
      </c>
      <c r="H153" t="n">
        <v>3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1</v>
      </c>
      <c r="O153" t="n">
        <v>1</v>
      </c>
      <c r="P153" t="n">
        <v>4</v>
      </c>
      <c r="Q153">
        <f>HYPERLINK("artfynd\A 42790-2022.xlsx")</f>
        <v/>
      </c>
      <c r="R153">
        <f>HYPERLINK("kartor\A 42790-2022.png")</f>
        <v/>
      </c>
      <c r="T153">
        <f>HYPERLINK("klagomål\A 42790-2022.docx")</f>
        <v/>
      </c>
      <c r="U153">
        <f>HYPERLINK("klagomålsmail\A 42790-2022.docx")</f>
        <v/>
      </c>
      <c r="V153">
        <f>HYPERLINK("tillsyn\A 42790-2022.docx")</f>
        <v/>
      </c>
      <c r="W153">
        <f>HYPERLINK("tillsynsmail\A 42790-2022.docx")</f>
        <v/>
      </c>
    </row>
    <row r="154">
      <c r="A154" t="inlineStr">
        <is>
          <t>A 46621-2022</t>
        </is>
      </c>
      <c r="B154" s="1" t="n">
        <v>44848</v>
      </c>
      <c r="C154" s="1" t="n">
        <v>45156</v>
      </c>
      <c r="D154" t="inlineStr">
        <is>
          <t>STRÖMSUND</t>
        </is>
      </c>
      <c r="E154" t="inlineStr">
        <is>
          <t>SCA</t>
        </is>
      </c>
      <c r="F154" t="n">
        <v>6.8</v>
      </c>
      <c r="G154" t="n">
        <v>0</v>
      </c>
      <c r="H154" t="n">
        <v>0</v>
      </c>
      <c r="I154" t="n">
        <v>4</v>
      </c>
      <c r="J154" t="n">
        <v>0</v>
      </c>
      <c r="K154" t="n">
        <v>0</v>
      </c>
      <c r="L154" t="n">
        <v>0</v>
      </c>
      <c r="M154" t="n">
        <v>0</v>
      </c>
      <c r="N154" t="n">
        <v>4</v>
      </c>
      <c r="O154" t="n">
        <v>0</v>
      </c>
      <c r="P154" t="n">
        <v>4</v>
      </c>
      <c r="Q154">
        <f>HYPERLINK("artfynd\A 46621-2022.xlsx")</f>
        <v/>
      </c>
      <c r="R154">
        <f>HYPERLINK("kartor\A 46621-2022.png")</f>
        <v/>
      </c>
      <c r="T154">
        <f>HYPERLINK("klagomål\A 46621-2022.docx")</f>
        <v/>
      </c>
      <c r="U154">
        <f>HYPERLINK("klagomålsmail\A 46621-2022.docx")</f>
        <v/>
      </c>
      <c r="V154">
        <f>HYPERLINK("tillsyn\A 46621-2022.docx")</f>
        <v/>
      </c>
      <c r="W154">
        <f>HYPERLINK("tillsynsmail\A 46621-2022.docx")</f>
        <v/>
      </c>
    </row>
    <row r="155">
      <c r="A155" t="inlineStr">
        <is>
          <t>A 57279-2022</t>
        </is>
      </c>
      <c r="B155" s="1" t="n">
        <v>44895</v>
      </c>
      <c r="C155" s="1" t="n">
        <v>45156</v>
      </c>
      <c r="D155" t="inlineStr">
        <is>
          <t>STRÖMSUND</t>
        </is>
      </c>
      <c r="E155" t="inlineStr">
        <is>
          <t>SCA</t>
        </is>
      </c>
      <c r="F155" t="n">
        <v>11</v>
      </c>
      <c r="G155" t="n">
        <v>0</v>
      </c>
      <c r="H155" t="n">
        <v>0</v>
      </c>
      <c r="I155" t="n">
        <v>3</v>
      </c>
      <c r="J155" t="n">
        <v>1</v>
      </c>
      <c r="K155" t="n">
        <v>0</v>
      </c>
      <c r="L155" t="n">
        <v>0</v>
      </c>
      <c r="M155" t="n">
        <v>0</v>
      </c>
      <c r="N155" t="n">
        <v>4</v>
      </c>
      <c r="O155" t="n">
        <v>1</v>
      </c>
      <c r="P155" t="n">
        <v>4</v>
      </c>
      <c r="Q155">
        <f>HYPERLINK("artfynd\A 57279-2022.xlsx")</f>
        <v/>
      </c>
      <c r="R155">
        <f>HYPERLINK("kartor\A 57279-2022.png")</f>
        <v/>
      </c>
      <c r="T155">
        <f>HYPERLINK("klagomål\A 57279-2022.docx")</f>
        <v/>
      </c>
      <c r="U155">
        <f>HYPERLINK("klagomålsmail\A 57279-2022.docx")</f>
        <v/>
      </c>
      <c r="V155">
        <f>HYPERLINK("tillsyn\A 57279-2022.docx")</f>
        <v/>
      </c>
      <c r="W155">
        <f>HYPERLINK("tillsynsmail\A 57279-2022.docx")</f>
        <v/>
      </c>
    </row>
    <row r="156">
      <c r="A156" t="inlineStr">
        <is>
          <t>A 1187-2023</t>
        </is>
      </c>
      <c r="B156" s="1" t="n">
        <v>44930</v>
      </c>
      <c r="C156" s="1" t="n">
        <v>45156</v>
      </c>
      <c r="D156" t="inlineStr">
        <is>
          <t>STRÖMSUND</t>
        </is>
      </c>
      <c r="F156" t="n">
        <v>11.5</v>
      </c>
      <c r="G156" t="n">
        <v>1</v>
      </c>
      <c r="H156" t="n">
        <v>1</v>
      </c>
      <c r="I156" t="n">
        <v>3</v>
      </c>
      <c r="J156" t="n">
        <v>0</v>
      </c>
      <c r="K156" t="n">
        <v>0</v>
      </c>
      <c r="L156" t="n">
        <v>0</v>
      </c>
      <c r="M156" t="n">
        <v>0</v>
      </c>
      <c r="N156" t="n">
        <v>3</v>
      </c>
      <c r="O156" t="n">
        <v>0</v>
      </c>
      <c r="P156" t="n">
        <v>4</v>
      </c>
      <c r="Q156">
        <f>HYPERLINK("artfynd\A 1187-2023.xlsx")</f>
        <v/>
      </c>
      <c r="R156">
        <f>HYPERLINK("kartor\A 1187-2023.png")</f>
        <v/>
      </c>
      <c r="T156">
        <f>HYPERLINK("klagomål\A 1187-2023.docx")</f>
        <v/>
      </c>
      <c r="U156">
        <f>HYPERLINK("klagomålsmail\A 1187-2023.docx")</f>
        <v/>
      </c>
      <c r="V156">
        <f>HYPERLINK("tillsyn\A 1187-2023.docx")</f>
        <v/>
      </c>
      <c r="W156">
        <f>HYPERLINK("tillsynsmail\A 1187-2023.docx")</f>
        <v/>
      </c>
    </row>
    <row r="157">
      <c r="A157" t="inlineStr">
        <is>
          <t>A 16761-2023</t>
        </is>
      </c>
      <c r="B157" s="1" t="n">
        <v>45030</v>
      </c>
      <c r="C157" s="1" t="n">
        <v>45156</v>
      </c>
      <c r="D157" t="inlineStr">
        <is>
          <t>STRÖMSUND</t>
        </is>
      </c>
      <c r="E157" t="inlineStr">
        <is>
          <t>SCA</t>
        </is>
      </c>
      <c r="F157" t="n">
        <v>41.3</v>
      </c>
      <c r="G157" t="n">
        <v>1</v>
      </c>
      <c r="H157" t="n">
        <v>1</v>
      </c>
      <c r="I157" t="n">
        <v>3</v>
      </c>
      <c r="J157" t="n">
        <v>0</v>
      </c>
      <c r="K157" t="n">
        <v>0</v>
      </c>
      <c r="L157" t="n">
        <v>0</v>
      </c>
      <c r="M157" t="n">
        <v>0</v>
      </c>
      <c r="N157" t="n">
        <v>3</v>
      </c>
      <c r="O157" t="n">
        <v>0</v>
      </c>
      <c r="P157" t="n">
        <v>4</v>
      </c>
      <c r="Q157">
        <f>HYPERLINK("artfynd\A 16761-2023.xlsx")</f>
        <v/>
      </c>
      <c r="R157">
        <f>HYPERLINK("kartor\A 16761-2023.png")</f>
        <v/>
      </c>
      <c r="T157">
        <f>HYPERLINK("klagomål\A 16761-2023.docx")</f>
        <v/>
      </c>
      <c r="U157">
        <f>HYPERLINK("klagomålsmail\A 16761-2023.docx")</f>
        <v/>
      </c>
      <c r="V157">
        <f>HYPERLINK("tillsyn\A 16761-2023.docx")</f>
        <v/>
      </c>
      <c r="W157">
        <f>HYPERLINK("tillsynsmail\A 16761-2023.docx")</f>
        <v/>
      </c>
    </row>
    <row r="158">
      <c r="A158" t="inlineStr">
        <is>
          <t>A 20877-2023</t>
        </is>
      </c>
      <c r="B158" s="1" t="n">
        <v>45058</v>
      </c>
      <c r="C158" s="1" t="n">
        <v>45156</v>
      </c>
      <c r="D158" t="inlineStr">
        <is>
          <t>STRÖMSUND</t>
        </is>
      </c>
      <c r="E158" t="inlineStr">
        <is>
          <t>SCA</t>
        </is>
      </c>
      <c r="F158" t="n">
        <v>8.5</v>
      </c>
      <c r="G158" t="n">
        <v>1</v>
      </c>
      <c r="H158" t="n">
        <v>2</v>
      </c>
      <c r="I158" t="n">
        <v>2</v>
      </c>
      <c r="J158" t="n">
        <v>0</v>
      </c>
      <c r="K158" t="n">
        <v>0</v>
      </c>
      <c r="L158" t="n">
        <v>0</v>
      </c>
      <c r="M158" t="n">
        <v>0</v>
      </c>
      <c r="N158" t="n">
        <v>2</v>
      </c>
      <c r="O158" t="n">
        <v>0</v>
      </c>
      <c r="P158" t="n">
        <v>4</v>
      </c>
      <c r="Q158">
        <f>HYPERLINK("artfynd\A 20877-2023.xlsx")</f>
        <v/>
      </c>
      <c r="R158">
        <f>HYPERLINK("kartor\A 20877-2023.png")</f>
        <v/>
      </c>
      <c r="T158">
        <f>HYPERLINK("klagomål\A 20877-2023.docx")</f>
        <v/>
      </c>
      <c r="U158">
        <f>HYPERLINK("klagomålsmail\A 20877-2023.docx")</f>
        <v/>
      </c>
      <c r="V158">
        <f>HYPERLINK("tillsyn\A 20877-2023.docx")</f>
        <v/>
      </c>
      <c r="W158">
        <f>HYPERLINK("tillsynsmail\A 20877-2023.docx")</f>
        <v/>
      </c>
    </row>
    <row r="159">
      <c r="A159" t="inlineStr">
        <is>
          <t>A 20886-2023</t>
        </is>
      </c>
      <c r="B159" s="1" t="n">
        <v>45058</v>
      </c>
      <c r="C159" s="1" t="n">
        <v>45156</v>
      </c>
      <c r="D159" t="inlineStr">
        <is>
          <t>STRÖMSUND</t>
        </is>
      </c>
      <c r="E159" t="inlineStr">
        <is>
          <t>SCA</t>
        </is>
      </c>
      <c r="F159" t="n">
        <v>23.1</v>
      </c>
      <c r="G159" t="n">
        <v>0</v>
      </c>
      <c r="H159" t="n">
        <v>1</v>
      </c>
      <c r="I159" t="n">
        <v>3</v>
      </c>
      <c r="J159" t="n">
        <v>0</v>
      </c>
      <c r="K159" t="n">
        <v>0</v>
      </c>
      <c r="L159" t="n">
        <v>0</v>
      </c>
      <c r="M159" t="n">
        <v>0</v>
      </c>
      <c r="N159" t="n">
        <v>3</v>
      </c>
      <c r="O159" t="n">
        <v>0</v>
      </c>
      <c r="P159" t="n">
        <v>4</v>
      </c>
      <c r="Q159">
        <f>HYPERLINK("artfynd\A 20886-2023.xlsx")</f>
        <v/>
      </c>
      <c r="R159">
        <f>HYPERLINK("kartor\A 20886-2023.png")</f>
        <v/>
      </c>
      <c r="T159">
        <f>HYPERLINK("klagomål\A 20886-2023.docx")</f>
        <v/>
      </c>
      <c r="U159">
        <f>HYPERLINK("klagomålsmail\A 20886-2023.docx")</f>
        <v/>
      </c>
      <c r="V159">
        <f>HYPERLINK("tillsyn\A 20886-2023.docx")</f>
        <v/>
      </c>
      <c r="W159">
        <f>HYPERLINK("tillsynsmail\A 20886-2023.docx")</f>
        <v/>
      </c>
    </row>
    <row r="160">
      <c r="A160" t="inlineStr">
        <is>
          <t>A 71012-2018</t>
        </is>
      </c>
      <c r="B160" s="1" t="n">
        <v>43452</v>
      </c>
      <c r="C160" s="1" t="n">
        <v>45156</v>
      </c>
      <c r="D160" t="inlineStr">
        <is>
          <t>STRÖMSUND</t>
        </is>
      </c>
      <c r="E160" t="inlineStr">
        <is>
          <t>Holmen skog AB</t>
        </is>
      </c>
      <c r="F160" t="n">
        <v>20.3</v>
      </c>
      <c r="G160" t="n">
        <v>0</v>
      </c>
      <c r="H160" t="n">
        <v>1</v>
      </c>
      <c r="I160" t="n">
        <v>2</v>
      </c>
      <c r="J160" t="n">
        <v>0</v>
      </c>
      <c r="K160" t="n">
        <v>0</v>
      </c>
      <c r="L160" t="n">
        <v>0</v>
      </c>
      <c r="M160" t="n">
        <v>0</v>
      </c>
      <c r="N160" t="n">
        <v>2</v>
      </c>
      <c r="O160" t="n">
        <v>0</v>
      </c>
      <c r="P160" t="n">
        <v>3</v>
      </c>
      <c r="Q160">
        <f>HYPERLINK("artfynd\A 71012-2018.xlsx")</f>
        <v/>
      </c>
      <c r="R160">
        <f>HYPERLINK("kartor\A 71012-2018.png")</f>
        <v/>
      </c>
      <c r="T160">
        <f>HYPERLINK("klagomål\A 71012-2018.docx")</f>
        <v/>
      </c>
      <c r="U160">
        <f>HYPERLINK("klagomålsmail\A 71012-2018.docx")</f>
        <v/>
      </c>
      <c r="V160">
        <f>HYPERLINK("tillsyn\A 71012-2018.docx")</f>
        <v/>
      </c>
      <c r="W160">
        <f>HYPERLINK("tillsynsmail\A 71012-2018.docx")</f>
        <v/>
      </c>
    </row>
    <row r="161">
      <c r="A161" t="inlineStr">
        <is>
          <t>A 8268-2019</t>
        </is>
      </c>
      <c r="B161" s="1" t="n">
        <v>43501</v>
      </c>
      <c r="C161" s="1" t="n">
        <v>45156</v>
      </c>
      <c r="D161" t="inlineStr">
        <is>
          <t>STRÖMSUND</t>
        </is>
      </c>
      <c r="F161" t="n">
        <v>6.9</v>
      </c>
      <c r="G161" t="n">
        <v>0</v>
      </c>
      <c r="H161" t="n">
        <v>0</v>
      </c>
      <c r="I161" t="n">
        <v>3</v>
      </c>
      <c r="J161" t="n">
        <v>0</v>
      </c>
      <c r="K161" t="n">
        <v>0</v>
      </c>
      <c r="L161" t="n">
        <v>0</v>
      </c>
      <c r="M161" t="n">
        <v>0</v>
      </c>
      <c r="N161" t="n">
        <v>3</v>
      </c>
      <c r="O161" t="n">
        <v>0</v>
      </c>
      <c r="P161" t="n">
        <v>3</v>
      </c>
      <c r="Q161">
        <f>HYPERLINK("artfynd\A 8268-2019.xlsx")</f>
        <v/>
      </c>
      <c r="R161">
        <f>HYPERLINK("kartor\A 8268-2019.png")</f>
        <v/>
      </c>
      <c r="T161">
        <f>HYPERLINK("klagomål\A 8268-2019.docx")</f>
        <v/>
      </c>
      <c r="U161">
        <f>HYPERLINK("klagomålsmail\A 8268-2019.docx")</f>
        <v/>
      </c>
      <c r="V161">
        <f>HYPERLINK("tillsyn\A 8268-2019.docx")</f>
        <v/>
      </c>
      <c r="W161">
        <f>HYPERLINK("tillsynsmail\A 8268-2019.docx")</f>
        <v/>
      </c>
    </row>
    <row r="162">
      <c r="A162" t="inlineStr">
        <is>
          <t>A 8266-2019</t>
        </is>
      </c>
      <c r="B162" s="1" t="n">
        <v>43501</v>
      </c>
      <c r="C162" s="1" t="n">
        <v>45156</v>
      </c>
      <c r="D162" t="inlineStr">
        <is>
          <t>STRÖMSUND</t>
        </is>
      </c>
      <c r="F162" t="n">
        <v>15.1</v>
      </c>
      <c r="G162" t="n">
        <v>2</v>
      </c>
      <c r="H162" t="n">
        <v>0</v>
      </c>
      <c r="I162" t="n">
        <v>2</v>
      </c>
      <c r="J162" t="n">
        <v>0</v>
      </c>
      <c r="K162" t="n">
        <v>0</v>
      </c>
      <c r="L162" t="n">
        <v>0</v>
      </c>
      <c r="M162" t="n">
        <v>0</v>
      </c>
      <c r="N162" t="n">
        <v>2</v>
      </c>
      <c r="O162" t="n">
        <v>0</v>
      </c>
      <c r="P162" t="n">
        <v>3</v>
      </c>
      <c r="Q162">
        <f>HYPERLINK("artfynd\A 8266-2019.xlsx")</f>
        <v/>
      </c>
      <c r="R162">
        <f>HYPERLINK("kartor\A 8266-2019.png")</f>
        <v/>
      </c>
      <c r="T162">
        <f>HYPERLINK("klagomål\A 8266-2019.docx")</f>
        <v/>
      </c>
      <c r="U162">
        <f>HYPERLINK("klagomålsmail\A 8266-2019.docx")</f>
        <v/>
      </c>
      <c r="V162">
        <f>HYPERLINK("tillsyn\A 8266-2019.docx")</f>
        <v/>
      </c>
      <c r="W162">
        <f>HYPERLINK("tillsynsmail\A 8266-2019.docx")</f>
        <v/>
      </c>
    </row>
    <row r="163">
      <c r="A163" t="inlineStr">
        <is>
          <t>A 33687-2019</t>
        </is>
      </c>
      <c r="B163" s="1" t="n">
        <v>43651</v>
      </c>
      <c r="C163" s="1" t="n">
        <v>45156</v>
      </c>
      <c r="D163" t="inlineStr">
        <is>
          <t>STRÖMSUND</t>
        </is>
      </c>
      <c r="E163" t="inlineStr">
        <is>
          <t>Holmen skog AB</t>
        </is>
      </c>
      <c r="F163" t="n">
        <v>14.1</v>
      </c>
      <c r="G163" t="n">
        <v>0</v>
      </c>
      <c r="H163" t="n">
        <v>1</v>
      </c>
      <c r="I163" t="n">
        <v>2</v>
      </c>
      <c r="J163" t="n">
        <v>0</v>
      </c>
      <c r="K163" t="n">
        <v>0</v>
      </c>
      <c r="L163" t="n">
        <v>0</v>
      </c>
      <c r="M163" t="n">
        <v>0</v>
      </c>
      <c r="N163" t="n">
        <v>2</v>
      </c>
      <c r="O163" t="n">
        <v>0</v>
      </c>
      <c r="P163" t="n">
        <v>3</v>
      </c>
      <c r="Q163">
        <f>HYPERLINK("artfynd\A 33687-2019.xlsx")</f>
        <v/>
      </c>
      <c r="R163">
        <f>HYPERLINK("kartor\A 33687-2019.png")</f>
        <v/>
      </c>
      <c r="T163">
        <f>HYPERLINK("klagomål\A 33687-2019.docx")</f>
        <v/>
      </c>
      <c r="U163">
        <f>HYPERLINK("klagomålsmail\A 33687-2019.docx")</f>
        <v/>
      </c>
      <c r="V163">
        <f>HYPERLINK("tillsyn\A 33687-2019.docx")</f>
        <v/>
      </c>
      <c r="W163">
        <f>HYPERLINK("tillsynsmail\A 33687-2019.docx")</f>
        <v/>
      </c>
    </row>
    <row r="164">
      <c r="A164" t="inlineStr">
        <is>
          <t>A 3781-2020</t>
        </is>
      </c>
      <c r="B164" s="1" t="n">
        <v>43846</v>
      </c>
      <c r="C164" s="1" t="n">
        <v>45156</v>
      </c>
      <c r="D164" t="inlineStr">
        <is>
          <t>STRÖMSUND</t>
        </is>
      </c>
      <c r="F164" t="n">
        <v>1</v>
      </c>
      <c r="G164" t="n">
        <v>0</v>
      </c>
      <c r="H164" t="n">
        <v>3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3</v>
      </c>
      <c r="Q164">
        <f>HYPERLINK("artfynd\A 3781-2020.xlsx")</f>
        <v/>
      </c>
      <c r="R164">
        <f>HYPERLINK("kartor\A 3781-2020.png")</f>
        <v/>
      </c>
      <c r="T164">
        <f>HYPERLINK("klagomål\A 3781-2020.docx")</f>
        <v/>
      </c>
      <c r="U164">
        <f>HYPERLINK("klagomålsmail\A 3781-2020.docx")</f>
        <v/>
      </c>
      <c r="V164">
        <f>HYPERLINK("tillsyn\A 3781-2020.docx")</f>
        <v/>
      </c>
      <c r="W164">
        <f>HYPERLINK("tillsynsmail\A 3781-2020.docx")</f>
        <v/>
      </c>
    </row>
    <row r="165">
      <c r="A165" t="inlineStr">
        <is>
          <t>A 6887-2020</t>
        </is>
      </c>
      <c r="B165" s="1" t="n">
        <v>43867</v>
      </c>
      <c r="C165" s="1" t="n">
        <v>45156</v>
      </c>
      <c r="D165" t="inlineStr">
        <is>
          <t>STRÖMSUND</t>
        </is>
      </c>
      <c r="E165" t="inlineStr">
        <is>
          <t>SCA</t>
        </is>
      </c>
      <c r="F165" t="n">
        <v>43.1</v>
      </c>
      <c r="G165" t="n">
        <v>0</v>
      </c>
      <c r="H165" t="n">
        <v>0</v>
      </c>
      <c r="I165" t="n">
        <v>3</v>
      </c>
      <c r="J165" t="n">
        <v>0</v>
      </c>
      <c r="K165" t="n">
        <v>0</v>
      </c>
      <c r="L165" t="n">
        <v>0</v>
      </c>
      <c r="M165" t="n">
        <v>0</v>
      </c>
      <c r="N165" t="n">
        <v>3</v>
      </c>
      <c r="O165" t="n">
        <v>0</v>
      </c>
      <c r="P165" t="n">
        <v>3</v>
      </c>
      <c r="Q165">
        <f>HYPERLINK("artfynd\A 6887-2020.xlsx")</f>
        <v/>
      </c>
      <c r="R165">
        <f>HYPERLINK("kartor\A 6887-2020.png")</f>
        <v/>
      </c>
      <c r="T165">
        <f>HYPERLINK("klagomål\A 6887-2020.docx")</f>
        <v/>
      </c>
      <c r="U165">
        <f>HYPERLINK("klagomålsmail\A 6887-2020.docx")</f>
        <v/>
      </c>
      <c r="V165">
        <f>HYPERLINK("tillsyn\A 6887-2020.docx")</f>
        <v/>
      </c>
      <c r="W165">
        <f>HYPERLINK("tillsynsmail\A 6887-2020.docx")</f>
        <v/>
      </c>
    </row>
    <row r="166">
      <c r="A166" t="inlineStr">
        <is>
          <t>A 14936-2020</t>
        </is>
      </c>
      <c r="B166" s="1" t="n">
        <v>43906</v>
      </c>
      <c r="C166" s="1" t="n">
        <v>45156</v>
      </c>
      <c r="D166" t="inlineStr">
        <is>
          <t>STRÖMSUND</t>
        </is>
      </c>
      <c r="F166" t="n">
        <v>21.4</v>
      </c>
      <c r="G166" t="n">
        <v>1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1</v>
      </c>
      <c r="O166" t="n">
        <v>0</v>
      </c>
      <c r="P166" t="n">
        <v>3</v>
      </c>
      <c r="Q166">
        <f>HYPERLINK("artfynd\A 14936-2020.xlsx")</f>
        <v/>
      </c>
      <c r="R166">
        <f>HYPERLINK("kartor\A 14936-2020.png")</f>
        <v/>
      </c>
      <c r="T166">
        <f>HYPERLINK("klagomål\A 14936-2020.docx")</f>
        <v/>
      </c>
      <c r="U166">
        <f>HYPERLINK("klagomålsmail\A 14936-2020.docx")</f>
        <v/>
      </c>
      <c r="V166">
        <f>HYPERLINK("tillsyn\A 14936-2020.docx")</f>
        <v/>
      </c>
      <c r="W166">
        <f>HYPERLINK("tillsynsmail\A 14936-2020.docx")</f>
        <v/>
      </c>
    </row>
    <row r="167">
      <c r="A167" t="inlineStr">
        <is>
          <t>A 17685-2020</t>
        </is>
      </c>
      <c r="B167" s="1" t="n">
        <v>43923</v>
      </c>
      <c r="C167" s="1" t="n">
        <v>45156</v>
      </c>
      <c r="D167" t="inlineStr">
        <is>
          <t>STRÖMSUND</t>
        </is>
      </c>
      <c r="F167" t="n">
        <v>2.8</v>
      </c>
      <c r="G167" t="n">
        <v>0</v>
      </c>
      <c r="H167" t="n">
        <v>0</v>
      </c>
      <c r="I167" t="n">
        <v>3</v>
      </c>
      <c r="J167" t="n">
        <v>0</v>
      </c>
      <c r="K167" t="n">
        <v>0</v>
      </c>
      <c r="L167" t="n">
        <v>0</v>
      </c>
      <c r="M167" t="n">
        <v>0</v>
      </c>
      <c r="N167" t="n">
        <v>3</v>
      </c>
      <c r="O167" t="n">
        <v>0</v>
      </c>
      <c r="P167" t="n">
        <v>3</v>
      </c>
      <c r="Q167">
        <f>HYPERLINK("artfynd\A 17685-2020.xlsx")</f>
        <v/>
      </c>
      <c r="R167">
        <f>HYPERLINK("kartor\A 17685-2020.png")</f>
        <v/>
      </c>
      <c r="T167">
        <f>HYPERLINK("klagomål\A 17685-2020.docx")</f>
        <v/>
      </c>
      <c r="U167">
        <f>HYPERLINK("klagomålsmail\A 17685-2020.docx")</f>
        <v/>
      </c>
      <c r="V167">
        <f>HYPERLINK("tillsyn\A 17685-2020.docx")</f>
        <v/>
      </c>
      <c r="W167">
        <f>HYPERLINK("tillsynsmail\A 17685-2020.docx")</f>
        <v/>
      </c>
    </row>
    <row r="168">
      <c r="A168" t="inlineStr">
        <is>
          <t>A 24145-2020</t>
        </is>
      </c>
      <c r="B168" s="1" t="n">
        <v>43973</v>
      </c>
      <c r="C168" s="1" t="n">
        <v>45156</v>
      </c>
      <c r="D168" t="inlineStr">
        <is>
          <t>STRÖMSUND</t>
        </is>
      </c>
      <c r="E168" t="inlineStr">
        <is>
          <t>SCA</t>
        </is>
      </c>
      <c r="F168" t="n">
        <v>4.3</v>
      </c>
      <c r="G168" t="n">
        <v>0</v>
      </c>
      <c r="H168" t="n">
        <v>0</v>
      </c>
      <c r="I168" t="n">
        <v>3</v>
      </c>
      <c r="J168" t="n">
        <v>0</v>
      </c>
      <c r="K168" t="n">
        <v>0</v>
      </c>
      <c r="L168" t="n">
        <v>0</v>
      </c>
      <c r="M168" t="n">
        <v>0</v>
      </c>
      <c r="N168" t="n">
        <v>3</v>
      </c>
      <c r="O168" t="n">
        <v>0</v>
      </c>
      <c r="P168" t="n">
        <v>3</v>
      </c>
      <c r="Q168">
        <f>HYPERLINK("artfynd\A 24145-2020.xlsx")</f>
        <v/>
      </c>
      <c r="R168">
        <f>HYPERLINK("kartor\A 24145-2020.png")</f>
        <v/>
      </c>
      <c r="T168">
        <f>HYPERLINK("klagomål\A 24145-2020.docx")</f>
        <v/>
      </c>
      <c r="U168">
        <f>HYPERLINK("klagomålsmail\A 24145-2020.docx")</f>
        <v/>
      </c>
      <c r="V168">
        <f>HYPERLINK("tillsyn\A 24145-2020.docx")</f>
        <v/>
      </c>
      <c r="W168">
        <f>HYPERLINK("tillsynsmail\A 24145-2020.docx")</f>
        <v/>
      </c>
    </row>
    <row r="169">
      <c r="A169" t="inlineStr">
        <is>
          <t>A 32205-2020</t>
        </is>
      </c>
      <c r="B169" s="1" t="n">
        <v>44015</v>
      </c>
      <c r="C169" s="1" t="n">
        <v>45156</v>
      </c>
      <c r="D169" t="inlineStr">
        <is>
          <t>STRÖMSUND</t>
        </is>
      </c>
      <c r="E169" t="inlineStr">
        <is>
          <t>SCA</t>
        </is>
      </c>
      <c r="F169" t="n">
        <v>25.3</v>
      </c>
      <c r="G169" t="n">
        <v>0</v>
      </c>
      <c r="H169" t="n">
        <v>0</v>
      </c>
      <c r="I169" t="n">
        <v>3</v>
      </c>
      <c r="J169" t="n">
        <v>0</v>
      </c>
      <c r="K169" t="n">
        <v>0</v>
      </c>
      <c r="L169" t="n">
        <v>0</v>
      </c>
      <c r="M169" t="n">
        <v>0</v>
      </c>
      <c r="N169" t="n">
        <v>3</v>
      </c>
      <c r="O169" t="n">
        <v>0</v>
      </c>
      <c r="P169" t="n">
        <v>3</v>
      </c>
      <c r="Q169">
        <f>HYPERLINK("artfynd\A 32205-2020.xlsx")</f>
        <v/>
      </c>
      <c r="R169">
        <f>HYPERLINK("kartor\A 32205-2020.png")</f>
        <v/>
      </c>
      <c r="T169">
        <f>HYPERLINK("klagomål\A 32205-2020.docx")</f>
        <v/>
      </c>
      <c r="U169">
        <f>HYPERLINK("klagomålsmail\A 32205-2020.docx")</f>
        <v/>
      </c>
      <c r="V169">
        <f>HYPERLINK("tillsyn\A 32205-2020.docx")</f>
        <v/>
      </c>
      <c r="W169">
        <f>HYPERLINK("tillsynsmail\A 32205-2020.docx")</f>
        <v/>
      </c>
    </row>
    <row r="170">
      <c r="A170" t="inlineStr">
        <is>
          <t>A 39396-2020</t>
        </is>
      </c>
      <c r="B170" s="1" t="n">
        <v>44064</v>
      </c>
      <c r="C170" s="1" t="n">
        <v>45156</v>
      </c>
      <c r="D170" t="inlineStr">
        <is>
          <t>STRÖMSUND</t>
        </is>
      </c>
      <c r="E170" t="inlineStr">
        <is>
          <t>Holmen skog AB</t>
        </is>
      </c>
      <c r="F170" t="n">
        <v>7.2</v>
      </c>
      <c r="G170" t="n">
        <v>0</v>
      </c>
      <c r="H170" t="n">
        <v>1</v>
      </c>
      <c r="I170" t="n">
        <v>2</v>
      </c>
      <c r="J170" t="n">
        <v>0</v>
      </c>
      <c r="K170" t="n">
        <v>0</v>
      </c>
      <c r="L170" t="n">
        <v>0</v>
      </c>
      <c r="M170" t="n">
        <v>0</v>
      </c>
      <c r="N170" t="n">
        <v>2</v>
      </c>
      <c r="O170" t="n">
        <v>0</v>
      </c>
      <c r="P170" t="n">
        <v>3</v>
      </c>
      <c r="Q170">
        <f>HYPERLINK("artfynd\A 39396-2020.xlsx")</f>
        <v/>
      </c>
      <c r="R170">
        <f>HYPERLINK("kartor\A 39396-2020.png")</f>
        <v/>
      </c>
      <c r="T170">
        <f>HYPERLINK("klagomål\A 39396-2020.docx")</f>
        <v/>
      </c>
      <c r="U170">
        <f>HYPERLINK("klagomålsmail\A 39396-2020.docx")</f>
        <v/>
      </c>
      <c r="V170">
        <f>HYPERLINK("tillsyn\A 39396-2020.docx")</f>
        <v/>
      </c>
      <c r="W170">
        <f>HYPERLINK("tillsynsmail\A 39396-2020.docx")</f>
        <v/>
      </c>
    </row>
    <row r="171">
      <c r="A171" t="inlineStr">
        <is>
          <t>A 44946-2020</t>
        </is>
      </c>
      <c r="B171" s="1" t="n">
        <v>44083</v>
      </c>
      <c r="C171" s="1" t="n">
        <v>45156</v>
      </c>
      <c r="D171" t="inlineStr">
        <is>
          <t>STRÖMSUND</t>
        </is>
      </c>
      <c r="F171" t="n">
        <v>9</v>
      </c>
      <c r="G171" t="n">
        <v>1</v>
      </c>
      <c r="H171" t="n">
        <v>0</v>
      </c>
      <c r="I171" t="n">
        <v>1</v>
      </c>
      <c r="J171" t="n">
        <v>1</v>
      </c>
      <c r="K171" t="n">
        <v>0</v>
      </c>
      <c r="L171" t="n">
        <v>0</v>
      </c>
      <c r="M171" t="n">
        <v>0</v>
      </c>
      <c r="N171" t="n">
        <v>2</v>
      </c>
      <c r="O171" t="n">
        <v>1</v>
      </c>
      <c r="P171" t="n">
        <v>3</v>
      </c>
      <c r="Q171">
        <f>HYPERLINK("artfynd\A 44946-2020.xlsx")</f>
        <v/>
      </c>
      <c r="R171">
        <f>HYPERLINK("kartor\A 44946-2020.png")</f>
        <v/>
      </c>
      <c r="T171">
        <f>HYPERLINK("klagomål\A 44946-2020.docx")</f>
        <v/>
      </c>
      <c r="U171">
        <f>HYPERLINK("klagomålsmail\A 44946-2020.docx")</f>
        <v/>
      </c>
      <c r="V171">
        <f>HYPERLINK("tillsyn\A 44946-2020.docx")</f>
        <v/>
      </c>
      <c r="W171">
        <f>HYPERLINK("tillsynsmail\A 44946-2020.docx")</f>
        <v/>
      </c>
    </row>
    <row r="172">
      <c r="A172" t="inlineStr">
        <is>
          <t>A 54372-2020</t>
        </is>
      </c>
      <c r="B172" s="1" t="n">
        <v>44126</v>
      </c>
      <c r="C172" s="1" t="n">
        <v>45156</v>
      </c>
      <c r="D172" t="inlineStr">
        <is>
          <t>STRÖMSUND</t>
        </is>
      </c>
      <c r="E172" t="inlineStr">
        <is>
          <t>Holmen skog AB</t>
        </is>
      </c>
      <c r="F172" t="n">
        <v>5.1</v>
      </c>
      <c r="G172" t="n">
        <v>0</v>
      </c>
      <c r="H172" t="n">
        <v>0</v>
      </c>
      <c r="I172" t="n">
        <v>3</v>
      </c>
      <c r="J172" t="n">
        <v>0</v>
      </c>
      <c r="K172" t="n">
        <v>0</v>
      </c>
      <c r="L172" t="n">
        <v>0</v>
      </c>
      <c r="M172" t="n">
        <v>0</v>
      </c>
      <c r="N172" t="n">
        <v>3</v>
      </c>
      <c r="O172" t="n">
        <v>0</v>
      </c>
      <c r="P172" t="n">
        <v>3</v>
      </c>
      <c r="Q172">
        <f>HYPERLINK("artfynd\A 54372-2020.xlsx")</f>
        <v/>
      </c>
      <c r="R172">
        <f>HYPERLINK("kartor\A 54372-2020.png")</f>
        <v/>
      </c>
      <c r="T172">
        <f>HYPERLINK("klagomål\A 54372-2020.docx")</f>
        <v/>
      </c>
      <c r="U172">
        <f>HYPERLINK("klagomålsmail\A 54372-2020.docx")</f>
        <v/>
      </c>
      <c r="V172">
        <f>HYPERLINK("tillsyn\A 54372-2020.docx")</f>
        <v/>
      </c>
      <c r="W172">
        <f>HYPERLINK("tillsynsmail\A 54372-2020.docx")</f>
        <v/>
      </c>
    </row>
    <row r="173">
      <c r="A173" t="inlineStr">
        <is>
          <t>A 26151-2021</t>
        </is>
      </c>
      <c r="B173" s="1" t="n">
        <v>44346</v>
      </c>
      <c r="C173" s="1" t="n">
        <v>45156</v>
      </c>
      <c r="D173" t="inlineStr">
        <is>
          <t>STRÖMSUND</t>
        </is>
      </c>
      <c r="E173" t="inlineStr">
        <is>
          <t>SCA</t>
        </is>
      </c>
      <c r="F173" t="n">
        <v>2.6</v>
      </c>
      <c r="G173" t="n">
        <v>0</v>
      </c>
      <c r="H173" t="n">
        <v>2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1</v>
      </c>
      <c r="O173" t="n">
        <v>0</v>
      </c>
      <c r="P173" t="n">
        <v>3</v>
      </c>
      <c r="Q173">
        <f>HYPERLINK("artfynd\A 26151-2021.xlsx")</f>
        <v/>
      </c>
      <c r="R173">
        <f>HYPERLINK("kartor\A 26151-2021.png")</f>
        <v/>
      </c>
      <c r="T173">
        <f>HYPERLINK("klagomål\A 26151-2021.docx")</f>
        <v/>
      </c>
      <c r="U173">
        <f>HYPERLINK("klagomålsmail\A 26151-2021.docx")</f>
        <v/>
      </c>
      <c r="V173">
        <f>HYPERLINK("tillsyn\A 26151-2021.docx")</f>
        <v/>
      </c>
      <c r="W173">
        <f>HYPERLINK("tillsynsmail\A 26151-2021.docx")</f>
        <v/>
      </c>
    </row>
    <row r="174">
      <c r="A174" t="inlineStr">
        <is>
          <t>A 32913-2021</t>
        </is>
      </c>
      <c r="B174" s="1" t="n">
        <v>44375</v>
      </c>
      <c r="C174" s="1" t="n">
        <v>45156</v>
      </c>
      <c r="D174" t="inlineStr">
        <is>
          <t>STRÖMSUND</t>
        </is>
      </c>
      <c r="E174" t="inlineStr">
        <is>
          <t>SCA</t>
        </is>
      </c>
      <c r="F174" t="n">
        <v>22</v>
      </c>
      <c r="G174" t="n">
        <v>0</v>
      </c>
      <c r="H174" t="n">
        <v>2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1</v>
      </c>
      <c r="O174" t="n">
        <v>0</v>
      </c>
      <c r="P174" t="n">
        <v>3</v>
      </c>
      <c r="Q174">
        <f>HYPERLINK("artfynd\A 32913-2021.xlsx")</f>
        <v/>
      </c>
      <c r="R174">
        <f>HYPERLINK("kartor\A 32913-2021.png")</f>
        <v/>
      </c>
      <c r="T174">
        <f>HYPERLINK("klagomål\A 32913-2021.docx")</f>
        <v/>
      </c>
      <c r="U174">
        <f>HYPERLINK("klagomålsmail\A 32913-2021.docx")</f>
        <v/>
      </c>
      <c r="V174">
        <f>HYPERLINK("tillsyn\A 32913-2021.docx")</f>
        <v/>
      </c>
      <c r="W174">
        <f>HYPERLINK("tillsynsmail\A 32913-2021.docx")</f>
        <v/>
      </c>
    </row>
    <row r="175">
      <c r="A175" t="inlineStr">
        <is>
          <t>A 33577-2021</t>
        </is>
      </c>
      <c r="B175" s="1" t="n">
        <v>44377</v>
      </c>
      <c r="C175" s="1" t="n">
        <v>45156</v>
      </c>
      <c r="D175" t="inlineStr">
        <is>
          <t>STRÖMSUND</t>
        </is>
      </c>
      <c r="E175" t="inlineStr">
        <is>
          <t>SCA</t>
        </is>
      </c>
      <c r="F175" t="n">
        <v>6.5</v>
      </c>
      <c r="G175" t="n">
        <v>1</v>
      </c>
      <c r="H175" t="n">
        <v>0</v>
      </c>
      <c r="I175" t="n">
        <v>2</v>
      </c>
      <c r="J175" t="n">
        <v>1</v>
      </c>
      <c r="K175" t="n">
        <v>0</v>
      </c>
      <c r="L175" t="n">
        <v>0</v>
      </c>
      <c r="M175" t="n">
        <v>0</v>
      </c>
      <c r="N175" t="n">
        <v>3</v>
      </c>
      <c r="O175" t="n">
        <v>1</v>
      </c>
      <c r="P175" t="n">
        <v>3</v>
      </c>
      <c r="Q175">
        <f>HYPERLINK("artfynd\A 33577-2021.xlsx")</f>
        <v/>
      </c>
      <c r="R175">
        <f>HYPERLINK("kartor\A 33577-2021.png")</f>
        <v/>
      </c>
      <c r="S175">
        <f>HYPERLINK("knärot\A 33577-2021.png")</f>
        <v/>
      </c>
      <c r="T175">
        <f>HYPERLINK("klagomål\A 33577-2021.docx")</f>
        <v/>
      </c>
      <c r="U175">
        <f>HYPERLINK("klagomålsmail\A 33577-2021.docx")</f>
        <v/>
      </c>
      <c r="V175">
        <f>HYPERLINK("tillsyn\A 33577-2021.docx")</f>
        <v/>
      </c>
      <c r="W175">
        <f>HYPERLINK("tillsynsmail\A 33577-2021.docx")</f>
        <v/>
      </c>
    </row>
    <row r="176">
      <c r="A176" t="inlineStr">
        <is>
          <t>A 39332-2021</t>
        </is>
      </c>
      <c r="B176" s="1" t="n">
        <v>44413</v>
      </c>
      <c r="C176" s="1" t="n">
        <v>45156</v>
      </c>
      <c r="D176" t="inlineStr">
        <is>
          <t>STRÖMSUND</t>
        </is>
      </c>
      <c r="E176" t="inlineStr">
        <is>
          <t>SCA</t>
        </is>
      </c>
      <c r="F176" t="n">
        <v>3.5</v>
      </c>
      <c r="G176" t="n">
        <v>1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2</v>
      </c>
      <c r="O176" t="n">
        <v>0</v>
      </c>
      <c r="P176" t="n">
        <v>3</v>
      </c>
      <c r="Q176">
        <f>HYPERLINK("artfynd\A 39332-2021.xlsx")</f>
        <v/>
      </c>
      <c r="R176">
        <f>HYPERLINK("kartor\A 39332-2021.png")</f>
        <v/>
      </c>
      <c r="T176">
        <f>HYPERLINK("klagomål\A 39332-2021.docx")</f>
        <v/>
      </c>
      <c r="U176">
        <f>HYPERLINK("klagomålsmail\A 39332-2021.docx")</f>
        <v/>
      </c>
      <c r="V176">
        <f>HYPERLINK("tillsyn\A 39332-2021.docx")</f>
        <v/>
      </c>
      <c r="W176">
        <f>HYPERLINK("tillsynsmail\A 39332-2021.docx")</f>
        <v/>
      </c>
    </row>
    <row r="177">
      <c r="A177" t="inlineStr">
        <is>
          <t>A 45633-2021</t>
        </is>
      </c>
      <c r="B177" s="1" t="n">
        <v>44440</v>
      </c>
      <c r="C177" s="1" t="n">
        <v>45156</v>
      </c>
      <c r="D177" t="inlineStr">
        <is>
          <t>STRÖMSUND</t>
        </is>
      </c>
      <c r="E177" t="inlineStr">
        <is>
          <t>SCA</t>
        </is>
      </c>
      <c r="F177" t="n">
        <v>2.1</v>
      </c>
      <c r="G177" t="n">
        <v>0</v>
      </c>
      <c r="H177" t="n">
        <v>1</v>
      </c>
      <c r="I177" t="n">
        <v>1</v>
      </c>
      <c r="J177" t="n">
        <v>1</v>
      </c>
      <c r="K177" t="n">
        <v>0</v>
      </c>
      <c r="L177" t="n">
        <v>0</v>
      </c>
      <c r="M177" t="n">
        <v>0</v>
      </c>
      <c r="N177" t="n">
        <v>2</v>
      </c>
      <c r="O177" t="n">
        <v>1</v>
      </c>
      <c r="P177" t="n">
        <v>3</v>
      </c>
      <c r="Q177">
        <f>HYPERLINK("artfynd\A 45633-2021.xlsx")</f>
        <v/>
      </c>
      <c r="R177">
        <f>HYPERLINK("kartor\A 45633-2021.png")</f>
        <v/>
      </c>
      <c r="T177">
        <f>HYPERLINK("klagomål\A 45633-2021.docx")</f>
        <v/>
      </c>
      <c r="U177">
        <f>HYPERLINK("klagomålsmail\A 45633-2021.docx")</f>
        <v/>
      </c>
      <c r="V177">
        <f>HYPERLINK("tillsyn\A 45633-2021.docx")</f>
        <v/>
      </c>
      <c r="W177">
        <f>HYPERLINK("tillsynsmail\A 45633-2021.docx")</f>
        <v/>
      </c>
    </row>
    <row r="178">
      <c r="A178" t="inlineStr">
        <is>
          <t>A 45635-2021</t>
        </is>
      </c>
      <c r="B178" s="1" t="n">
        <v>44440</v>
      </c>
      <c r="C178" s="1" t="n">
        <v>45156</v>
      </c>
      <c r="D178" t="inlineStr">
        <is>
          <t>STRÖMSUND</t>
        </is>
      </c>
      <c r="E178" t="inlineStr">
        <is>
          <t>SCA</t>
        </is>
      </c>
      <c r="F178" t="n">
        <v>2.9</v>
      </c>
      <c r="G178" t="n">
        <v>0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1</v>
      </c>
      <c r="O178" t="n">
        <v>1</v>
      </c>
      <c r="P178" t="n">
        <v>3</v>
      </c>
      <c r="Q178">
        <f>HYPERLINK("artfynd\A 45635-2021.xlsx")</f>
        <v/>
      </c>
      <c r="R178">
        <f>HYPERLINK("kartor\A 45635-2021.png")</f>
        <v/>
      </c>
      <c r="T178">
        <f>HYPERLINK("klagomål\A 45635-2021.docx")</f>
        <v/>
      </c>
      <c r="U178">
        <f>HYPERLINK("klagomålsmail\A 45635-2021.docx")</f>
        <v/>
      </c>
      <c r="V178">
        <f>HYPERLINK("tillsyn\A 45635-2021.docx")</f>
        <v/>
      </c>
      <c r="W178">
        <f>HYPERLINK("tillsynsmail\A 45635-2021.docx")</f>
        <v/>
      </c>
    </row>
    <row r="179">
      <c r="A179" t="inlineStr">
        <is>
          <t>A 53509-2021</t>
        </is>
      </c>
      <c r="B179" s="1" t="n">
        <v>44468</v>
      </c>
      <c r="C179" s="1" t="n">
        <v>45156</v>
      </c>
      <c r="D179" t="inlineStr">
        <is>
          <t>STRÖMSUND</t>
        </is>
      </c>
      <c r="E179" t="inlineStr">
        <is>
          <t>SCA</t>
        </is>
      </c>
      <c r="F179" t="n">
        <v>3.4</v>
      </c>
      <c r="G179" t="n">
        <v>0</v>
      </c>
      <c r="H179" t="n">
        <v>1</v>
      </c>
      <c r="I179" t="n">
        <v>2</v>
      </c>
      <c r="J179" t="n">
        <v>0</v>
      </c>
      <c r="K179" t="n">
        <v>0</v>
      </c>
      <c r="L179" t="n">
        <v>0</v>
      </c>
      <c r="M179" t="n">
        <v>0</v>
      </c>
      <c r="N179" t="n">
        <v>2</v>
      </c>
      <c r="O179" t="n">
        <v>0</v>
      </c>
      <c r="P179" t="n">
        <v>3</v>
      </c>
      <c r="Q179">
        <f>HYPERLINK("artfynd\A 53509-2021.xlsx")</f>
        <v/>
      </c>
      <c r="R179">
        <f>HYPERLINK("kartor\A 53509-2021.png")</f>
        <v/>
      </c>
      <c r="T179">
        <f>HYPERLINK("klagomål\A 53509-2021.docx")</f>
        <v/>
      </c>
      <c r="U179">
        <f>HYPERLINK("klagomålsmail\A 53509-2021.docx")</f>
        <v/>
      </c>
      <c r="V179">
        <f>HYPERLINK("tillsyn\A 53509-2021.docx")</f>
        <v/>
      </c>
      <c r="W179">
        <f>HYPERLINK("tillsynsmail\A 53509-2021.docx")</f>
        <v/>
      </c>
    </row>
    <row r="180">
      <c r="A180" t="inlineStr">
        <is>
          <t>A 55604-2021</t>
        </is>
      </c>
      <c r="B180" s="1" t="n">
        <v>44475</v>
      </c>
      <c r="C180" s="1" t="n">
        <v>45156</v>
      </c>
      <c r="D180" t="inlineStr">
        <is>
          <t>STRÖMSUND</t>
        </is>
      </c>
      <c r="E180" t="inlineStr">
        <is>
          <t>SCA</t>
        </is>
      </c>
      <c r="F180" t="n">
        <v>4.9</v>
      </c>
      <c r="G180" t="n">
        <v>0</v>
      </c>
      <c r="H180" t="n">
        <v>1</v>
      </c>
      <c r="I180" t="n">
        <v>2</v>
      </c>
      <c r="J180" t="n">
        <v>0</v>
      </c>
      <c r="K180" t="n">
        <v>0</v>
      </c>
      <c r="L180" t="n">
        <v>0</v>
      </c>
      <c r="M180" t="n">
        <v>0</v>
      </c>
      <c r="N180" t="n">
        <v>2</v>
      </c>
      <c r="O180" t="n">
        <v>0</v>
      </c>
      <c r="P180" t="n">
        <v>3</v>
      </c>
      <c r="Q180">
        <f>HYPERLINK("artfynd\A 55604-2021.xlsx")</f>
        <v/>
      </c>
      <c r="R180">
        <f>HYPERLINK("kartor\A 55604-2021.png")</f>
        <v/>
      </c>
      <c r="T180">
        <f>HYPERLINK("klagomål\A 55604-2021.docx")</f>
        <v/>
      </c>
      <c r="U180">
        <f>HYPERLINK("klagomålsmail\A 55604-2021.docx")</f>
        <v/>
      </c>
      <c r="V180">
        <f>HYPERLINK("tillsyn\A 55604-2021.docx")</f>
        <v/>
      </c>
      <c r="W180">
        <f>HYPERLINK("tillsynsmail\A 55604-2021.docx")</f>
        <v/>
      </c>
    </row>
    <row r="181">
      <c r="A181" t="inlineStr">
        <is>
          <t>A 61417-2021</t>
        </is>
      </c>
      <c r="B181" s="1" t="n">
        <v>44500</v>
      </c>
      <c r="C181" s="1" t="n">
        <v>45156</v>
      </c>
      <c r="D181" t="inlineStr">
        <is>
          <t>STRÖMSUND</t>
        </is>
      </c>
      <c r="E181" t="inlineStr">
        <is>
          <t>SCA</t>
        </is>
      </c>
      <c r="F181" t="n">
        <v>13.8</v>
      </c>
      <c r="G181" t="n">
        <v>0</v>
      </c>
      <c r="H181" t="n">
        <v>0</v>
      </c>
      <c r="I181" t="n">
        <v>2</v>
      </c>
      <c r="J181" t="n">
        <v>1</v>
      </c>
      <c r="K181" t="n">
        <v>0</v>
      </c>
      <c r="L181" t="n">
        <v>0</v>
      </c>
      <c r="M181" t="n">
        <v>0</v>
      </c>
      <c r="N181" t="n">
        <v>3</v>
      </c>
      <c r="O181" t="n">
        <v>1</v>
      </c>
      <c r="P181" t="n">
        <v>3</v>
      </c>
      <c r="Q181">
        <f>HYPERLINK("artfynd\A 61417-2021.xlsx")</f>
        <v/>
      </c>
      <c r="R181">
        <f>HYPERLINK("kartor\A 61417-2021.png")</f>
        <v/>
      </c>
      <c r="T181">
        <f>HYPERLINK("klagomål\A 61417-2021.docx")</f>
        <v/>
      </c>
      <c r="U181">
        <f>HYPERLINK("klagomålsmail\A 61417-2021.docx")</f>
        <v/>
      </c>
      <c r="V181">
        <f>HYPERLINK("tillsyn\A 61417-2021.docx")</f>
        <v/>
      </c>
      <c r="W181">
        <f>HYPERLINK("tillsynsmail\A 61417-2021.docx")</f>
        <v/>
      </c>
    </row>
    <row r="182">
      <c r="A182" t="inlineStr">
        <is>
          <t>A 66475-2021</t>
        </is>
      </c>
      <c r="B182" s="1" t="n">
        <v>44518</v>
      </c>
      <c r="C182" s="1" t="n">
        <v>45156</v>
      </c>
      <c r="D182" t="inlineStr">
        <is>
          <t>STRÖMSUND</t>
        </is>
      </c>
      <c r="E182" t="inlineStr">
        <is>
          <t>SCA</t>
        </is>
      </c>
      <c r="F182" t="n">
        <v>3.8</v>
      </c>
      <c r="G182" t="n">
        <v>0</v>
      </c>
      <c r="H182" t="n">
        <v>2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1</v>
      </c>
      <c r="O182" t="n">
        <v>0</v>
      </c>
      <c r="P182" t="n">
        <v>3</v>
      </c>
      <c r="Q182">
        <f>HYPERLINK("artfynd\A 66475-2021.xlsx")</f>
        <v/>
      </c>
      <c r="R182">
        <f>HYPERLINK("kartor\A 66475-2021.png")</f>
        <v/>
      </c>
      <c r="T182">
        <f>HYPERLINK("klagomål\A 66475-2021.docx")</f>
        <v/>
      </c>
      <c r="U182">
        <f>HYPERLINK("klagomålsmail\A 66475-2021.docx")</f>
        <v/>
      </c>
      <c r="V182">
        <f>HYPERLINK("tillsyn\A 66475-2021.docx")</f>
        <v/>
      </c>
      <c r="W182">
        <f>HYPERLINK("tillsynsmail\A 66475-2021.docx")</f>
        <v/>
      </c>
    </row>
    <row r="183">
      <c r="A183" t="inlineStr">
        <is>
          <t>A 68604-2021</t>
        </is>
      </c>
      <c r="B183" s="1" t="n">
        <v>44529</v>
      </c>
      <c r="C183" s="1" t="n">
        <v>45156</v>
      </c>
      <c r="D183" t="inlineStr">
        <is>
          <t>STRÖMSUND</t>
        </is>
      </c>
      <c r="F183" t="n">
        <v>1.3</v>
      </c>
      <c r="G183" t="n">
        <v>0</v>
      </c>
      <c r="H183" t="n">
        <v>1</v>
      </c>
      <c r="I183" t="n">
        <v>2</v>
      </c>
      <c r="J183" t="n">
        <v>0</v>
      </c>
      <c r="K183" t="n">
        <v>0</v>
      </c>
      <c r="L183" t="n">
        <v>0</v>
      </c>
      <c r="M183" t="n">
        <v>0</v>
      </c>
      <c r="N183" t="n">
        <v>2</v>
      </c>
      <c r="O183" t="n">
        <v>0</v>
      </c>
      <c r="P183" t="n">
        <v>3</v>
      </c>
      <c r="Q183">
        <f>HYPERLINK("artfynd\A 68604-2021.xlsx")</f>
        <v/>
      </c>
      <c r="R183">
        <f>HYPERLINK("kartor\A 68604-2021.png")</f>
        <v/>
      </c>
      <c r="T183">
        <f>HYPERLINK("klagomål\A 68604-2021.docx")</f>
        <v/>
      </c>
      <c r="U183">
        <f>HYPERLINK("klagomålsmail\A 68604-2021.docx")</f>
        <v/>
      </c>
      <c r="V183">
        <f>HYPERLINK("tillsyn\A 68604-2021.docx")</f>
        <v/>
      </c>
      <c r="W183">
        <f>HYPERLINK("tillsynsmail\A 68604-2021.docx")</f>
        <v/>
      </c>
    </row>
    <row r="184">
      <c r="A184" t="inlineStr">
        <is>
          <t>A 73291-2021</t>
        </is>
      </c>
      <c r="B184" s="1" t="n">
        <v>44550</v>
      </c>
      <c r="C184" s="1" t="n">
        <v>45156</v>
      </c>
      <c r="D184" t="inlineStr">
        <is>
          <t>STRÖMSUND</t>
        </is>
      </c>
      <c r="E184" t="inlineStr">
        <is>
          <t>SCA</t>
        </is>
      </c>
      <c r="F184" t="n">
        <v>2</v>
      </c>
      <c r="G184" t="n">
        <v>0</v>
      </c>
      <c r="H184" t="n">
        <v>1</v>
      </c>
      <c r="I184" t="n">
        <v>2</v>
      </c>
      <c r="J184" t="n">
        <v>0</v>
      </c>
      <c r="K184" t="n">
        <v>0</v>
      </c>
      <c r="L184" t="n">
        <v>0</v>
      </c>
      <c r="M184" t="n">
        <v>0</v>
      </c>
      <c r="N184" t="n">
        <v>2</v>
      </c>
      <c r="O184" t="n">
        <v>0</v>
      </c>
      <c r="P184" t="n">
        <v>3</v>
      </c>
      <c r="Q184">
        <f>HYPERLINK("artfynd\A 73291-2021.xlsx")</f>
        <v/>
      </c>
      <c r="R184">
        <f>HYPERLINK("kartor\A 73291-2021.png")</f>
        <v/>
      </c>
      <c r="T184">
        <f>HYPERLINK("klagomål\A 73291-2021.docx")</f>
        <v/>
      </c>
      <c r="U184">
        <f>HYPERLINK("klagomålsmail\A 73291-2021.docx")</f>
        <v/>
      </c>
      <c r="V184">
        <f>HYPERLINK("tillsyn\A 73291-2021.docx")</f>
        <v/>
      </c>
      <c r="W184">
        <f>HYPERLINK("tillsynsmail\A 73291-2021.docx")</f>
        <v/>
      </c>
    </row>
    <row r="185">
      <c r="A185" t="inlineStr">
        <is>
          <t>A 73514-2021</t>
        </is>
      </c>
      <c r="B185" s="1" t="n">
        <v>44551</v>
      </c>
      <c r="C185" s="1" t="n">
        <v>45156</v>
      </c>
      <c r="D185" t="inlineStr">
        <is>
          <t>STRÖMSUND</t>
        </is>
      </c>
      <c r="F185" t="n">
        <v>3.7</v>
      </c>
      <c r="G185" t="n">
        <v>0</v>
      </c>
      <c r="H185" t="n">
        <v>2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1</v>
      </c>
      <c r="O185" t="n">
        <v>1</v>
      </c>
      <c r="P185" t="n">
        <v>3</v>
      </c>
      <c r="Q185">
        <f>HYPERLINK("artfynd\A 73514-2021.xlsx")</f>
        <v/>
      </c>
      <c r="R185">
        <f>HYPERLINK("kartor\A 73514-2021.png")</f>
        <v/>
      </c>
      <c r="T185">
        <f>HYPERLINK("klagomål\A 73514-2021.docx")</f>
        <v/>
      </c>
      <c r="U185">
        <f>HYPERLINK("klagomålsmail\A 73514-2021.docx")</f>
        <v/>
      </c>
      <c r="V185">
        <f>HYPERLINK("tillsyn\A 73514-2021.docx")</f>
        <v/>
      </c>
      <c r="W185">
        <f>HYPERLINK("tillsynsmail\A 73514-2021.docx")</f>
        <v/>
      </c>
    </row>
    <row r="186">
      <c r="A186" t="inlineStr">
        <is>
          <t>A 23186-2022</t>
        </is>
      </c>
      <c r="B186" s="1" t="n">
        <v>44719</v>
      </c>
      <c r="C186" s="1" t="n">
        <v>45156</v>
      </c>
      <c r="D186" t="inlineStr">
        <is>
          <t>STRÖMSUND</t>
        </is>
      </c>
      <c r="F186" t="n">
        <v>14.3</v>
      </c>
      <c r="G186" t="n">
        <v>0</v>
      </c>
      <c r="H186" t="n">
        <v>0</v>
      </c>
      <c r="I186" t="n">
        <v>3</v>
      </c>
      <c r="J186" t="n">
        <v>0</v>
      </c>
      <c r="K186" t="n">
        <v>0</v>
      </c>
      <c r="L186" t="n">
        <v>0</v>
      </c>
      <c r="M186" t="n">
        <v>0</v>
      </c>
      <c r="N186" t="n">
        <v>3</v>
      </c>
      <c r="O186" t="n">
        <v>0</v>
      </c>
      <c r="P186" t="n">
        <v>3</v>
      </c>
      <c r="Q186">
        <f>HYPERLINK("artfynd\A 23186-2022.xlsx")</f>
        <v/>
      </c>
      <c r="R186">
        <f>HYPERLINK("kartor\A 23186-2022.png")</f>
        <v/>
      </c>
      <c r="T186">
        <f>HYPERLINK("klagomål\A 23186-2022.docx")</f>
        <v/>
      </c>
      <c r="U186">
        <f>HYPERLINK("klagomålsmail\A 23186-2022.docx")</f>
        <v/>
      </c>
      <c r="V186">
        <f>HYPERLINK("tillsyn\A 23186-2022.docx")</f>
        <v/>
      </c>
      <c r="W186">
        <f>HYPERLINK("tillsynsmail\A 23186-2022.docx")</f>
        <v/>
      </c>
    </row>
    <row r="187">
      <c r="A187" t="inlineStr">
        <is>
          <t>A 28288-2022</t>
        </is>
      </c>
      <c r="B187" s="1" t="n">
        <v>44746</v>
      </c>
      <c r="C187" s="1" t="n">
        <v>45156</v>
      </c>
      <c r="D187" t="inlineStr">
        <is>
          <t>STRÖMSUND</t>
        </is>
      </c>
      <c r="E187" t="inlineStr">
        <is>
          <t>SCA</t>
        </is>
      </c>
      <c r="F187" t="n">
        <v>12.8</v>
      </c>
      <c r="G187" t="n">
        <v>0</v>
      </c>
      <c r="H187" t="n">
        <v>0</v>
      </c>
      <c r="I187" t="n">
        <v>3</v>
      </c>
      <c r="J187" t="n">
        <v>0</v>
      </c>
      <c r="K187" t="n">
        <v>0</v>
      </c>
      <c r="L187" t="n">
        <v>0</v>
      </c>
      <c r="M187" t="n">
        <v>0</v>
      </c>
      <c r="N187" t="n">
        <v>3</v>
      </c>
      <c r="O187" t="n">
        <v>0</v>
      </c>
      <c r="P187" t="n">
        <v>3</v>
      </c>
      <c r="Q187">
        <f>HYPERLINK("artfynd\A 28288-2022.xlsx")</f>
        <v/>
      </c>
      <c r="R187">
        <f>HYPERLINK("kartor\A 28288-2022.png")</f>
        <v/>
      </c>
      <c r="T187">
        <f>HYPERLINK("klagomål\A 28288-2022.docx")</f>
        <v/>
      </c>
      <c r="U187">
        <f>HYPERLINK("klagomålsmail\A 28288-2022.docx")</f>
        <v/>
      </c>
      <c r="V187">
        <f>HYPERLINK("tillsyn\A 28288-2022.docx")</f>
        <v/>
      </c>
      <c r="W187">
        <f>HYPERLINK("tillsynsmail\A 28288-2022.docx")</f>
        <v/>
      </c>
    </row>
    <row r="188">
      <c r="A188" t="inlineStr">
        <is>
          <t>A 28492-2022</t>
        </is>
      </c>
      <c r="B188" s="1" t="n">
        <v>44747</v>
      </c>
      <c r="C188" s="1" t="n">
        <v>45156</v>
      </c>
      <c r="D188" t="inlineStr">
        <is>
          <t>STRÖMSUND</t>
        </is>
      </c>
      <c r="E188" t="inlineStr">
        <is>
          <t>SCA</t>
        </is>
      </c>
      <c r="F188" t="n">
        <v>2</v>
      </c>
      <c r="G188" t="n">
        <v>0</v>
      </c>
      <c r="H188" t="n">
        <v>1</v>
      </c>
      <c r="I188" t="n">
        <v>2</v>
      </c>
      <c r="J188" t="n">
        <v>0</v>
      </c>
      <c r="K188" t="n">
        <v>0</v>
      </c>
      <c r="L188" t="n">
        <v>0</v>
      </c>
      <c r="M188" t="n">
        <v>0</v>
      </c>
      <c r="N188" t="n">
        <v>2</v>
      </c>
      <c r="O188" t="n">
        <v>0</v>
      </c>
      <c r="P188" t="n">
        <v>3</v>
      </c>
      <c r="Q188">
        <f>HYPERLINK("artfynd\A 28492-2022.xlsx")</f>
        <v/>
      </c>
      <c r="R188">
        <f>HYPERLINK("kartor\A 28492-2022.png")</f>
        <v/>
      </c>
      <c r="T188">
        <f>HYPERLINK("klagomål\A 28492-2022.docx")</f>
        <v/>
      </c>
      <c r="U188">
        <f>HYPERLINK("klagomålsmail\A 28492-2022.docx")</f>
        <v/>
      </c>
      <c r="V188">
        <f>HYPERLINK("tillsyn\A 28492-2022.docx")</f>
        <v/>
      </c>
      <c r="W188">
        <f>HYPERLINK("tillsynsmail\A 28492-2022.docx")</f>
        <v/>
      </c>
    </row>
    <row r="189">
      <c r="A189" t="inlineStr">
        <is>
          <t>A 29301-2022</t>
        </is>
      </c>
      <c r="B189" s="1" t="n">
        <v>44750</v>
      </c>
      <c r="C189" s="1" t="n">
        <v>45156</v>
      </c>
      <c r="D189" t="inlineStr">
        <is>
          <t>STRÖMSUND</t>
        </is>
      </c>
      <c r="E189" t="inlineStr">
        <is>
          <t>SCA</t>
        </is>
      </c>
      <c r="F189" t="n">
        <v>6.8</v>
      </c>
      <c r="G189" t="n">
        <v>0</v>
      </c>
      <c r="H189" t="n">
        <v>1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2</v>
      </c>
      <c r="O189" t="n">
        <v>0</v>
      </c>
      <c r="P189" t="n">
        <v>3</v>
      </c>
      <c r="Q189">
        <f>HYPERLINK("artfynd\A 29301-2022.xlsx")</f>
        <v/>
      </c>
      <c r="R189">
        <f>HYPERLINK("kartor\A 29301-2022.png")</f>
        <v/>
      </c>
      <c r="T189">
        <f>HYPERLINK("klagomål\A 29301-2022.docx")</f>
        <v/>
      </c>
      <c r="U189">
        <f>HYPERLINK("klagomålsmail\A 29301-2022.docx")</f>
        <v/>
      </c>
      <c r="V189">
        <f>HYPERLINK("tillsyn\A 29301-2022.docx")</f>
        <v/>
      </c>
      <c r="W189">
        <f>HYPERLINK("tillsynsmail\A 29301-2022.docx")</f>
        <v/>
      </c>
    </row>
    <row r="190">
      <c r="A190" t="inlineStr">
        <is>
          <t>A 36365-2022</t>
        </is>
      </c>
      <c r="B190" s="1" t="n">
        <v>44803</v>
      </c>
      <c r="C190" s="1" t="n">
        <v>45156</v>
      </c>
      <c r="D190" t="inlineStr">
        <is>
          <t>STRÖMSUND</t>
        </is>
      </c>
      <c r="E190" t="inlineStr">
        <is>
          <t>SCA</t>
        </is>
      </c>
      <c r="F190" t="n">
        <v>16.8</v>
      </c>
      <c r="G190" t="n">
        <v>0</v>
      </c>
      <c r="H190" t="n">
        <v>0</v>
      </c>
      <c r="I190" t="n">
        <v>3</v>
      </c>
      <c r="J190" t="n">
        <v>0</v>
      </c>
      <c r="K190" t="n">
        <v>0</v>
      </c>
      <c r="L190" t="n">
        <v>0</v>
      </c>
      <c r="M190" t="n">
        <v>0</v>
      </c>
      <c r="N190" t="n">
        <v>3</v>
      </c>
      <c r="O190" t="n">
        <v>0</v>
      </c>
      <c r="P190" t="n">
        <v>3</v>
      </c>
      <c r="Q190">
        <f>HYPERLINK("artfynd\A 36365-2022.xlsx")</f>
        <v/>
      </c>
      <c r="R190">
        <f>HYPERLINK("kartor\A 36365-2022.png")</f>
        <v/>
      </c>
      <c r="T190">
        <f>HYPERLINK("klagomål\A 36365-2022.docx")</f>
        <v/>
      </c>
      <c r="U190">
        <f>HYPERLINK("klagomålsmail\A 36365-2022.docx")</f>
        <v/>
      </c>
      <c r="V190">
        <f>HYPERLINK("tillsyn\A 36365-2022.docx")</f>
        <v/>
      </c>
      <c r="W190">
        <f>HYPERLINK("tillsynsmail\A 36365-2022.docx")</f>
        <v/>
      </c>
    </row>
    <row r="191">
      <c r="A191" t="inlineStr">
        <is>
          <t>A 37786-2022</t>
        </is>
      </c>
      <c r="B191" s="1" t="n">
        <v>44810</v>
      </c>
      <c r="C191" s="1" t="n">
        <v>45156</v>
      </c>
      <c r="D191" t="inlineStr">
        <is>
          <t>STRÖMSUND</t>
        </is>
      </c>
      <c r="F191" t="n">
        <v>2.3</v>
      </c>
      <c r="G191" t="n">
        <v>1</v>
      </c>
      <c r="H191" t="n">
        <v>2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1</v>
      </c>
      <c r="O191" t="n">
        <v>0</v>
      </c>
      <c r="P191" t="n">
        <v>3</v>
      </c>
      <c r="Q191">
        <f>HYPERLINK("artfynd\A 37786-2022.xlsx")</f>
        <v/>
      </c>
      <c r="R191">
        <f>HYPERLINK("kartor\A 37786-2022.png")</f>
        <v/>
      </c>
      <c r="T191">
        <f>HYPERLINK("klagomål\A 37786-2022.docx")</f>
        <v/>
      </c>
      <c r="U191">
        <f>HYPERLINK("klagomålsmail\A 37786-2022.docx")</f>
        <v/>
      </c>
      <c r="V191">
        <f>HYPERLINK("tillsyn\A 37786-2022.docx")</f>
        <v/>
      </c>
      <c r="W191">
        <f>HYPERLINK("tillsynsmail\A 37786-2022.docx")</f>
        <v/>
      </c>
    </row>
    <row r="192">
      <c r="A192" t="inlineStr">
        <is>
          <t>A 43161-2022</t>
        </is>
      </c>
      <c r="B192" s="1" t="n">
        <v>44833</v>
      </c>
      <c r="C192" s="1" t="n">
        <v>45156</v>
      </c>
      <c r="D192" t="inlineStr">
        <is>
          <t>STRÖMSUND</t>
        </is>
      </c>
      <c r="E192" t="inlineStr">
        <is>
          <t>SCA</t>
        </is>
      </c>
      <c r="F192" t="n">
        <v>5.5</v>
      </c>
      <c r="G192" t="n">
        <v>0</v>
      </c>
      <c r="H192" t="n">
        <v>1</v>
      </c>
      <c r="I192" t="n">
        <v>2</v>
      </c>
      <c r="J192" t="n">
        <v>0</v>
      </c>
      <c r="K192" t="n">
        <v>0</v>
      </c>
      <c r="L192" t="n">
        <v>0</v>
      </c>
      <c r="M192" t="n">
        <v>0</v>
      </c>
      <c r="N192" t="n">
        <v>2</v>
      </c>
      <c r="O192" t="n">
        <v>0</v>
      </c>
      <c r="P192" t="n">
        <v>3</v>
      </c>
      <c r="Q192">
        <f>HYPERLINK("artfynd\A 43161-2022.xlsx")</f>
        <v/>
      </c>
      <c r="R192">
        <f>HYPERLINK("kartor\A 43161-2022.png")</f>
        <v/>
      </c>
      <c r="T192">
        <f>HYPERLINK("klagomål\A 43161-2022.docx")</f>
        <v/>
      </c>
      <c r="U192">
        <f>HYPERLINK("klagomålsmail\A 43161-2022.docx")</f>
        <v/>
      </c>
      <c r="V192">
        <f>HYPERLINK("tillsyn\A 43161-2022.docx")</f>
        <v/>
      </c>
      <c r="W192">
        <f>HYPERLINK("tillsynsmail\A 43161-2022.docx")</f>
        <v/>
      </c>
    </row>
    <row r="193">
      <c r="A193" t="inlineStr">
        <is>
          <t>A 43412-2022</t>
        </is>
      </c>
      <c r="B193" s="1" t="n">
        <v>44834</v>
      </c>
      <c r="C193" s="1" t="n">
        <v>45156</v>
      </c>
      <c r="D193" t="inlineStr">
        <is>
          <t>STRÖMSUND</t>
        </is>
      </c>
      <c r="F193" t="n">
        <v>22.7</v>
      </c>
      <c r="G193" t="n">
        <v>1</v>
      </c>
      <c r="H193" t="n">
        <v>2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3</v>
      </c>
      <c r="Q193">
        <f>HYPERLINK("artfynd\A 43412-2022.xlsx")</f>
        <v/>
      </c>
      <c r="R193">
        <f>HYPERLINK("kartor\A 43412-2022.png")</f>
        <v/>
      </c>
      <c r="T193">
        <f>HYPERLINK("klagomål\A 43412-2022.docx")</f>
        <v/>
      </c>
      <c r="U193">
        <f>HYPERLINK("klagomålsmail\A 43412-2022.docx")</f>
        <v/>
      </c>
      <c r="V193">
        <f>HYPERLINK("tillsyn\A 43412-2022.docx")</f>
        <v/>
      </c>
      <c r="W193">
        <f>HYPERLINK("tillsynsmail\A 43412-2022.docx")</f>
        <v/>
      </c>
    </row>
    <row r="194">
      <c r="A194" t="inlineStr">
        <is>
          <t>A 46988-2022</t>
        </is>
      </c>
      <c r="B194" s="1" t="n">
        <v>44851</v>
      </c>
      <c r="C194" s="1" t="n">
        <v>45156</v>
      </c>
      <c r="D194" t="inlineStr">
        <is>
          <t>STRÖMSUND</t>
        </is>
      </c>
      <c r="E194" t="inlineStr">
        <is>
          <t>SCA</t>
        </is>
      </c>
      <c r="F194" t="n">
        <v>2.3</v>
      </c>
      <c r="G194" t="n">
        <v>1</v>
      </c>
      <c r="H194" t="n">
        <v>1</v>
      </c>
      <c r="I194" t="n">
        <v>2</v>
      </c>
      <c r="J194" t="n">
        <v>0</v>
      </c>
      <c r="K194" t="n">
        <v>0</v>
      </c>
      <c r="L194" t="n">
        <v>0</v>
      </c>
      <c r="M194" t="n">
        <v>0</v>
      </c>
      <c r="N194" t="n">
        <v>2</v>
      </c>
      <c r="O194" t="n">
        <v>0</v>
      </c>
      <c r="P194" t="n">
        <v>3</v>
      </c>
      <c r="Q194">
        <f>HYPERLINK("artfynd\A 46988-2022.xlsx")</f>
        <v/>
      </c>
      <c r="R194">
        <f>HYPERLINK("kartor\A 46988-2022.png")</f>
        <v/>
      </c>
      <c r="T194">
        <f>HYPERLINK("klagomål\A 46988-2022.docx")</f>
        <v/>
      </c>
      <c r="U194">
        <f>HYPERLINK("klagomålsmail\A 46988-2022.docx")</f>
        <v/>
      </c>
      <c r="V194">
        <f>HYPERLINK("tillsyn\A 46988-2022.docx")</f>
        <v/>
      </c>
      <c r="W194">
        <f>HYPERLINK("tillsynsmail\A 46988-2022.docx")</f>
        <v/>
      </c>
    </row>
    <row r="195">
      <c r="A195" t="inlineStr">
        <is>
          <t>A 50683-2022</t>
        </is>
      </c>
      <c r="B195" s="1" t="n">
        <v>44866</v>
      </c>
      <c r="C195" s="1" t="n">
        <v>45156</v>
      </c>
      <c r="D195" t="inlineStr">
        <is>
          <t>STRÖMSUND</t>
        </is>
      </c>
      <c r="E195" t="inlineStr">
        <is>
          <t>SCA</t>
        </is>
      </c>
      <c r="F195" t="n">
        <v>4.8</v>
      </c>
      <c r="G195" t="n">
        <v>0</v>
      </c>
      <c r="H195" t="n">
        <v>0</v>
      </c>
      <c r="I195" t="n">
        <v>3</v>
      </c>
      <c r="J195" t="n">
        <v>0</v>
      </c>
      <c r="K195" t="n">
        <v>0</v>
      </c>
      <c r="L195" t="n">
        <v>0</v>
      </c>
      <c r="M195" t="n">
        <v>0</v>
      </c>
      <c r="N195" t="n">
        <v>3</v>
      </c>
      <c r="O195" t="n">
        <v>0</v>
      </c>
      <c r="P195" t="n">
        <v>3</v>
      </c>
      <c r="Q195">
        <f>HYPERLINK("artfynd\A 50683-2022.xlsx")</f>
        <v/>
      </c>
      <c r="R195">
        <f>HYPERLINK("kartor\A 50683-2022.png")</f>
        <v/>
      </c>
      <c r="T195">
        <f>HYPERLINK("klagomål\A 50683-2022.docx")</f>
        <v/>
      </c>
      <c r="U195">
        <f>HYPERLINK("klagomålsmail\A 50683-2022.docx")</f>
        <v/>
      </c>
      <c r="V195">
        <f>HYPERLINK("tillsyn\A 50683-2022.docx")</f>
        <v/>
      </c>
      <c r="W195">
        <f>HYPERLINK("tillsynsmail\A 50683-2022.docx")</f>
        <v/>
      </c>
    </row>
    <row r="196">
      <c r="A196" t="inlineStr">
        <is>
          <t>A 55533-2022</t>
        </is>
      </c>
      <c r="B196" s="1" t="n">
        <v>44887</v>
      </c>
      <c r="C196" s="1" t="n">
        <v>45156</v>
      </c>
      <c r="D196" t="inlineStr">
        <is>
          <t>STRÖMSUND</t>
        </is>
      </c>
      <c r="E196" t="inlineStr">
        <is>
          <t>SCA</t>
        </is>
      </c>
      <c r="F196" t="n">
        <v>4.7</v>
      </c>
      <c r="G196" t="n">
        <v>0</v>
      </c>
      <c r="H196" t="n">
        <v>1</v>
      </c>
      <c r="I196" t="n">
        <v>1</v>
      </c>
      <c r="J196" t="n">
        <v>1</v>
      </c>
      <c r="K196" t="n">
        <v>0</v>
      </c>
      <c r="L196" t="n">
        <v>0</v>
      </c>
      <c r="M196" t="n">
        <v>0</v>
      </c>
      <c r="N196" t="n">
        <v>2</v>
      </c>
      <c r="O196" t="n">
        <v>1</v>
      </c>
      <c r="P196" t="n">
        <v>3</v>
      </c>
      <c r="Q196">
        <f>HYPERLINK("artfynd\A 55533-2022.xlsx")</f>
        <v/>
      </c>
      <c r="R196">
        <f>HYPERLINK("kartor\A 55533-2022.png")</f>
        <v/>
      </c>
      <c r="T196">
        <f>HYPERLINK("klagomål\A 55533-2022.docx")</f>
        <v/>
      </c>
      <c r="U196">
        <f>HYPERLINK("klagomålsmail\A 55533-2022.docx")</f>
        <v/>
      </c>
      <c r="V196">
        <f>HYPERLINK("tillsyn\A 55533-2022.docx")</f>
        <v/>
      </c>
      <c r="W196">
        <f>HYPERLINK("tillsynsmail\A 55533-2022.docx")</f>
        <v/>
      </c>
    </row>
    <row r="197">
      <c r="A197" t="inlineStr">
        <is>
          <t>A 61385-2022</t>
        </is>
      </c>
      <c r="B197" s="1" t="n">
        <v>44915</v>
      </c>
      <c r="C197" s="1" t="n">
        <v>45156</v>
      </c>
      <c r="D197" t="inlineStr">
        <is>
          <t>STRÖMSUND</t>
        </is>
      </c>
      <c r="F197" t="n">
        <v>2.6</v>
      </c>
      <c r="G197" t="n">
        <v>1</v>
      </c>
      <c r="H197" t="n">
        <v>2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1</v>
      </c>
      <c r="O197" t="n">
        <v>0</v>
      </c>
      <c r="P197" t="n">
        <v>3</v>
      </c>
      <c r="Q197">
        <f>HYPERLINK("artfynd\A 61385-2022.xlsx")</f>
        <v/>
      </c>
      <c r="R197">
        <f>HYPERLINK("kartor\A 61385-2022.png")</f>
        <v/>
      </c>
      <c r="T197">
        <f>HYPERLINK("klagomål\A 61385-2022.docx")</f>
        <v/>
      </c>
      <c r="U197">
        <f>HYPERLINK("klagomålsmail\A 61385-2022.docx")</f>
        <v/>
      </c>
      <c r="V197">
        <f>HYPERLINK("tillsyn\A 61385-2022.docx")</f>
        <v/>
      </c>
      <c r="W197">
        <f>HYPERLINK("tillsynsmail\A 61385-2022.docx")</f>
        <v/>
      </c>
    </row>
    <row r="198">
      <c r="A198" t="inlineStr">
        <is>
          <t>A 10065-2023</t>
        </is>
      </c>
      <c r="B198" s="1" t="n">
        <v>44985</v>
      </c>
      <c r="C198" s="1" t="n">
        <v>45156</v>
      </c>
      <c r="D198" t="inlineStr">
        <is>
          <t>STRÖMSUND</t>
        </is>
      </c>
      <c r="F198" t="n">
        <v>0.6</v>
      </c>
      <c r="G198" t="n">
        <v>1</v>
      </c>
      <c r="H198" t="n">
        <v>2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1</v>
      </c>
      <c r="O198" t="n">
        <v>0</v>
      </c>
      <c r="P198" t="n">
        <v>3</v>
      </c>
      <c r="Q198">
        <f>HYPERLINK("artfynd\A 10065-2023.xlsx")</f>
        <v/>
      </c>
      <c r="R198">
        <f>HYPERLINK("kartor\A 10065-2023.png")</f>
        <v/>
      </c>
      <c r="T198">
        <f>HYPERLINK("klagomål\A 10065-2023.docx")</f>
        <v/>
      </c>
      <c r="U198">
        <f>HYPERLINK("klagomålsmail\A 10065-2023.docx")</f>
        <v/>
      </c>
      <c r="V198">
        <f>HYPERLINK("tillsyn\A 10065-2023.docx")</f>
        <v/>
      </c>
      <c r="W198">
        <f>HYPERLINK("tillsynsmail\A 10065-2023.docx")</f>
        <v/>
      </c>
    </row>
    <row r="199">
      <c r="A199" t="inlineStr">
        <is>
          <t>A 24836-2023</t>
        </is>
      </c>
      <c r="B199" s="1" t="n">
        <v>45084</v>
      </c>
      <c r="C199" s="1" t="n">
        <v>45156</v>
      </c>
      <c r="D199" t="inlineStr">
        <is>
          <t>STRÖMSUND</t>
        </is>
      </c>
      <c r="E199" t="inlineStr">
        <is>
          <t>SCA</t>
        </is>
      </c>
      <c r="F199" t="n">
        <v>8.800000000000001</v>
      </c>
      <c r="G199" t="n">
        <v>0</v>
      </c>
      <c r="H199" t="n">
        <v>2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1</v>
      </c>
      <c r="O199" t="n">
        <v>0</v>
      </c>
      <c r="P199" t="n">
        <v>3</v>
      </c>
      <c r="Q199">
        <f>HYPERLINK("artfynd\A 24836-2023.xlsx")</f>
        <v/>
      </c>
      <c r="R199">
        <f>HYPERLINK("kartor\A 24836-2023.png")</f>
        <v/>
      </c>
      <c r="T199">
        <f>HYPERLINK("klagomål\A 24836-2023.docx")</f>
        <v/>
      </c>
      <c r="U199">
        <f>HYPERLINK("klagomålsmail\A 24836-2023.docx")</f>
        <v/>
      </c>
      <c r="V199">
        <f>HYPERLINK("tillsyn\A 24836-2023.docx")</f>
        <v/>
      </c>
      <c r="W199">
        <f>HYPERLINK("tillsynsmail\A 24836-2023.docx")</f>
        <v/>
      </c>
    </row>
    <row r="200">
      <c r="A200" t="inlineStr">
        <is>
          <t>A 25327-2023</t>
        </is>
      </c>
      <c r="B200" s="1" t="n">
        <v>45086</v>
      </c>
      <c r="C200" s="1" t="n">
        <v>45156</v>
      </c>
      <c r="D200" t="inlineStr">
        <is>
          <t>STRÖMSUND</t>
        </is>
      </c>
      <c r="E200" t="inlineStr">
        <is>
          <t>SCA</t>
        </is>
      </c>
      <c r="F200" t="n">
        <v>4.2</v>
      </c>
      <c r="G200" t="n">
        <v>0</v>
      </c>
      <c r="H200" t="n">
        <v>0</v>
      </c>
      <c r="I200" t="n">
        <v>3</v>
      </c>
      <c r="J200" t="n">
        <v>0</v>
      </c>
      <c r="K200" t="n">
        <v>0</v>
      </c>
      <c r="L200" t="n">
        <v>0</v>
      </c>
      <c r="M200" t="n">
        <v>0</v>
      </c>
      <c r="N200" t="n">
        <v>3</v>
      </c>
      <c r="O200" t="n">
        <v>0</v>
      </c>
      <c r="P200" t="n">
        <v>3</v>
      </c>
      <c r="Q200">
        <f>HYPERLINK("artfynd\A 25327-2023.xlsx")</f>
        <v/>
      </c>
      <c r="R200">
        <f>HYPERLINK("kartor\A 25327-2023.png")</f>
        <v/>
      </c>
      <c r="T200">
        <f>HYPERLINK("klagomål\A 25327-2023.docx")</f>
        <v/>
      </c>
      <c r="U200">
        <f>HYPERLINK("klagomålsmail\A 25327-2023.docx")</f>
        <v/>
      </c>
      <c r="V200">
        <f>HYPERLINK("tillsyn\A 25327-2023.docx")</f>
        <v/>
      </c>
      <c r="W200">
        <f>HYPERLINK("tillsynsmail\A 25327-2023.docx")</f>
        <v/>
      </c>
    </row>
    <row r="201">
      <c r="A201" t="inlineStr">
        <is>
          <t>A 26651-2023</t>
        </is>
      </c>
      <c r="B201" s="1" t="n">
        <v>45092</v>
      </c>
      <c r="C201" s="1" t="n">
        <v>45156</v>
      </c>
      <c r="D201" t="inlineStr">
        <is>
          <t>STRÖMSUND</t>
        </is>
      </c>
      <c r="E201" t="inlineStr">
        <is>
          <t>SCA</t>
        </is>
      </c>
      <c r="F201" t="n">
        <v>3.6</v>
      </c>
      <c r="G201" t="n">
        <v>1</v>
      </c>
      <c r="H201" t="n">
        <v>1</v>
      </c>
      <c r="I201" t="n">
        <v>2</v>
      </c>
      <c r="J201" t="n">
        <v>0</v>
      </c>
      <c r="K201" t="n">
        <v>0</v>
      </c>
      <c r="L201" t="n">
        <v>0</v>
      </c>
      <c r="M201" t="n">
        <v>0</v>
      </c>
      <c r="N201" t="n">
        <v>2</v>
      </c>
      <c r="O201" t="n">
        <v>0</v>
      </c>
      <c r="P201" t="n">
        <v>3</v>
      </c>
      <c r="Q201">
        <f>HYPERLINK("artfynd\A 26651-2023.xlsx")</f>
        <v/>
      </c>
      <c r="R201">
        <f>HYPERLINK("kartor\A 26651-2023.png")</f>
        <v/>
      </c>
      <c r="T201">
        <f>HYPERLINK("klagomål\A 26651-2023.docx")</f>
        <v/>
      </c>
      <c r="U201">
        <f>HYPERLINK("klagomålsmail\A 26651-2023.docx")</f>
        <v/>
      </c>
      <c r="V201">
        <f>HYPERLINK("tillsyn\A 26651-2023.docx")</f>
        <v/>
      </c>
      <c r="W201">
        <f>HYPERLINK("tillsynsmail\A 26651-2023.docx")</f>
        <v/>
      </c>
    </row>
    <row r="202">
      <c r="A202" t="inlineStr">
        <is>
          <t>A 29072-2023</t>
        </is>
      </c>
      <c r="B202" s="1" t="n">
        <v>45104</v>
      </c>
      <c r="C202" s="1" t="n">
        <v>45156</v>
      </c>
      <c r="D202" t="inlineStr">
        <is>
          <t>STRÖMSUND</t>
        </is>
      </c>
      <c r="E202" t="inlineStr">
        <is>
          <t>SCA</t>
        </is>
      </c>
      <c r="F202" t="n">
        <v>12.6</v>
      </c>
      <c r="G202" t="n">
        <v>0</v>
      </c>
      <c r="H202" t="n">
        <v>1</v>
      </c>
      <c r="I202" t="n">
        <v>1</v>
      </c>
      <c r="J202" t="n">
        <v>1</v>
      </c>
      <c r="K202" t="n">
        <v>0</v>
      </c>
      <c r="L202" t="n">
        <v>0</v>
      </c>
      <c r="M202" t="n">
        <v>0</v>
      </c>
      <c r="N202" t="n">
        <v>2</v>
      </c>
      <c r="O202" t="n">
        <v>1</v>
      </c>
      <c r="P202" t="n">
        <v>3</v>
      </c>
      <c r="Q202">
        <f>HYPERLINK("artfynd\A 29072-2023.xlsx")</f>
        <v/>
      </c>
      <c r="R202">
        <f>HYPERLINK("kartor\A 29072-2023.png")</f>
        <v/>
      </c>
      <c r="T202">
        <f>HYPERLINK("klagomål\A 29072-2023.docx")</f>
        <v/>
      </c>
      <c r="U202">
        <f>HYPERLINK("klagomålsmail\A 29072-2023.docx")</f>
        <v/>
      </c>
      <c r="V202">
        <f>HYPERLINK("tillsyn\A 29072-2023.docx")</f>
        <v/>
      </c>
      <c r="W202">
        <f>HYPERLINK("tillsynsmail\A 29072-2023.docx")</f>
        <v/>
      </c>
    </row>
    <row r="203">
      <c r="A203" t="inlineStr">
        <is>
          <t>A 29606-2023</t>
        </is>
      </c>
      <c r="B203" s="1" t="n">
        <v>45106</v>
      </c>
      <c r="C203" s="1" t="n">
        <v>45156</v>
      </c>
      <c r="D203" t="inlineStr">
        <is>
          <t>STRÖMSUND</t>
        </is>
      </c>
      <c r="E203" t="inlineStr">
        <is>
          <t>SCA</t>
        </is>
      </c>
      <c r="F203" t="n">
        <v>5.2</v>
      </c>
      <c r="G203" t="n">
        <v>0</v>
      </c>
      <c r="H203" t="n">
        <v>0</v>
      </c>
      <c r="I203" t="n">
        <v>3</v>
      </c>
      <c r="J203" t="n">
        <v>0</v>
      </c>
      <c r="K203" t="n">
        <v>0</v>
      </c>
      <c r="L203" t="n">
        <v>0</v>
      </c>
      <c r="M203" t="n">
        <v>0</v>
      </c>
      <c r="N203" t="n">
        <v>3</v>
      </c>
      <c r="O203" t="n">
        <v>0</v>
      </c>
      <c r="P203" t="n">
        <v>3</v>
      </c>
      <c r="Q203">
        <f>HYPERLINK("artfynd\A 29606-2023.xlsx")</f>
        <v/>
      </c>
      <c r="R203">
        <f>HYPERLINK("kartor\A 29606-2023.png")</f>
        <v/>
      </c>
      <c r="T203">
        <f>HYPERLINK("klagomål\A 29606-2023.docx")</f>
        <v/>
      </c>
      <c r="U203">
        <f>HYPERLINK("klagomålsmail\A 29606-2023.docx")</f>
        <v/>
      </c>
      <c r="V203">
        <f>HYPERLINK("tillsyn\A 29606-2023.docx")</f>
        <v/>
      </c>
      <c r="W203">
        <f>HYPERLINK("tillsynsmail\A 29606-2023.docx")</f>
        <v/>
      </c>
    </row>
    <row r="204">
      <c r="A204" t="inlineStr">
        <is>
          <t>A 33329-2023</t>
        </is>
      </c>
      <c r="B204" s="1" t="n">
        <v>45127</v>
      </c>
      <c r="C204" s="1" t="n">
        <v>45156</v>
      </c>
      <c r="D204" t="inlineStr">
        <is>
          <t>STRÖMSUND</t>
        </is>
      </c>
      <c r="E204" t="inlineStr">
        <is>
          <t>SCA</t>
        </is>
      </c>
      <c r="F204" t="n">
        <v>6.4</v>
      </c>
      <c r="G204" t="n">
        <v>0</v>
      </c>
      <c r="H204" t="n">
        <v>0</v>
      </c>
      <c r="I204" t="n">
        <v>3</v>
      </c>
      <c r="J204" t="n">
        <v>0</v>
      </c>
      <c r="K204" t="n">
        <v>0</v>
      </c>
      <c r="L204" t="n">
        <v>0</v>
      </c>
      <c r="M204" t="n">
        <v>0</v>
      </c>
      <c r="N204" t="n">
        <v>3</v>
      </c>
      <c r="O204" t="n">
        <v>0</v>
      </c>
      <c r="P204" t="n">
        <v>3</v>
      </c>
      <c r="Q204">
        <f>HYPERLINK("artfynd\A 33329-2023.xlsx")</f>
        <v/>
      </c>
      <c r="R204">
        <f>HYPERLINK("kartor\A 33329-2023.png")</f>
        <v/>
      </c>
      <c r="T204">
        <f>HYPERLINK("klagomål\A 33329-2023.docx")</f>
        <v/>
      </c>
      <c r="U204">
        <f>HYPERLINK("klagomålsmail\A 33329-2023.docx")</f>
        <v/>
      </c>
      <c r="V204">
        <f>HYPERLINK("tillsyn\A 33329-2023.docx")</f>
        <v/>
      </c>
      <c r="W204">
        <f>HYPERLINK("tillsynsmail\A 33329-2023.docx")</f>
        <v/>
      </c>
    </row>
    <row r="205">
      <c r="A205" t="inlineStr">
        <is>
          <t>A 46950-2018</t>
        </is>
      </c>
      <c r="B205" s="1" t="n">
        <v>43369</v>
      </c>
      <c r="C205" s="1" t="n">
        <v>45156</v>
      </c>
      <c r="D205" t="inlineStr">
        <is>
          <t>STRÖMSUND</t>
        </is>
      </c>
      <c r="F205" t="n">
        <v>19.3</v>
      </c>
      <c r="G205" t="n">
        <v>0</v>
      </c>
      <c r="H205" t="n">
        <v>1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1</v>
      </c>
      <c r="O205" t="n">
        <v>0</v>
      </c>
      <c r="P205" t="n">
        <v>2</v>
      </c>
      <c r="Q205">
        <f>HYPERLINK("artfynd\A 46950-2018.xlsx")</f>
        <v/>
      </c>
      <c r="R205">
        <f>HYPERLINK("kartor\A 46950-2018.png")</f>
        <v/>
      </c>
      <c r="T205">
        <f>HYPERLINK("klagomål\A 46950-2018.docx")</f>
        <v/>
      </c>
      <c r="U205">
        <f>HYPERLINK("klagomålsmail\A 46950-2018.docx")</f>
        <v/>
      </c>
      <c r="V205">
        <f>HYPERLINK("tillsyn\A 46950-2018.docx")</f>
        <v/>
      </c>
      <c r="W205">
        <f>HYPERLINK("tillsynsmail\A 46950-2018.docx")</f>
        <v/>
      </c>
    </row>
    <row r="206">
      <c r="A206" t="inlineStr">
        <is>
          <t>A 41041-2019</t>
        </is>
      </c>
      <c r="B206" s="1" t="n">
        <v>43697</v>
      </c>
      <c r="C206" s="1" t="n">
        <v>45156</v>
      </c>
      <c r="D206" t="inlineStr">
        <is>
          <t>STRÖMSUND</t>
        </is>
      </c>
      <c r="E206" t="inlineStr">
        <is>
          <t>SCA</t>
        </is>
      </c>
      <c r="F206" t="n">
        <v>23.9</v>
      </c>
      <c r="G206" t="n">
        <v>0</v>
      </c>
      <c r="H206" t="n">
        <v>0</v>
      </c>
      <c r="I206" t="n">
        <v>1</v>
      </c>
      <c r="J206" t="n">
        <v>1</v>
      </c>
      <c r="K206" t="n">
        <v>0</v>
      </c>
      <c r="L206" t="n">
        <v>0</v>
      </c>
      <c r="M206" t="n">
        <v>0</v>
      </c>
      <c r="N206" t="n">
        <v>2</v>
      </c>
      <c r="O206" t="n">
        <v>1</v>
      </c>
      <c r="P206" t="n">
        <v>2</v>
      </c>
      <c r="Q206">
        <f>HYPERLINK("artfynd\A 41041-2019.xlsx")</f>
        <v/>
      </c>
      <c r="R206">
        <f>HYPERLINK("kartor\A 41041-2019.png")</f>
        <v/>
      </c>
      <c r="T206">
        <f>HYPERLINK("klagomål\A 41041-2019.docx")</f>
        <v/>
      </c>
      <c r="U206">
        <f>HYPERLINK("klagomålsmail\A 41041-2019.docx")</f>
        <v/>
      </c>
      <c r="V206">
        <f>HYPERLINK("tillsyn\A 41041-2019.docx")</f>
        <v/>
      </c>
      <c r="W206">
        <f>HYPERLINK("tillsynsmail\A 41041-2019.docx")</f>
        <v/>
      </c>
    </row>
    <row r="207">
      <c r="A207" t="inlineStr">
        <is>
          <t>A 42067-2019</t>
        </is>
      </c>
      <c r="B207" s="1" t="n">
        <v>43700</v>
      </c>
      <c r="C207" s="1" t="n">
        <v>45156</v>
      </c>
      <c r="D207" t="inlineStr">
        <is>
          <t>STRÖMSUND</t>
        </is>
      </c>
      <c r="E207" t="inlineStr">
        <is>
          <t>SCA</t>
        </is>
      </c>
      <c r="F207" t="n">
        <v>1.9</v>
      </c>
      <c r="G207" t="n">
        <v>0</v>
      </c>
      <c r="H207" t="n">
        <v>1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1</v>
      </c>
      <c r="O207" t="n">
        <v>0</v>
      </c>
      <c r="P207" t="n">
        <v>2</v>
      </c>
      <c r="Q207">
        <f>HYPERLINK("artfynd\A 42067-2019.xlsx")</f>
        <v/>
      </c>
      <c r="R207">
        <f>HYPERLINK("kartor\A 42067-2019.png")</f>
        <v/>
      </c>
      <c r="T207">
        <f>HYPERLINK("klagomål\A 42067-2019.docx")</f>
        <v/>
      </c>
      <c r="U207">
        <f>HYPERLINK("klagomålsmail\A 42067-2019.docx")</f>
        <v/>
      </c>
      <c r="V207">
        <f>HYPERLINK("tillsyn\A 42067-2019.docx")</f>
        <v/>
      </c>
      <c r="W207">
        <f>HYPERLINK("tillsynsmail\A 42067-2019.docx")</f>
        <v/>
      </c>
    </row>
    <row r="208">
      <c r="A208" t="inlineStr">
        <is>
          <t>A 44014-2019</t>
        </is>
      </c>
      <c r="B208" s="1" t="n">
        <v>43709</v>
      </c>
      <c r="C208" s="1" t="n">
        <v>45156</v>
      </c>
      <c r="D208" t="inlineStr">
        <is>
          <t>STRÖMSUND</t>
        </is>
      </c>
      <c r="E208" t="inlineStr">
        <is>
          <t>SCA</t>
        </is>
      </c>
      <c r="F208" t="n">
        <v>6.7</v>
      </c>
      <c r="G208" t="n">
        <v>0</v>
      </c>
      <c r="H208" t="n">
        <v>0</v>
      </c>
      <c r="I208" t="n">
        <v>1</v>
      </c>
      <c r="J208" t="n">
        <v>1</v>
      </c>
      <c r="K208" t="n">
        <v>0</v>
      </c>
      <c r="L208" t="n">
        <v>0</v>
      </c>
      <c r="M208" t="n">
        <v>0</v>
      </c>
      <c r="N208" t="n">
        <v>2</v>
      </c>
      <c r="O208" t="n">
        <v>1</v>
      </c>
      <c r="P208" t="n">
        <v>2</v>
      </c>
      <c r="Q208">
        <f>HYPERLINK("artfynd\A 44014-2019.xlsx")</f>
        <v/>
      </c>
      <c r="R208">
        <f>HYPERLINK("kartor\A 44014-2019.png")</f>
        <v/>
      </c>
      <c r="T208">
        <f>HYPERLINK("klagomål\A 44014-2019.docx")</f>
        <v/>
      </c>
      <c r="U208">
        <f>HYPERLINK("klagomålsmail\A 44014-2019.docx")</f>
        <v/>
      </c>
      <c r="V208">
        <f>HYPERLINK("tillsyn\A 44014-2019.docx")</f>
        <v/>
      </c>
      <c r="W208">
        <f>HYPERLINK("tillsynsmail\A 44014-2019.docx")</f>
        <v/>
      </c>
    </row>
    <row r="209">
      <c r="A209" t="inlineStr">
        <is>
          <t>A 6884-2020</t>
        </is>
      </c>
      <c r="B209" s="1" t="n">
        <v>43867</v>
      </c>
      <c r="C209" s="1" t="n">
        <v>45156</v>
      </c>
      <c r="D209" t="inlineStr">
        <is>
          <t>STRÖMSUND</t>
        </is>
      </c>
      <c r="E209" t="inlineStr">
        <is>
          <t>SCA</t>
        </is>
      </c>
      <c r="F209" t="n">
        <v>10.1</v>
      </c>
      <c r="G209" t="n">
        <v>0</v>
      </c>
      <c r="H209" t="n">
        <v>0</v>
      </c>
      <c r="I209" t="n">
        <v>1</v>
      </c>
      <c r="J209" t="n">
        <v>1</v>
      </c>
      <c r="K209" t="n">
        <v>0</v>
      </c>
      <c r="L209" t="n">
        <v>0</v>
      </c>
      <c r="M209" t="n">
        <v>0</v>
      </c>
      <c r="N209" t="n">
        <v>2</v>
      </c>
      <c r="O209" t="n">
        <v>1</v>
      </c>
      <c r="P209" t="n">
        <v>2</v>
      </c>
      <c r="Q209">
        <f>HYPERLINK("artfynd\A 6884-2020.xlsx")</f>
        <v/>
      </c>
      <c r="R209">
        <f>HYPERLINK("kartor\A 6884-2020.png")</f>
        <v/>
      </c>
      <c r="T209">
        <f>HYPERLINK("klagomål\A 6884-2020.docx")</f>
        <v/>
      </c>
      <c r="U209">
        <f>HYPERLINK("klagomålsmail\A 6884-2020.docx")</f>
        <v/>
      </c>
      <c r="V209">
        <f>HYPERLINK("tillsyn\A 6884-2020.docx")</f>
        <v/>
      </c>
      <c r="W209">
        <f>HYPERLINK("tillsynsmail\A 6884-2020.docx")</f>
        <v/>
      </c>
    </row>
    <row r="210">
      <c r="A210" t="inlineStr">
        <is>
          <t>A 36883-2020</t>
        </is>
      </c>
      <c r="B210" s="1" t="n">
        <v>44053</v>
      </c>
      <c r="C210" s="1" t="n">
        <v>45156</v>
      </c>
      <c r="D210" t="inlineStr">
        <is>
          <t>STRÖMSUND</t>
        </is>
      </c>
      <c r="E210" t="inlineStr">
        <is>
          <t>Holmen skog AB</t>
        </is>
      </c>
      <c r="F210" t="n">
        <v>11.1</v>
      </c>
      <c r="G210" t="n">
        <v>0</v>
      </c>
      <c r="H210" t="n">
        <v>0</v>
      </c>
      <c r="I210" t="n">
        <v>2</v>
      </c>
      <c r="J210" t="n">
        <v>0</v>
      </c>
      <c r="K210" t="n">
        <v>0</v>
      </c>
      <c r="L210" t="n">
        <v>0</v>
      </c>
      <c r="M210" t="n">
        <v>0</v>
      </c>
      <c r="N210" t="n">
        <v>2</v>
      </c>
      <c r="O210" t="n">
        <v>0</v>
      </c>
      <c r="P210" t="n">
        <v>2</v>
      </c>
      <c r="Q210">
        <f>HYPERLINK("artfynd\A 36883-2020.xlsx")</f>
        <v/>
      </c>
      <c r="R210">
        <f>HYPERLINK("kartor\A 36883-2020.png")</f>
        <v/>
      </c>
      <c r="T210">
        <f>HYPERLINK("klagomål\A 36883-2020.docx")</f>
        <v/>
      </c>
      <c r="U210">
        <f>HYPERLINK("klagomålsmail\A 36883-2020.docx")</f>
        <v/>
      </c>
      <c r="V210">
        <f>HYPERLINK("tillsyn\A 36883-2020.docx")</f>
        <v/>
      </c>
      <c r="W210">
        <f>HYPERLINK("tillsynsmail\A 36883-2020.docx")</f>
        <v/>
      </c>
    </row>
    <row r="211">
      <c r="A211" t="inlineStr">
        <is>
          <t>A 39356-2020</t>
        </is>
      </c>
      <c r="B211" s="1" t="n">
        <v>44063</v>
      </c>
      <c r="C211" s="1" t="n">
        <v>45156</v>
      </c>
      <c r="D211" t="inlineStr">
        <is>
          <t>STRÖMSUND</t>
        </is>
      </c>
      <c r="E211" t="inlineStr">
        <is>
          <t>SCA</t>
        </is>
      </c>
      <c r="F211" t="n">
        <v>3.9</v>
      </c>
      <c r="G211" t="n">
        <v>0</v>
      </c>
      <c r="H211" t="n">
        <v>0</v>
      </c>
      <c r="I211" t="n">
        <v>2</v>
      </c>
      <c r="J211" t="n">
        <v>0</v>
      </c>
      <c r="K211" t="n">
        <v>0</v>
      </c>
      <c r="L211" t="n">
        <v>0</v>
      </c>
      <c r="M211" t="n">
        <v>0</v>
      </c>
      <c r="N211" t="n">
        <v>2</v>
      </c>
      <c r="O211" t="n">
        <v>0</v>
      </c>
      <c r="P211" t="n">
        <v>2</v>
      </c>
      <c r="Q211">
        <f>HYPERLINK("artfynd\A 39356-2020.xlsx")</f>
        <v/>
      </c>
      <c r="R211">
        <f>HYPERLINK("kartor\A 39356-2020.png")</f>
        <v/>
      </c>
      <c r="T211">
        <f>HYPERLINK("klagomål\A 39356-2020.docx")</f>
        <v/>
      </c>
      <c r="U211">
        <f>HYPERLINK("klagomålsmail\A 39356-2020.docx")</f>
        <v/>
      </c>
      <c r="V211">
        <f>HYPERLINK("tillsyn\A 39356-2020.docx")</f>
        <v/>
      </c>
      <c r="W211">
        <f>HYPERLINK("tillsynsmail\A 39356-2020.docx")</f>
        <v/>
      </c>
    </row>
    <row r="212">
      <c r="A212" t="inlineStr">
        <is>
          <t>A 47126-2020</t>
        </is>
      </c>
      <c r="B212" s="1" t="n">
        <v>44096</v>
      </c>
      <c r="C212" s="1" t="n">
        <v>45156</v>
      </c>
      <c r="D212" t="inlineStr">
        <is>
          <t>STRÖMSUND</t>
        </is>
      </c>
      <c r="E212" t="inlineStr">
        <is>
          <t>SCA</t>
        </is>
      </c>
      <c r="F212" t="n">
        <v>8.1</v>
      </c>
      <c r="G212" t="n">
        <v>0</v>
      </c>
      <c r="H212" t="n">
        <v>0</v>
      </c>
      <c r="I212" t="n">
        <v>2</v>
      </c>
      <c r="J212" t="n">
        <v>0</v>
      </c>
      <c r="K212" t="n">
        <v>0</v>
      </c>
      <c r="L212" t="n">
        <v>0</v>
      </c>
      <c r="M212" t="n">
        <v>0</v>
      </c>
      <c r="N212" t="n">
        <v>2</v>
      </c>
      <c r="O212" t="n">
        <v>0</v>
      </c>
      <c r="P212" t="n">
        <v>2</v>
      </c>
      <c r="Q212">
        <f>HYPERLINK("artfynd\A 47126-2020.xlsx")</f>
        <v/>
      </c>
      <c r="R212">
        <f>HYPERLINK("kartor\A 47126-2020.png")</f>
        <v/>
      </c>
      <c r="T212">
        <f>HYPERLINK("klagomål\A 47126-2020.docx")</f>
        <v/>
      </c>
      <c r="U212">
        <f>HYPERLINK("klagomålsmail\A 47126-2020.docx")</f>
        <v/>
      </c>
      <c r="V212">
        <f>HYPERLINK("tillsyn\A 47126-2020.docx")</f>
        <v/>
      </c>
      <c r="W212">
        <f>HYPERLINK("tillsynsmail\A 47126-2020.docx")</f>
        <v/>
      </c>
    </row>
    <row r="213">
      <c r="A213" t="inlineStr">
        <is>
          <t>A 49510-2020</t>
        </is>
      </c>
      <c r="B213" s="1" t="n">
        <v>44105</v>
      </c>
      <c r="C213" s="1" t="n">
        <v>45156</v>
      </c>
      <c r="D213" t="inlineStr">
        <is>
          <t>STRÖMSUND</t>
        </is>
      </c>
      <c r="E213" t="inlineStr">
        <is>
          <t>SCA</t>
        </is>
      </c>
      <c r="F213" t="n">
        <v>2.3</v>
      </c>
      <c r="G213" t="n">
        <v>0</v>
      </c>
      <c r="H213" t="n">
        <v>0</v>
      </c>
      <c r="I213" t="n">
        <v>2</v>
      </c>
      <c r="J213" t="n">
        <v>0</v>
      </c>
      <c r="K213" t="n">
        <v>0</v>
      </c>
      <c r="L213" t="n">
        <v>0</v>
      </c>
      <c r="M213" t="n">
        <v>0</v>
      </c>
      <c r="N213" t="n">
        <v>2</v>
      </c>
      <c r="O213" t="n">
        <v>0</v>
      </c>
      <c r="P213" t="n">
        <v>2</v>
      </c>
      <c r="Q213">
        <f>HYPERLINK("artfynd\A 49510-2020.xlsx")</f>
        <v/>
      </c>
      <c r="R213">
        <f>HYPERLINK("kartor\A 49510-2020.png")</f>
        <v/>
      </c>
      <c r="T213">
        <f>HYPERLINK("klagomål\A 49510-2020.docx")</f>
        <v/>
      </c>
      <c r="U213">
        <f>HYPERLINK("klagomålsmail\A 49510-2020.docx")</f>
        <v/>
      </c>
      <c r="V213">
        <f>HYPERLINK("tillsyn\A 49510-2020.docx")</f>
        <v/>
      </c>
      <c r="W213">
        <f>HYPERLINK("tillsynsmail\A 49510-2020.docx")</f>
        <v/>
      </c>
    </row>
    <row r="214">
      <c r="A214" t="inlineStr">
        <is>
          <t>A 58228-2020</t>
        </is>
      </c>
      <c r="B214" s="1" t="n">
        <v>44144</v>
      </c>
      <c r="C214" s="1" t="n">
        <v>45156</v>
      </c>
      <c r="D214" t="inlineStr">
        <is>
          <t>STRÖMSUND</t>
        </is>
      </c>
      <c r="E214" t="inlineStr">
        <is>
          <t>Holmen skog AB</t>
        </is>
      </c>
      <c r="F214" t="n">
        <v>9.199999999999999</v>
      </c>
      <c r="G214" t="n">
        <v>0</v>
      </c>
      <c r="H214" t="n">
        <v>0</v>
      </c>
      <c r="I214" t="n">
        <v>0</v>
      </c>
      <c r="J214" t="n">
        <v>2</v>
      </c>
      <c r="K214" t="n">
        <v>0</v>
      </c>
      <c r="L214" t="n">
        <v>0</v>
      </c>
      <c r="M214" t="n">
        <v>0</v>
      </c>
      <c r="N214" t="n">
        <v>2</v>
      </c>
      <c r="O214" t="n">
        <v>2</v>
      </c>
      <c r="P214" t="n">
        <v>2</v>
      </c>
      <c r="Q214">
        <f>HYPERLINK("artfynd\A 58228-2020.xlsx")</f>
        <v/>
      </c>
      <c r="R214">
        <f>HYPERLINK("kartor\A 58228-2020.png")</f>
        <v/>
      </c>
      <c r="T214">
        <f>HYPERLINK("klagomål\A 58228-2020.docx")</f>
        <v/>
      </c>
      <c r="U214">
        <f>HYPERLINK("klagomålsmail\A 58228-2020.docx")</f>
        <v/>
      </c>
      <c r="V214">
        <f>HYPERLINK("tillsyn\A 58228-2020.docx")</f>
        <v/>
      </c>
      <c r="W214">
        <f>HYPERLINK("tillsynsmail\A 58228-2020.docx")</f>
        <v/>
      </c>
    </row>
    <row r="215">
      <c r="A215" t="inlineStr">
        <is>
          <t>A 60116-2020</t>
        </is>
      </c>
      <c r="B215" s="1" t="n">
        <v>44151</v>
      </c>
      <c r="C215" s="1" t="n">
        <v>45156</v>
      </c>
      <c r="D215" t="inlineStr">
        <is>
          <t>STRÖMSUND</t>
        </is>
      </c>
      <c r="F215" t="n">
        <v>13.7</v>
      </c>
      <c r="G215" t="n">
        <v>0</v>
      </c>
      <c r="H215" t="n">
        <v>1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1</v>
      </c>
      <c r="O215" t="n">
        <v>0</v>
      </c>
      <c r="P215" t="n">
        <v>2</v>
      </c>
      <c r="Q215">
        <f>HYPERLINK("artfynd\A 60116-2020.xlsx")</f>
        <v/>
      </c>
      <c r="R215">
        <f>HYPERLINK("kartor\A 60116-2020.png")</f>
        <v/>
      </c>
      <c r="T215">
        <f>HYPERLINK("klagomål\A 60116-2020.docx")</f>
        <v/>
      </c>
      <c r="U215">
        <f>HYPERLINK("klagomålsmail\A 60116-2020.docx")</f>
        <v/>
      </c>
      <c r="V215">
        <f>HYPERLINK("tillsyn\A 60116-2020.docx")</f>
        <v/>
      </c>
      <c r="W215">
        <f>HYPERLINK("tillsynsmail\A 60116-2020.docx")</f>
        <v/>
      </c>
    </row>
    <row r="216">
      <c r="A216" t="inlineStr">
        <is>
          <t>A 66707-2020</t>
        </is>
      </c>
      <c r="B216" s="1" t="n">
        <v>44179</v>
      </c>
      <c r="C216" s="1" t="n">
        <v>45156</v>
      </c>
      <c r="D216" t="inlineStr">
        <is>
          <t>STRÖMSUND</t>
        </is>
      </c>
      <c r="F216" t="n">
        <v>29.6</v>
      </c>
      <c r="G216" t="n">
        <v>1</v>
      </c>
      <c r="H216" t="n">
        <v>1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2</v>
      </c>
      <c r="Q216">
        <f>HYPERLINK("artfynd\A 66707-2020.xlsx")</f>
        <v/>
      </c>
      <c r="R216">
        <f>HYPERLINK("kartor\A 66707-2020.png")</f>
        <v/>
      </c>
      <c r="T216">
        <f>HYPERLINK("klagomål\A 66707-2020.docx")</f>
        <v/>
      </c>
      <c r="U216">
        <f>HYPERLINK("klagomålsmail\A 66707-2020.docx")</f>
        <v/>
      </c>
      <c r="V216">
        <f>HYPERLINK("tillsyn\A 66707-2020.docx")</f>
        <v/>
      </c>
      <c r="W216">
        <f>HYPERLINK("tillsynsmail\A 66707-2020.docx")</f>
        <v/>
      </c>
    </row>
    <row r="217">
      <c r="A217" t="inlineStr">
        <is>
          <t>A 66717-2020</t>
        </is>
      </c>
      <c r="B217" s="1" t="n">
        <v>44179</v>
      </c>
      <c r="C217" s="1" t="n">
        <v>45156</v>
      </c>
      <c r="D217" t="inlineStr">
        <is>
          <t>STRÖMSUND</t>
        </is>
      </c>
      <c r="E217" t="inlineStr">
        <is>
          <t>SCA</t>
        </is>
      </c>
      <c r="F217" t="n">
        <v>22.4</v>
      </c>
      <c r="G217" t="n">
        <v>0</v>
      </c>
      <c r="H217" t="n">
        <v>0</v>
      </c>
      <c r="I217" t="n">
        <v>1</v>
      </c>
      <c r="J217" t="n">
        <v>1</v>
      </c>
      <c r="K217" t="n">
        <v>0</v>
      </c>
      <c r="L217" t="n">
        <v>0</v>
      </c>
      <c r="M217" t="n">
        <v>0</v>
      </c>
      <c r="N217" t="n">
        <v>2</v>
      </c>
      <c r="O217" t="n">
        <v>1</v>
      </c>
      <c r="P217" t="n">
        <v>2</v>
      </c>
      <c r="Q217">
        <f>HYPERLINK("artfynd\A 66717-2020.xlsx")</f>
        <v/>
      </c>
      <c r="R217">
        <f>HYPERLINK("kartor\A 66717-2020.png")</f>
        <v/>
      </c>
      <c r="T217">
        <f>HYPERLINK("klagomål\A 66717-2020.docx")</f>
        <v/>
      </c>
      <c r="U217">
        <f>HYPERLINK("klagomålsmail\A 66717-2020.docx")</f>
        <v/>
      </c>
      <c r="V217">
        <f>HYPERLINK("tillsyn\A 66717-2020.docx")</f>
        <v/>
      </c>
      <c r="W217">
        <f>HYPERLINK("tillsynsmail\A 66717-2020.docx")</f>
        <v/>
      </c>
    </row>
    <row r="218">
      <c r="A218" t="inlineStr">
        <is>
          <t>A 647-2021</t>
        </is>
      </c>
      <c r="B218" s="1" t="n">
        <v>44203</v>
      </c>
      <c r="C218" s="1" t="n">
        <v>45156</v>
      </c>
      <c r="D218" t="inlineStr">
        <is>
          <t>STRÖMSUND</t>
        </is>
      </c>
      <c r="E218" t="inlineStr">
        <is>
          <t>SCA</t>
        </is>
      </c>
      <c r="F218" t="n">
        <v>151.3</v>
      </c>
      <c r="G218" t="n">
        <v>0</v>
      </c>
      <c r="H218" t="n">
        <v>0</v>
      </c>
      <c r="I218" t="n">
        <v>2</v>
      </c>
      <c r="J218" t="n">
        <v>0</v>
      </c>
      <c r="K218" t="n">
        <v>0</v>
      </c>
      <c r="L218" t="n">
        <v>0</v>
      </c>
      <c r="M218" t="n">
        <v>0</v>
      </c>
      <c r="N218" t="n">
        <v>2</v>
      </c>
      <c r="O218" t="n">
        <v>0</v>
      </c>
      <c r="P218" t="n">
        <v>2</v>
      </c>
      <c r="Q218">
        <f>HYPERLINK("artfynd\A 647-2021.xlsx")</f>
        <v/>
      </c>
      <c r="R218">
        <f>HYPERLINK("kartor\A 647-2021.png")</f>
        <v/>
      </c>
      <c r="T218">
        <f>HYPERLINK("klagomål\A 647-2021.docx")</f>
        <v/>
      </c>
      <c r="U218">
        <f>HYPERLINK("klagomålsmail\A 647-2021.docx")</f>
        <v/>
      </c>
      <c r="V218">
        <f>HYPERLINK("tillsyn\A 647-2021.docx")</f>
        <v/>
      </c>
      <c r="W218">
        <f>HYPERLINK("tillsynsmail\A 647-2021.docx")</f>
        <v/>
      </c>
    </row>
    <row r="219">
      <c r="A219" t="inlineStr">
        <is>
          <t>A 22526-2021</t>
        </is>
      </c>
      <c r="B219" s="1" t="n">
        <v>44326</v>
      </c>
      <c r="C219" s="1" t="n">
        <v>45156</v>
      </c>
      <c r="D219" t="inlineStr">
        <is>
          <t>STRÖMSUND</t>
        </is>
      </c>
      <c r="E219" t="inlineStr">
        <is>
          <t>SCA</t>
        </is>
      </c>
      <c r="F219" t="n">
        <v>2.8</v>
      </c>
      <c r="G219" t="n">
        <v>0</v>
      </c>
      <c r="H219" t="n">
        <v>1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1</v>
      </c>
      <c r="O219" t="n">
        <v>0</v>
      </c>
      <c r="P219" t="n">
        <v>2</v>
      </c>
      <c r="Q219">
        <f>HYPERLINK("artfynd\A 22526-2021.xlsx")</f>
        <v/>
      </c>
      <c r="R219">
        <f>HYPERLINK("kartor\A 22526-2021.png")</f>
        <v/>
      </c>
      <c r="T219">
        <f>HYPERLINK("klagomål\A 22526-2021.docx")</f>
        <v/>
      </c>
      <c r="U219">
        <f>HYPERLINK("klagomålsmail\A 22526-2021.docx")</f>
        <v/>
      </c>
      <c r="V219">
        <f>HYPERLINK("tillsyn\A 22526-2021.docx")</f>
        <v/>
      </c>
      <c r="W219">
        <f>HYPERLINK("tillsynsmail\A 22526-2021.docx")</f>
        <v/>
      </c>
    </row>
    <row r="220">
      <c r="A220" t="inlineStr">
        <is>
          <t>A 26147-2021</t>
        </is>
      </c>
      <c r="B220" s="1" t="n">
        <v>44346</v>
      </c>
      <c r="C220" s="1" t="n">
        <v>45156</v>
      </c>
      <c r="D220" t="inlineStr">
        <is>
          <t>STRÖMSUND</t>
        </is>
      </c>
      <c r="E220" t="inlineStr">
        <is>
          <t>SCA</t>
        </is>
      </c>
      <c r="F220" t="n">
        <v>5.3</v>
      </c>
      <c r="G220" t="n">
        <v>0</v>
      </c>
      <c r="H220" t="n">
        <v>0</v>
      </c>
      <c r="I220" t="n">
        <v>2</v>
      </c>
      <c r="J220" t="n">
        <v>0</v>
      </c>
      <c r="K220" t="n">
        <v>0</v>
      </c>
      <c r="L220" t="n">
        <v>0</v>
      </c>
      <c r="M220" t="n">
        <v>0</v>
      </c>
      <c r="N220" t="n">
        <v>2</v>
      </c>
      <c r="O220" t="n">
        <v>0</v>
      </c>
      <c r="P220" t="n">
        <v>2</v>
      </c>
      <c r="Q220">
        <f>HYPERLINK("artfynd\A 26147-2021.xlsx")</f>
        <v/>
      </c>
      <c r="R220">
        <f>HYPERLINK("kartor\A 26147-2021.png")</f>
        <v/>
      </c>
      <c r="T220">
        <f>HYPERLINK("klagomål\A 26147-2021.docx")</f>
        <v/>
      </c>
      <c r="U220">
        <f>HYPERLINK("klagomålsmail\A 26147-2021.docx")</f>
        <v/>
      </c>
      <c r="V220">
        <f>HYPERLINK("tillsyn\A 26147-2021.docx")</f>
        <v/>
      </c>
      <c r="W220">
        <f>HYPERLINK("tillsynsmail\A 26147-2021.docx")</f>
        <v/>
      </c>
    </row>
    <row r="221">
      <c r="A221" t="inlineStr">
        <is>
          <t>A 26152-2021</t>
        </is>
      </c>
      <c r="B221" s="1" t="n">
        <v>44346</v>
      </c>
      <c r="C221" s="1" t="n">
        <v>45156</v>
      </c>
      <c r="D221" t="inlineStr">
        <is>
          <t>STRÖMSUND</t>
        </is>
      </c>
      <c r="E221" t="inlineStr">
        <is>
          <t>SCA</t>
        </is>
      </c>
      <c r="F221" t="n">
        <v>3</v>
      </c>
      <c r="G221" t="n">
        <v>0</v>
      </c>
      <c r="H221" t="n">
        <v>2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2</v>
      </c>
      <c r="Q221">
        <f>HYPERLINK("artfynd\A 26152-2021.xlsx")</f>
        <v/>
      </c>
      <c r="R221">
        <f>HYPERLINK("kartor\A 26152-2021.png")</f>
        <v/>
      </c>
      <c r="T221">
        <f>HYPERLINK("klagomål\A 26152-2021.docx")</f>
        <v/>
      </c>
      <c r="U221">
        <f>HYPERLINK("klagomålsmail\A 26152-2021.docx")</f>
        <v/>
      </c>
      <c r="V221">
        <f>HYPERLINK("tillsyn\A 26152-2021.docx")</f>
        <v/>
      </c>
      <c r="W221">
        <f>HYPERLINK("tillsynsmail\A 26152-2021.docx")</f>
        <v/>
      </c>
    </row>
    <row r="222">
      <c r="A222" t="inlineStr">
        <is>
          <t>A 33545-2021</t>
        </is>
      </c>
      <c r="B222" s="1" t="n">
        <v>44377</v>
      </c>
      <c r="C222" s="1" t="n">
        <v>45156</v>
      </c>
      <c r="D222" t="inlineStr">
        <is>
          <t>STRÖMSUND</t>
        </is>
      </c>
      <c r="F222" t="n">
        <v>7.5</v>
      </c>
      <c r="G222" t="n">
        <v>0</v>
      </c>
      <c r="H222" t="n">
        <v>1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1</v>
      </c>
      <c r="O222" t="n">
        <v>0</v>
      </c>
      <c r="P222" t="n">
        <v>2</v>
      </c>
      <c r="Q222">
        <f>HYPERLINK("artfynd\A 33545-2021.xlsx")</f>
        <v/>
      </c>
      <c r="R222">
        <f>HYPERLINK("kartor\A 33545-2021.png")</f>
        <v/>
      </c>
      <c r="T222">
        <f>HYPERLINK("klagomål\A 33545-2021.docx")</f>
        <v/>
      </c>
      <c r="U222">
        <f>HYPERLINK("klagomålsmail\A 33545-2021.docx")</f>
        <v/>
      </c>
      <c r="V222">
        <f>HYPERLINK("tillsyn\A 33545-2021.docx")</f>
        <v/>
      </c>
      <c r="W222">
        <f>HYPERLINK("tillsynsmail\A 33545-2021.docx")</f>
        <v/>
      </c>
    </row>
    <row r="223">
      <c r="A223" t="inlineStr">
        <is>
          <t>A 35444-2021</t>
        </is>
      </c>
      <c r="B223" s="1" t="n">
        <v>44385</v>
      </c>
      <c r="C223" s="1" t="n">
        <v>45156</v>
      </c>
      <c r="D223" t="inlineStr">
        <is>
          <t>STRÖMSUND</t>
        </is>
      </c>
      <c r="F223" t="n">
        <v>20</v>
      </c>
      <c r="G223" t="n">
        <v>1</v>
      </c>
      <c r="H223" t="n">
        <v>0</v>
      </c>
      <c r="I223" t="n">
        <v>2</v>
      </c>
      <c r="J223" t="n">
        <v>0</v>
      </c>
      <c r="K223" t="n">
        <v>0</v>
      </c>
      <c r="L223" t="n">
        <v>0</v>
      </c>
      <c r="M223" t="n">
        <v>0</v>
      </c>
      <c r="N223" t="n">
        <v>2</v>
      </c>
      <c r="O223" t="n">
        <v>0</v>
      </c>
      <c r="P223" t="n">
        <v>2</v>
      </c>
      <c r="Q223">
        <f>HYPERLINK("artfynd\A 35444-2021.xlsx")</f>
        <v/>
      </c>
      <c r="R223">
        <f>HYPERLINK("kartor\A 35444-2021.png")</f>
        <v/>
      </c>
      <c r="T223">
        <f>HYPERLINK("klagomål\A 35444-2021.docx")</f>
        <v/>
      </c>
      <c r="U223">
        <f>HYPERLINK("klagomålsmail\A 35444-2021.docx")</f>
        <v/>
      </c>
      <c r="V223">
        <f>HYPERLINK("tillsyn\A 35444-2021.docx")</f>
        <v/>
      </c>
      <c r="W223">
        <f>HYPERLINK("tillsynsmail\A 35444-2021.docx")</f>
        <v/>
      </c>
    </row>
    <row r="224">
      <c r="A224" t="inlineStr">
        <is>
          <t>A 37230-2021</t>
        </is>
      </c>
      <c r="B224" s="1" t="n">
        <v>44396</v>
      </c>
      <c r="C224" s="1" t="n">
        <v>45156</v>
      </c>
      <c r="D224" t="inlineStr">
        <is>
          <t>STRÖMSUND</t>
        </is>
      </c>
      <c r="E224" t="inlineStr">
        <is>
          <t>SCA</t>
        </is>
      </c>
      <c r="F224" t="n">
        <v>1.6</v>
      </c>
      <c r="G224" t="n">
        <v>0</v>
      </c>
      <c r="H224" t="n">
        <v>0</v>
      </c>
      <c r="I224" t="n">
        <v>2</v>
      </c>
      <c r="J224" t="n">
        <v>0</v>
      </c>
      <c r="K224" t="n">
        <v>0</v>
      </c>
      <c r="L224" t="n">
        <v>0</v>
      </c>
      <c r="M224" t="n">
        <v>0</v>
      </c>
      <c r="N224" t="n">
        <v>2</v>
      </c>
      <c r="O224" t="n">
        <v>0</v>
      </c>
      <c r="P224" t="n">
        <v>2</v>
      </c>
      <c r="Q224">
        <f>HYPERLINK("artfynd\A 37230-2021.xlsx")</f>
        <v/>
      </c>
      <c r="R224">
        <f>HYPERLINK("kartor\A 37230-2021.png")</f>
        <v/>
      </c>
      <c r="T224">
        <f>HYPERLINK("klagomål\A 37230-2021.docx")</f>
        <v/>
      </c>
      <c r="U224">
        <f>HYPERLINK("klagomålsmail\A 37230-2021.docx")</f>
        <v/>
      </c>
      <c r="V224">
        <f>HYPERLINK("tillsyn\A 37230-2021.docx")</f>
        <v/>
      </c>
      <c r="W224">
        <f>HYPERLINK("tillsynsmail\A 37230-2021.docx")</f>
        <v/>
      </c>
    </row>
    <row r="225">
      <c r="A225" t="inlineStr">
        <is>
          <t>A 38576-2021</t>
        </is>
      </c>
      <c r="B225" s="1" t="n">
        <v>44407</v>
      </c>
      <c r="C225" s="1" t="n">
        <v>45156</v>
      </c>
      <c r="D225" t="inlineStr">
        <is>
          <t>STRÖMSUND</t>
        </is>
      </c>
      <c r="E225" t="inlineStr">
        <is>
          <t>SCA</t>
        </is>
      </c>
      <c r="F225" t="n">
        <v>5.4</v>
      </c>
      <c r="G225" t="n">
        <v>0</v>
      </c>
      <c r="H225" t="n">
        <v>0</v>
      </c>
      <c r="I225" t="n">
        <v>2</v>
      </c>
      <c r="J225" t="n">
        <v>0</v>
      </c>
      <c r="K225" t="n">
        <v>0</v>
      </c>
      <c r="L225" t="n">
        <v>0</v>
      </c>
      <c r="M225" t="n">
        <v>0</v>
      </c>
      <c r="N225" t="n">
        <v>2</v>
      </c>
      <c r="O225" t="n">
        <v>0</v>
      </c>
      <c r="P225" t="n">
        <v>2</v>
      </c>
      <c r="Q225">
        <f>HYPERLINK("artfynd\A 38576-2021.xlsx")</f>
        <v/>
      </c>
      <c r="R225">
        <f>HYPERLINK("kartor\A 38576-2021.png")</f>
        <v/>
      </c>
      <c r="T225">
        <f>HYPERLINK("klagomål\A 38576-2021.docx")</f>
        <v/>
      </c>
      <c r="U225">
        <f>HYPERLINK("klagomålsmail\A 38576-2021.docx")</f>
        <v/>
      </c>
      <c r="V225">
        <f>HYPERLINK("tillsyn\A 38576-2021.docx")</f>
        <v/>
      </c>
      <c r="W225">
        <f>HYPERLINK("tillsynsmail\A 38576-2021.docx")</f>
        <v/>
      </c>
    </row>
    <row r="226">
      <c r="A226" t="inlineStr">
        <is>
          <t>A 42239-2021</t>
        </is>
      </c>
      <c r="B226" s="1" t="n">
        <v>44426</v>
      </c>
      <c r="C226" s="1" t="n">
        <v>45156</v>
      </c>
      <c r="D226" t="inlineStr">
        <is>
          <t>STRÖMSUND</t>
        </is>
      </c>
      <c r="E226" t="inlineStr">
        <is>
          <t>SCA</t>
        </is>
      </c>
      <c r="F226" t="n">
        <v>9.300000000000001</v>
      </c>
      <c r="G226" t="n">
        <v>0</v>
      </c>
      <c r="H226" t="n">
        <v>0</v>
      </c>
      <c r="I226" t="n">
        <v>2</v>
      </c>
      <c r="J226" t="n">
        <v>0</v>
      </c>
      <c r="K226" t="n">
        <v>0</v>
      </c>
      <c r="L226" t="n">
        <v>0</v>
      </c>
      <c r="M226" t="n">
        <v>0</v>
      </c>
      <c r="N226" t="n">
        <v>2</v>
      </c>
      <c r="O226" t="n">
        <v>0</v>
      </c>
      <c r="P226" t="n">
        <v>2</v>
      </c>
      <c r="Q226">
        <f>HYPERLINK("artfynd\A 42239-2021.xlsx")</f>
        <v/>
      </c>
      <c r="R226">
        <f>HYPERLINK("kartor\A 42239-2021.png")</f>
        <v/>
      </c>
      <c r="T226">
        <f>HYPERLINK("klagomål\A 42239-2021.docx")</f>
        <v/>
      </c>
      <c r="U226">
        <f>HYPERLINK("klagomålsmail\A 42239-2021.docx")</f>
        <v/>
      </c>
      <c r="V226">
        <f>HYPERLINK("tillsyn\A 42239-2021.docx")</f>
        <v/>
      </c>
      <c r="W226">
        <f>HYPERLINK("tillsynsmail\A 42239-2021.docx")</f>
        <v/>
      </c>
    </row>
    <row r="227">
      <c r="A227" t="inlineStr">
        <is>
          <t>A 44604-2021</t>
        </is>
      </c>
      <c r="B227" s="1" t="n">
        <v>44435</v>
      </c>
      <c r="C227" s="1" t="n">
        <v>45156</v>
      </c>
      <c r="D227" t="inlineStr">
        <is>
          <t>STRÖMSUND</t>
        </is>
      </c>
      <c r="E227" t="inlineStr">
        <is>
          <t>SCA</t>
        </is>
      </c>
      <c r="F227" t="n">
        <v>2.8</v>
      </c>
      <c r="G227" t="n">
        <v>0</v>
      </c>
      <c r="H227" t="n">
        <v>0</v>
      </c>
      <c r="I227" t="n">
        <v>2</v>
      </c>
      <c r="J227" t="n">
        <v>0</v>
      </c>
      <c r="K227" t="n">
        <v>0</v>
      </c>
      <c r="L227" t="n">
        <v>0</v>
      </c>
      <c r="M227" t="n">
        <v>0</v>
      </c>
      <c r="N227" t="n">
        <v>2</v>
      </c>
      <c r="O227" t="n">
        <v>0</v>
      </c>
      <c r="P227" t="n">
        <v>2</v>
      </c>
      <c r="Q227">
        <f>HYPERLINK("artfynd\A 44604-2021.xlsx")</f>
        <v/>
      </c>
      <c r="R227">
        <f>HYPERLINK("kartor\A 44604-2021.png")</f>
        <v/>
      </c>
      <c r="T227">
        <f>HYPERLINK("klagomål\A 44604-2021.docx")</f>
        <v/>
      </c>
      <c r="U227">
        <f>HYPERLINK("klagomålsmail\A 44604-2021.docx")</f>
        <v/>
      </c>
      <c r="V227">
        <f>HYPERLINK("tillsyn\A 44604-2021.docx")</f>
        <v/>
      </c>
      <c r="W227">
        <f>HYPERLINK("tillsynsmail\A 44604-2021.docx")</f>
        <v/>
      </c>
    </row>
    <row r="228">
      <c r="A228" t="inlineStr">
        <is>
          <t>A 47937-2021</t>
        </is>
      </c>
      <c r="B228" s="1" t="n">
        <v>44448</v>
      </c>
      <c r="C228" s="1" t="n">
        <v>45156</v>
      </c>
      <c r="D228" t="inlineStr">
        <is>
          <t>STRÖMSUND</t>
        </is>
      </c>
      <c r="E228" t="inlineStr">
        <is>
          <t>SCA</t>
        </is>
      </c>
      <c r="F228" t="n">
        <v>1.9</v>
      </c>
      <c r="G228" t="n">
        <v>1</v>
      </c>
      <c r="H228" t="n">
        <v>0</v>
      </c>
      <c r="I228" t="n">
        <v>1</v>
      </c>
      <c r="J228" t="n">
        <v>1</v>
      </c>
      <c r="K228" t="n">
        <v>0</v>
      </c>
      <c r="L228" t="n">
        <v>0</v>
      </c>
      <c r="M228" t="n">
        <v>0</v>
      </c>
      <c r="N228" t="n">
        <v>2</v>
      </c>
      <c r="O228" t="n">
        <v>1</v>
      </c>
      <c r="P228" t="n">
        <v>2</v>
      </c>
      <c r="Q228">
        <f>HYPERLINK("artfynd\A 47937-2021.xlsx")</f>
        <v/>
      </c>
      <c r="R228">
        <f>HYPERLINK("kartor\A 47937-2021.png")</f>
        <v/>
      </c>
      <c r="S228">
        <f>HYPERLINK("knärot\A 47937-2021.png")</f>
        <v/>
      </c>
      <c r="T228">
        <f>HYPERLINK("klagomål\A 47937-2021.docx")</f>
        <v/>
      </c>
      <c r="U228">
        <f>HYPERLINK("klagomålsmail\A 47937-2021.docx")</f>
        <v/>
      </c>
      <c r="V228">
        <f>HYPERLINK("tillsyn\A 47937-2021.docx")</f>
        <v/>
      </c>
      <c r="W228">
        <f>HYPERLINK("tillsynsmail\A 47937-2021.docx")</f>
        <v/>
      </c>
    </row>
    <row r="229">
      <c r="A229" t="inlineStr">
        <is>
          <t>A 63532-2021</t>
        </is>
      </c>
      <c r="B229" s="1" t="n">
        <v>44504</v>
      </c>
      <c r="C229" s="1" t="n">
        <v>45156</v>
      </c>
      <c r="D229" t="inlineStr">
        <is>
          <t>STRÖMSUND</t>
        </is>
      </c>
      <c r="E229" t="inlineStr">
        <is>
          <t>SCA</t>
        </is>
      </c>
      <c r="F229" t="n">
        <v>22.3</v>
      </c>
      <c r="G229" t="n">
        <v>0</v>
      </c>
      <c r="H229" t="n">
        <v>0</v>
      </c>
      <c r="I229" t="n">
        <v>1</v>
      </c>
      <c r="J229" t="n">
        <v>1</v>
      </c>
      <c r="K229" t="n">
        <v>0</v>
      </c>
      <c r="L229" t="n">
        <v>0</v>
      </c>
      <c r="M229" t="n">
        <v>0</v>
      </c>
      <c r="N229" t="n">
        <v>2</v>
      </c>
      <c r="O229" t="n">
        <v>1</v>
      </c>
      <c r="P229" t="n">
        <v>2</v>
      </c>
      <c r="Q229">
        <f>HYPERLINK("artfynd\A 63532-2021.xlsx")</f>
        <v/>
      </c>
      <c r="R229">
        <f>HYPERLINK("kartor\A 63532-2021.png")</f>
        <v/>
      </c>
      <c r="T229">
        <f>HYPERLINK("klagomål\A 63532-2021.docx")</f>
        <v/>
      </c>
      <c r="U229">
        <f>HYPERLINK("klagomålsmail\A 63532-2021.docx")</f>
        <v/>
      </c>
      <c r="V229">
        <f>HYPERLINK("tillsyn\A 63532-2021.docx")</f>
        <v/>
      </c>
      <c r="W229">
        <f>HYPERLINK("tillsynsmail\A 63532-2021.docx")</f>
        <v/>
      </c>
    </row>
    <row r="230">
      <c r="A230" t="inlineStr">
        <is>
          <t>A 6202-2022</t>
        </is>
      </c>
      <c r="B230" s="1" t="n">
        <v>44600</v>
      </c>
      <c r="C230" s="1" t="n">
        <v>45156</v>
      </c>
      <c r="D230" t="inlineStr">
        <is>
          <t>STRÖMSUND</t>
        </is>
      </c>
      <c r="F230" t="n">
        <v>4.1</v>
      </c>
      <c r="G230" t="n">
        <v>0</v>
      </c>
      <c r="H230" t="n">
        <v>2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2</v>
      </c>
      <c r="Q230">
        <f>HYPERLINK("artfynd\A 6202-2022.xlsx")</f>
        <v/>
      </c>
      <c r="R230">
        <f>HYPERLINK("kartor\A 6202-2022.png")</f>
        <v/>
      </c>
      <c r="T230">
        <f>HYPERLINK("klagomål\A 6202-2022.docx")</f>
        <v/>
      </c>
      <c r="U230">
        <f>HYPERLINK("klagomålsmail\A 6202-2022.docx")</f>
        <v/>
      </c>
      <c r="V230">
        <f>HYPERLINK("tillsyn\A 6202-2022.docx")</f>
        <v/>
      </c>
      <c r="W230">
        <f>HYPERLINK("tillsynsmail\A 6202-2022.docx")</f>
        <v/>
      </c>
    </row>
    <row r="231">
      <c r="A231" t="inlineStr">
        <is>
          <t>A 9363-2022</t>
        </is>
      </c>
      <c r="B231" s="1" t="n">
        <v>44616</v>
      </c>
      <c r="C231" s="1" t="n">
        <v>45156</v>
      </c>
      <c r="D231" t="inlineStr">
        <is>
          <t>STRÖMSUND</t>
        </is>
      </c>
      <c r="F231" t="n">
        <v>4.5</v>
      </c>
      <c r="G231" t="n">
        <v>0</v>
      </c>
      <c r="H231" t="n">
        <v>1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1</v>
      </c>
      <c r="O231" t="n">
        <v>0</v>
      </c>
      <c r="P231" t="n">
        <v>2</v>
      </c>
      <c r="Q231">
        <f>HYPERLINK("artfynd\A 9363-2022.xlsx")</f>
        <v/>
      </c>
      <c r="R231">
        <f>HYPERLINK("kartor\A 9363-2022.png")</f>
        <v/>
      </c>
      <c r="T231">
        <f>HYPERLINK("klagomål\A 9363-2022.docx")</f>
        <v/>
      </c>
      <c r="U231">
        <f>HYPERLINK("klagomålsmail\A 9363-2022.docx")</f>
        <v/>
      </c>
      <c r="V231">
        <f>HYPERLINK("tillsyn\A 9363-2022.docx")</f>
        <v/>
      </c>
      <c r="W231">
        <f>HYPERLINK("tillsynsmail\A 9363-2022.docx")</f>
        <v/>
      </c>
    </row>
    <row r="232">
      <c r="A232" t="inlineStr">
        <is>
          <t>A 10322-2022</t>
        </is>
      </c>
      <c r="B232" s="1" t="n">
        <v>44622</v>
      </c>
      <c r="C232" s="1" t="n">
        <v>45156</v>
      </c>
      <c r="D232" t="inlineStr">
        <is>
          <t>STRÖMSUND</t>
        </is>
      </c>
      <c r="E232" t="inlineStr">
        <is>
          <t>SCA</t>
        </is>
      </c>
      <c r="F232" t="n">
        <v>5</v>
      </c>
      <c r="G232" t="n">
        <v>0</v>
      </c>
      <c r="H232" t="n">
        <v>0</v>
      </c>
      <c r="I232" t="n">
        <v>2</v>
      </c>
      <c r="J232" t="n">
        <v>0</v>
      </c>
      <c r="K232" t="n">
        <v>0</v>
      </c>
      <c r="L232" t="n">
        <v>0</v>
      </c>
      <c r="M232" t="n">
        <v>0</v>
      </c>
      <c r="N232" t="n">
        <v>2</v>
      </c>
      <c r="O232" t="n">
        <v>0</v>
      </c>
      <c r="P232" t="n">
        <v>2</v>
      </c>
      <c r="Q232">
        <f>HYPERLINK("artfynd\A 10322-2022.xlsx")</f>
        <v/>
      </c>
      <c r="R232">
        <f>HYPERLINK("kartor\A 10322-2022.png")</f>
        <v/>
      </c>
      <c r="T232">
        <f>HYPERLINK("klagomål\A 10322-2022.docx")</f>
        <v/>
      </c>
      <c r="U232">
        <f>HYPERLINK("klagomålsmail\A 10322-2022.docx")</f>
        <v/>
      </c>
      <c r="V232">
        <f>HYPERLINK("tillsyn\A 10322-2022.docx")</f>
        <v/>
      </c>
      <c r="W232">
        <f>HYPERLINK("tillsynsmail\A 10322-2022.docx")</f>
        <v/>
      </c>
    </row>
    <row r="233">
      <c r="A233" t="inlineStr">
        <is>
          <t>A 11124-2022</t>
        </is>
      </c>
      <c r="B233" s="1" t="n">
        <v>44628</v>
      </c>
      <c r="C233" s="1" t="n">
        <v>45156</v>
      </c>
      <c r="D233" t="inlineStr">
        <is>
          <t>STRÖMSUND</t>
        </is>
      </c>
      <c r="E233" t="inlineStr">
        <is>
          <t>SCA</t>
        </is>
      </c>
      <c r="F233" t="n">
        <v>3.4</v>
      </c>
      <c r="G233" t="n">
        <v>2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2</v>
      </c>
      <c r="Q233">
        <f>HYPERLINK("artfynd\A 11124-2022.xlsx")</f>
        <v/>
      </c>
      <c r="R233">
        <f>HYPERLINK("kartor\A 11124-2022.png")</f>
        <v/>
      </c>
      <c r="T233">
        <f>HYPERLINK("klagomål\A 11124-2022.docx")</f>
        <v/>
      </c>
      <c r="U233">
        <f>HYPERLINK("klagomålsmail\A 11124-2022.docx")</f>
        <v/>
      </c>
      <c r="V233">
        <f>HYPERLINK("tillsyn\A 11124-2022.docx")</f>
        <v/>
      </c>
      <c r="W233">
        <f>HYPERLINK("tillsynsmail\A 11124-2022.docx")</f>
        <v/>
      </c>
    </row>
    <row r="234">
      <c r="A234" t="inlineStr">
        <is>
          <t>A 24487-2022</t>
        </is>
      </c>
      <c r="B234" s="1" t="n">
        <v>44726</v>
      </c>
      <c r="C234" s="1" t="n">
        <v>45156</v>
      </c>
      <c r="D234" t="inlineStr">
        <is>
          <t>STRÖMSUND</t>
        </is>
      </c>
      <c r="F234" t="n">
        <v>11.3</v>
      </c>
      <c r="G234" t="n">
        <v>0</v>
      </c>
      <c r="H234" t="n">
        <v>0</v>
      </c>
      <c r="I234" t="n">
        <v>2</v>
      </c>
      <c r="J234" t="n">
        <v>0</v>
      </c>
      <c r="K234" t="n">
        <v>0</v>
      </c>
      <c r="L234" t="n">
        <v>0</v>
      </c>
      <c r="M234" t="n">
        <v>0</v>
      </c>
      <c r="N234" t="n">
        <v>2</v>
      </c>
      <c r="O234" t="n">
        <v>0</v>
      </c>
      <c r="P234" t="n">
        <v>2</v>
      </c>
      <c r="Q234">
        <f>HYPERLINK("artfynd\A 24487-2022.xlsx")</f>
        <v/>
      </c>
      <c r="R234">
        <f>HYPERLINK("kartor\A 24487-2022.png")</f>
        <v/>
      </c>
      <c r="T234">
        <f>HYPERLINK("klagomål\A 24487-2022.docx")</f>
        <v/>
      </c>
      <c r="U234">
        <f>HYPERLINK("klagomålsmail\A 24487-2022.docx")</f>
        <v/>
      </c>
      <c r="V234">
        <f>HYPERLINK("tillsyn\A 24487-2022.docx")</f>
        <v/>
      </c>
      <c r="W234">
        <f>HYPERLINK("tillsynsmail\A 24487-2022.docx")</f>
        <v/>
      </c>
    </row>
    <row r="235">
      <c r="A235" t="inlineStr">
        <is>
          <t>A 25014-2022</t>
        </is>
      </c>
      <c r="B235" s="1" t="n">
        <v>44728</v>
      </c>
      <c r="C235" s="1" t="n">
        <v>45156</v>
      </c>
      <c r="D235" t="inlineStr">
        <is>
          <t>STRÖMSUND</t>
        </is>
      </c>
      <c r="E235" t="inlineStr">
        <is>
          <t>SCA</t>
        </is>
      </c>
      <c r="F235" t="n">
        <v>2.7</v>
      </c>
      <c r="G235" t="n">
        <v>0</v>
      </c>
      <c r="H235" t="n">
        <v>0</v>
      </c>
      <c r="I235" t="n">
        <v>1</v>
      </c>
      <c r="J235" t="n">
        <v>1</v>
      </c>
      <c r="K235" t="n">
        <v>0</v>
      </c>
      <c r="L235" t="n">
        <v>0</v>
      </c>
      <c r="M235" t="n">
        <v>0</v>
      </c>
      <c r="N235" t="n">
        <v>2</v>
      </c>
      <c r="O235" t="n">
        <v>1</v>
      </c>
      <c r="P235" t="n">
        <v>2</v>
      </c>
      <c r="Q235">
        <f>HYPERLINK("artfynd\A 25014-2022.xlsx")</f>
        <v/>
      </c>
      <c r="R235">
        <f>HYPERLINK("kartor\A 25014-2022.png")</f>
        <v/>
      </c>
      <c r="T235">
        <f>HYPERLINK("klagomål\A 25014-2022.docx")</f>
        <v/>
      </c>
      <c r="U235">
        <f>HYPERLINK("klagomålsmail\A 25014-2022.docx")</f>
        <v/>
      </c>
      <c r="V235">
        <f>HYPERLINK("tillsyn\A 25014-2022.docx")</f>
        <v/>
      </c>
      <c r="W235">
        <f>HYPERLINK("tillsynsmail\A 25014-2022.docx")</f>
        <v/>
      </c>
    </row>
    <row r="236">
      <c r="A236" t="inlineStr">
        <is>
          <t>A 31852-2022</t>
        </is>
      </c>
      <c r="B236" s="1" t="n">
        <v>44776</v>
      </c>
      <c r="C236" s="1" t="n">
        <v>45156</v>
      </c>
      <c r="D236" t="inlineStr">
        <is>
          <t>STRÖMSUND</t>
        </is>
      </c>
      <c r="E236" t="inlineStr">
        <is>
          <t>SCA</t>
        </is>
      </c>
      <c r="F236" t="n">
        <v>8.199999999999999</v>
      </c>
      <c r="G236" t="n">
        <v>0</v>
      </c>
      <c r="H236" t="n">
        <v>0</v>
      </c>
      <c r="I236" t="n">
        <v>2</v>
      </c>
      <c r="J236" t="n">
        <v>0</v>
      </c>
      <c r="K236" t="n">
        <v>0</v>
      </c>
      <c r="L236" t="n">
        <v>0</v>
      </c>
      <c r="M236" t="n">
        <v>0</v>
      </c>
      <c r="N236" t="n">
        <v>2</v>
      </c>
      <c r="O236" t="n">
        <v>0</v>
      </c>
      <c r="P236" t="n">
        <v>2</v>
      </c>
      <c r="Q236">
        <f>HYPERLINK("artfynd\A 31852-2022.xlsx")</f>
        <v/>
      </c>
      <c r="R236">
        <f>HYPERLINK("kartor\A 31852-2022.png")</f>
        <v/>
      </c>
      <c r="T236">
        <f>HYPERLINK("klagomål\A 31852-2022.docx")</f>
        <v/>
      </c>
      <c r="U236">
        <f>HYPERLINK("klagomålsmail\A 31852-2022.docx")</f>
        <v/>
      </c>
      <c r="V236">
        <f>HYPERLINK("tillsyn\A 31852-2022.docx")</f>
        <v/>
      </c>
      <c r="W236">
        <f>HYPERLINK("tillsynsmail\A 31852-2022.docx")</f>
        <v/>
      </c>
    </row>
    <row r="237">
      <c r="A237" t="inlineStr">
        <is>
          <t>A 35994-2022</t>
        </is>
      </c>
      <c r="B237" s="1" t="n">
        <v>44802</v>
      </c>
      <c r="C237" s="1" t="n">
        <v>45156</v>
      </c>
      <c r="D237" t="inlineStr">
        <is>
          <t>STRÖMSUND</t>
        </is>
      </c>
      <c r="E237" t="inlineStr">
        <is>
          <t>Sveaskog</t>
        </is>
      </c>
      <c r="F237" t="n">
        <v>14.8</v>
      </c>
      <c r="G237" t="n">
        <v>1</v>
      </c>
      <c r="H237" t="n">
        <v>0</v>
      </c>
      <c r="I237" t="n">
        <v>2</v>
      </c>
      <c r="J237" t="n">
        <v>0</v>
      </c>
      <c r="K237" t="n">
        <v>0</v>
      </c>
      <c r="L237" t="n">
        <v>0</v>
      </c>
      <c r="M237" t="n">
        <v>0</v>
      </c>
      <c r="N237" t="n">
        <v>2</v>
      </c>
      <c r="O237" t="n">
        <v>0</v>
      </c>
      <c r="P237" t="n">
        <v>2</v>
      </c>
      <c r="Q237">
        <f>HYPERLINK("artfynd\A 35994-2022.xlsx")</f>
        <v/>
      </c>
      <c r="R237">
        <f>HYPERLINK("kartor\A 35994-2022.png")</f>
        <v/>
      </c>
      <c r="T237">
        <f>HYPERLINK("klagomål\A 35994-2022.docx")</f>
        <v/>
      </c>
      <c r="U237">
        <f>HYPERLINK("klagomålsmail\A 35994-2022.docx")</f>
        <v/>
      </c>
      <c r="V237">
        <f>HYPERLINK("tillsyn\A 35994-2022.docx")</f>
        <v/>
      </c>
      <c r="W237">
        <f>HYPERLINK("tillsynsmail\A 35994-2022.docx")</f>
        <v/>
      </c>
    </row>
    <row r="238">
      <c r="A238" t="inlineStr">
        <is>
          <t>A 36376-2022</t>
        </is>
      </c>
      <c r="B238" s="1" t="n">
        <v>44803</v>
      </c>
      <c r="C238" s="1" t="n">
        <v>45156</v>
      </c>
      <c r="D238" t="inlineStr">
        <is>
          <t>STRÖMSUND</t>
        </is>
      </c>
      <c r="E238" t="inlineStr">
        <is>
          <t>SCA</t>
        </is>
      </c>
      <c r="F238" t="n">
        <v>6</v>
      </c>
      <c r="G238" t="n">
        <v>0</v>
      </c>
      <c r="H238" t="n">
        <v>0</v>
      </c>
      <c r="I238" t="n">
        <v>2</v>
      </c>
      <c r="J238" t="n">
        <v>0</v>
      </c>
      <c r="K238" t="n">
        <v>0</v>
      </c>
      <c r="L238" t="n">
        <v>0</v>
      </c>
      <c r="M238" t="n">
        <v>0</v>
      </c>
      <c r="N238" t="n">
        <v>2</v>
      </c>
      <c r="O238" t="n">
        <v>0</v>
      </c>
      <c r="P238" t="n">
        <v>2</v>
      </c>
      <c r="Q238">
        <f>HYPERLINK("artfynd\A 36376-2022.xlsx")</f>
        <v/>
      </c>
      <c r="R238">
        <f>HYPERLINK("kartor\A 36376-2022.png")</f>
        <v/>
      </c>
      <c r="T238">
        <f>HYPERLINK("klagomål\A 36376-2022.docx")</f>
        <v/>
      </c>
      <c r="U238">
        <f>HYPERLINK("klagomålsmail\A 36376-2022.docx")</f>
        <v/>
      </c>
      <c r="V238">
        <f>HYPERLINK("tillsyn\A 36376-2022.docx")</f>
        <v/>
      </c>
      <c r="W238">
        <f>HYPERLINK("tillsynsmail\A 36376-2022.docx")</f>
        <v/>
      </c>
    </row>
    <row r="239">
      <c r="A239" t="inlineStr">
        <is>
          <t>A 39388-2022</t>
        </is>
      </c>
      <c r="B239" s="1" t="n">
        <v>44817</v>
      </c>
      <c r="C239" s="1" t="n">
        <v>45156</v>
      </c>
      <c r="D239" t="inlineStr">
        <is>
          <t>STRÖMSUND</t>
        </is>
      </c>
      <c r="E239" t="inlineStr">
        <is>
          <t>SCA</t>
        </is>
      </c>
      <c r="F239" t="n">
        <v>2.7</v>
      </c>
      <c r="G239" t="n">
        <v>0</v>
      </c>
      <c r="H239" t="n">
        <v>2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2</v>
      </c>
      <c r="Q239">
        <f>HYPERLINK("artfynd\A 39388-2022.xlsx")</f>
        <v/>
      </c>
      <c r="R239">
        <f>HYPERLINK("kartor\A 39388-2022.png")</f>
        <v/>
      </c>
      <c r="T239">
        <f>HYPERLINK("klagomål\A 39388-2022.docx")</f>
        <v/>
      </c>
      <c r="U239">
        <f>HYPERLINK("klagomålsmail\A 39388-2022.docx")</f>
        <v/>
      </c>
      <c r="V239">
        <f>HYPERLINK("tillsyn\A 39388-2022.docx")</f>
        <v/>
      </c>
      <c r="W239">
        <f>HYPERLINK("tillsynsmail\A 39388-2022.docx")</f>
        <v/>
      </c>
    </row>
    <row r="240">
      <c r="A240" t="inlineStr">
        <is>
          <t>A 39686-2022</t>
        </is>
      </c>
      <c r="B240" s="1" t="n">
        <v>44818</v>
      </c>
      <c r="C240" s="1" t="n">
        <v>45156</v>
      </c>
      <c r="D240" t="inlineStr">
        <is>
          <t>STRÖMSUND</t>
        </is>
      </c>
      <c r="E240" t="inlineStr">
        <is>
          <t>SCA</t>
        </is>
      </c>
      <c r="F240" t="n">
        <v>4.7</v>
      </c>
      <c r="G240" t="n">
        <v>0</v>
      </c>
      <c r="H240" t="n">
        <v>1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1</v>
      </c>
      <c r="O240" t="n">
        <v>0</v>
      </c>
      <c r="P240" t="n">
        <v>2</v>
      </c>
      <c r="Q240">
        <f>HYPERLINK("artfynd\A 39686-2022.xlsx")</f>
        <v/>
      </c>
      <c r="R240">
        <f>HYPERLINK("kartor\A 39686-2022.png")</f>
        <v/>
      </c>
      <c r="T240">
        <f>HYPERLINK("klagomål\A 39686-2022.docx")</f>
        <v/>
      </c>
      <c r="U240">
        <f>HYPERLINK("klagomålsmail\A 39686-2022.docx")</f>
        <v/>
      </c>
      <c r="V240">
        <f>HYPERLINK("tillsyn\A 39686-2022.docx")</f>
        <v/>
      </c>
      <c r="W240">
        <f>HYPERLINK("tillsynsmail\A 39686-2022.docx")</f>
        <v/>
      </c>
    </row>
    <row r="241">
      <c r="A241" t="inlineStr">
        <is>
          <t>A 46341-2022</t>
        </is>
      </c>
      <c r="B241" s="1" t="n">
        <v>44847</v>
      </c>
      <c r="C241" s="1" t="n">
        <v>45156</v>
      </c>
      <c r="D241" t="inlineStr">
        <is>
          <t>STRÖMSUND</t>
        </is>
      </c>
      <c r="E241" t="inlineStr">
        <is>
          <t>SCA</t>
        </is>
      </c>
      <c r="F241" t="n">
        <v>3.2</v>
      </c>
      <c r="G241" t="n">
        <v>1</v>
      </c>
      <c r="H241" t="n">
        <v>0</v>
      </c>
      <c r="I241" t="n">
        <v>1</v>
      </c>
      <c r="J241" t="n">
        <v>1</v>
      </c>
      <c r="K241" t="n">
        <v>0</v>
      </c>
      <c r="L241" t="n">
        <v>0</v>
      </c>
      <c r="M241" t="n">
        <v>0</v>
      </c>
      <c r="N241" t="n">
        <v>2</v>
      </c>
      <c r="O241" t="n">
        <v>1</v>
      </c>
      <c r="P241" t="n">
        <v>2</v>
      </c>
      <c r="Q241">
        <f>HYPERLINK("artfynd\A 46341-2022.xlsx")</f>
        <v/>
      </c>
      <c r="R241">
        <f>HYPERLINK("kartor\A 46341-2022.png")</f>
        <v/>
      </c>
      <c r="S241">
        <f>HYPERLINK("knärot\A 46341-2022.png")</f>
        <v/>
      </c>
      <c r="T241">
        <f>HYPERLINK("klagomål\A 46341-2022.docx")</f>
        <v/>
      </c>
      <c r="U241">
        <f>HYPERLINK("klagomålsmail\A 46341-2022.docx")</f>
        <v/>
      </c>
      <c r="V241">
        <f>HYPERLINK("tillsyn\A 46341-2022.docx")</f>
        <v/>
      </c>
      <c r="W241">
        <f>HYPERLINK("tillsynsmail\A 46341-2022.docx")</f>
        <v/>
      </c>
    </row>
    <row r="242">
      <c r="A242" t="inlineStr">
        <is>
          <t>A 48896-2022</t>
        </is>
      </c>
      <c r="B242" s="1" t="n">
        <v>44859</v>
      </c>
      <c r="C242" s="1" t="n">
        <v>45156</v>
      </c>
      <c r="D242" t="inlineStr">
        <is>
          <t>STRÖMSUND</t>
        </is>
      </c>
      <c r="E242" t="inlineStr">
        <is>
          <t>SCA</t>
        </is>
      </c>
      <c r="F242" t="n">
        <v>3.3</v>
      </c>
      <c r="G242" t="n">
        <v>2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1</v>
      </c>
      <c r="O242" t="n">
        <v>0</v>
      </c>
      <c r="P242" t="n">
        <v>2</v>
      </c>
      <c r="Q242">
        <f>HYPERLINK("artfynd\A 48896-2022.xlsx")</f>
        <v/>
      </c>
      <c r="R242">
        <f>HYPERLINK("kartor\A 48896-2022.png")</f>
        <v/>
      </c>
      <c r="T242">
        <f>HYPERLINK("klagomål\A 48896-2022.docx")</f>
        <v/>
      </c>
      <c r="U242">
        <f>HYPERLINK("klagomålsmail\A 48896-2022.docx")</f>
        <v/>
      </c>
      <c r="V242">
        <f>HYPERLINK("tillsyn\A 48896-2022.docx")</f>
        <v/>
      </c>
      <c r="W242">
        <f>HYPERLINK("tillsynsmail\A 48896-2022.docx")</f>
        <v/>
      </c>
    </row>
    <row r="243">
      <c r="A243" t="inlineStr">
        <is>
          <t>A 55530-2022</t>
        </is>
      </c>
      <c r="B243" s="1" t="n">
        <v>44887</v>
      </c>
      <c r="C243" s="1" t="n">
        <v>45156</v>
      </c>
      <c r="D243" t="inlineStr">
        <is>
          <t>STRÖMSUND</t>
        </is>
      </c>
      <c r="E243" t="inlineStr">
        <is>
          <t>SCA</t>
        </is>
      </c>
      <c r="F243" t="n">
        <v>5.5</v>
      </c>
      <c r="G243" t="n">
        <v>0</v>
      </c>
      <c r="H243" t="n">
        <v>0</v>
      </c>
      <c r="I243" t="n">
        <v>2</v>
      </c>
      <c r="J243" t="n">
        <v>0</v>
      </c>
      <c r="K243" t="n">
        <v>0</v>
      </c>
      <c r="L243" t="n">
        <v>0</v>
      </c>
      <c r="M243" t="n">
        <v>0</v>
      </c>
      <c r="N243" t="n">
        <v>2</v>
      </c>
      <c r="O243" t="n">
        <v>0</v>
      </c>
      <c r="P243" t="n">
        <v>2</v>
      </c>
      <c r="Q243">
        <f>HYPERLINK("artfynd\A 55530-2022.xlsx")</f>
        <v/>
      </c>
      <c r="R243">
        <f>HYPERLINK("kartor\A 55530-2022.png")</f>
        <v/>
      </c>
      <c r="T243">
        <f>HYPERLINK("klagomål\A 55530-2022.docx")</f>
        <v/>
      </c>
      <c r="U243">
        <f>HYPERLINK("klagomålsmail\A 55530-2022.docx")</f>
        <v/>
      </c>
      <c r="V243">
        <f>HYPERLINK("tillsyn\A 55530-2022.docx")</f>
        <v/>
      </c>
      <c r="W243">
        <f>HYPERLINK("tillsynsmail\A 55530-2022.docx")</f>
        <v/>
      </c>
    </row>
    <row r="244">
      <c r="A244" t="inlineStr">
        <is>
          <t>A 57587-2022</t>
        </is>
      </c>
      <c r="B244" s="1" t="n">
        <v>44896</v>
      </c>
      <c r="C244" s="1" t="n">
        <v>45156</v>
      </c>
      <c r="D244" t="inlineStr">
        <is>
          <t>STRÖMSUND</t>
        </is>
      </c>
      <c r="E244" t="inlineStr">
        <is>
          <t>SCA</t>
        </is>
      </c>
      <c r="F244" t="n">
        <v>4.8</v>
      </c>
      <c r="G244" t="n">
        <v>0</v>
      </c>
      <c r="H244" t="n">
        <v>0</v>
      </c>
      <c r="I244" t="n">
        <v>2</v>
      </c>
      <c r="J244" t="n">
        <v>0</v>
      </c>
      <c r="K244" t="n">
        <v>0</v>
      </c>
      <c r="L244" t="n">
        <v>0</v>
      </c>
      <c r="M244" t="n">
        <v>0</v>
      </c>
      <c r="N244" t="n">
        <v>2</v>
      </c>
      <c r="O244" t="n">
        <v>0</v>
      </c>
      <c r="P244" t="n">
        <v>2</v>
      </c>
      <c r="Q244">
        <f>HYPERLINK("artfynd\A 57587-2022.xlsx")</f>
        <v/>
      </c>
      <c r="R244">
        <f>HYPERLINK("kartor\A 57587-2022.png")</f>
        <v/>
      </c>
      <c r="T244">
        <f>HYPERLINK("klagomål\A 57587-2022.docx")</f>
        <v/>
      </c>
      <c r="U244">
        <f>HYPERLINK("klagomålsmail\A 57587-2022.docx")</f>
        <v/>
      </c>
      <c r="V244">
        <f>HYPERLINK("tillsyn\A 57587-2022.docx")</f>
        <v/>
      </c>
      <c r="W244">
        <f>HYPERLINK("tillsynsmail\A 57587-2022.docx")</f>
        <v/>
      </c>
    </row>
    <row r="245">
      <c r="A245" t="inlineStr">
        <is>
          <t>A 536-2023</t>
        </is>
      </c>
      <c r="B245" s="1" t="n">
        <v>44930</v>
      </c>
      <c r="C245" s="1" t="n">
        <v>45156</v>
      </c>
      <c r="D245" t="inlineStr">
        <is>
          <t>STRÖMSUND</t>
        </is>
      </c>
      <c r="F245" t="n">
        <v>35.4</v>
      </c>
      <c r="G245" t="n">
        <v>0</v>
      </c>
      <c r="H245" t="n">
        <v>1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1</v>
      </c>
      <c r="O245" t="n">
        <v>0</v>
      </c>
      <c r="P245" t="n">
        <v>2</v>
      </c>
      <c r="Q245">
        <f>HYPERLINK("artfynd\A 536-2023.xlsx")</f>
        <v/>
      </c>
      <c r="R245">
        <f>HYPERLINK("kartor\A 536-2023.png")</f>
        <v/>
      </c>
      <c r="T245">
        <f>HYPERLINK("klagomål\A 536-2023.docx")</f>
        <v/>
      </c>
      <c r="U245">
        <f>HYPERLINK("klagomålsmail\A 536-2023.docx")</f>
        <v/>
      </c>
      <c r="V245">
        <f>HYPERLINK("tillsyn\A 536-2023.docx")</f>
        <v/>
      </c>
      <c r="W245">
        <f>HYPERLINK("tillsynsmail\A 536-2023.docx")</f>
        <v/>
      </c>
    </row>
    <row r="246">
      <c r="A246" t="inlineStr">
        <is>
          <t>A 13189-2023</t>
        </is>
      </c>
      <c r="B246" s="1" t="n">
        <v>45002</v>
      </c>
      <c r="C246" s="1" t="n">
        <v>45156</v>
      </c>
      <c r="D246" t="inlineStr">
        <is>
          <t>STRÖMSUND</t>
        </is>
      </c>
      <c r="F246" t="n">
        <v>14.9</v>
      </c>
      <c r="G246" t="n">
        <v>1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1</v>
      </c>
      <c r="O246" t="n">
        <v>0</v>
      </c>
      <c r="P246" t="n">
        <v>2</v>
      </c>
      <c r="Q246">
        <f>HYPERLINK("artfynd\A 13189-2023.xlsx")</f>
        <v/>
      </c>
      <c r="R246">
        <f>HYPERLINK("kartor\A 13189-2023.png")</f>
        <v/>
      </c>
      <c r="T246">
        <f>HYPERLINK("klagomål\A 13189-2023.docx")</f>
        <v/>
      </c>
      <c r="U246">
        <f>HYPERLINK("klagomålsmail\A 13189-2023.docx")</f>
        <v/>
      </c>
      <c r="V246">
        <f>HYPERLINK("tillsyn\A 13189-2023.docx")</f>
        <v/>
      </c>
      <c r="W246">
        <f>HYPERLINK("tillsynsmail\A 13189-2023.docx")</f>
        <v/>
      </c>
    </row>
    <row r="247">
      <c r="A247" t="inlineStr">
        <is>
          <t>A 20592-2023</t>
        </is>
      </c>
      <c r="B247" s="1" t="n">
        <v>45057</v>
      </c>
      <c r="C247" s="1" t="n">
        <v>45156</v>
      </c>
      <c r="D247" t="inlineStr">
        <is>
          <t>STRÖMSUND</t>
        </is>
      </c>
      <c r="E247" t="inlineStr">
        <is>
          <t>SCA</t>
        </is>
      </c>
      <c r="F247" t="n">
        <v>8.800000000000001</v>
      </c>
      <c r="G247" t="n">
        <v>0</v>
      </c>
      <c r="H247" t="n">
        <v>0</v>
      </c>
      <c r="I247" t="n">
        <v>2</v>
      </c>
      <c r="J247" t="n">
        <v>0</v>
      </c>
      <c r="K247" t="n">
        <v>0</v>
      </c>
      <c r="L247" t="n">
        <v>0</v>
      </c>
      <c r="M247" t="n">
        <v>0</v>
      </c>
      <c r="N247" t="n">
        <v>2</v>
      </c>
      <c r="O247" t="n">
        <v>0</v>
      </c>
      <c r="P247" t="n">
        <v>2</v>
      </c>
      <c r="Q247">
        <f>HYPERLINK("artfynd\A 20592-2023.xlsx")</f>
        <v/>
      </c>
      <c r="R247">
        <f>HYPERLINK("kartor\A 20592-2023.png")</f>
        <v/>
      </c>
      <c r="T247">
        <f>HYPERLINK("klagomål\A 20592-2023.docx")</f>
        <v/>
      </c>
      <c r="U247">
        <f>HYPERLINK("klagomålsmail\A 20592-2023.docx")</f>
        <v/>
      </c>
      <c r="V247">
        <f>HYPERLINK("tillsyn\A 20592-2023.docx")</f>
        <v/>
      </c>
      <c r="W247">
        <f>HYPERLINK("tillsynsmail\A 20592-2023.docx")</f>
        <v/>
      </c>
    </row>
    <row r="248">
      <c r="A248" t="inlineStr">
        <is>
          <t>A 23839-2023</t>
        </is>
      </c>
      <c r="B248" s="1" t="n">
        <v>45075</v>
      </c>
      <c r="C248" s="1" t="n">
        <v>45156</v>
      </c>
      <c r="D248" t="inlineStr">
        <is>
          <t>STRÖMSUND</t>
        </is>
      </c>
      <c r="F248" t="n">
        <v>2.1</v>
      </c>
      <c r="G248" t="n">
        <v>0</v>
      </c>
      <c r="H248" t="n">
        <v>1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1</v>
      </c>
      <c r="O248" t="n">
        <v>0</v>
      </c>
      <c r="P248" t="n">
        <v>2</v>
      </c>
      <c r="Q248">
        <f>HYPERLINK("artfynd\A 23839-2023.xlsx")</f>
        <v/>
      </c>
      <c r="R248">
        <f>HYPERLINK("kartor\A 23839-2023.png")</f>
        <v/>
      </c>
      <c r="T248">
        <f>HYPERLINK("klagomål\A 23839-2023.docx")</f>
        <v/>
      </c>
      <c r="U248">
        <f>HYPERLINK("klagomålsmail\A 23839-2023.docx")</f>
        <v/>
      </c>
      <c r="V248">
        <f>HYPERLINK("tillsyn\A 23839-2023.docx")</f>
        <v/>
      </c>
      <c r="W248">
        <f>HYPERLINK("tillsynsmail\A 23839-2023.docx")</f>
        <v/>
      </c>
    </row>
    <row r="249">
      <c r="A249" t="inlineStr">
        <is>
          <t>A 23776-2023</t>
        </is>
      </c>
      <c r="B249" s="1" t="n">
        <v>45077</v>
      </c>
      <c r="C249" s="1" t="n">
        <v>45156</v>
      </c>
      <c r="D249" t="inlineStr">
        <is>
          <t>STRÖMSUND</t>
        </is>
      </c>
      <c r="E249" t="inlineStr">
        <is>
          <t>SCA</t>
        </is>
      </c>
      <c r="F249" t="n">
        <v>10.6</v>
      </c>
      <c r="G249" t="n">
        <v>0</v>
      </c>
      <c r="H249" t="n">
        <v>1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1</v>
      </c>
      <c r="O249" t="n">
        <v>0</v>
      </c>
      <c r="P249" t="n">
        <v>2</v>
      </c>
      <c r="Q249">
        <f>HYPERLINK("artfynd\A 23776-2023.xlsx")</f>
        <v/>
      </c>
      <c r="R249">
        <f>HYPERLINK("kartor\A 23776-2023.png")</f>
        <v/>
      </c>
      <c r="T249">
        <f>HYPERLINK("klagomål\A 23776-2023.docx")</f>
        <v/>
      </c>
      <c r="U249">
        <f>HYPERLINK("klagomålsmail\A 23776-2023.docx")</f>
        <v/>
      </c>
      <c r="V249">
        <f>HYPERLINK("tillsyn\A 23776-2023.docx")</f>
        <v/>
      </c>
      <c r="W249">
        <f>HYPERLINK("tillsynsmail\A 23776-2023.docx")</f>
        <v/>
      </c>
    </row>
    <row r="250">
      <c r="A250" t="inlineStr">
        <is>
          <t>A 27367-2023</t>
        </is>
      </c>
      <c r="B250" s="1" t="n">
        <v>45096</v>
      </c>
      <c r="C250" s="1" t="n">
        <v>45156</v>
      </c>
      <c r="D250" t="inlineStr">
        <is>
          <t>STRÖMSUND</t>
        </is>
      </c>
      <c r="E250" t="inlineStr">
        <is>
          <t>SCA</t>
        </is>
      </c>
      <c r="F250" t="n">
        <v>2.8</v>
      </c>
      <c r="G250" t="n">
        <v>0</v>
      </c>
      <c r="H250" t="n">
        <v>2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2</v>
      </c>
      <c r="Q250">
        <f>HYPERLINK("artfynd\A 27367-2023.xlsx")</f>
        <v/>
      </c>
      <c r="R250">
        <f>HYPERLINK("kartor\A 27367-2023.png")</f>
        <v/>
      </c>
      <c r="T250">
        <f>HYPERLINK("klagomål\A 27367-2023.docx")</f>
        <v/>
      </c>
      <c r="U250">
        <f>HYPERLINK("klagomålsmail\A 27367-2023.docx")</f>
        <v/>
      </c>
      <c r="V250">
        <f>HYPERLINK("tillsyn\A 27367-2023.docx")</f>
        <v/>
      </c>
      <c r="W250">
        <f>HYPERLINK("tillsynsmail\A 27367-2023.docx")</f>
        <v/>
      </c>
    </row>
    <row r="251">
      <c r="A251" t="inlineStr">
        <is>
          <t>A 28743-2023</t>
        </is>
      </c>
      <c r="B251" s="1" t="n">
        <v>45103</v>
      </c>
      <c r="C251" s="1" t="n">
        <v>45156</v>
      </c>
      <c r="D251" t="inlineStr">
        <is>
          <t>STRÖMSUND</t>
        </is>
      </c>
      <c r="F251" t="n">
        <v>1.6</v>
      </c>
      <c r="G251" t="n">
        <v>2</v>
      </c>
      <c r="H251" t="n">
        <v>1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2</v>
      </c>
      <c r="Q251">
        <f>HYPERLINK("artfynd\A 28743-2023.xlsx")</f>
        <v/>
      </c>
      <c r="R251">
        <f>HYPERLINK("kartor\A 28743-2023.png")</f>
        <v/>
      </c>
      <c r="T251">
        <f>HYPERLINK("klagomål\A 28743-2023.docx")</f>
        <v/>
      </c>
      <c r="U251">
        <f>HYPERLINK("klagomålsmail\A 28743-2023.docx")</f>
        <v/>
      </c>
      <c r="V251">
        <f>HYPERLINK("tillsyn\A 28743-2023.docx")</f>
        <v/>
      </c>
      <c r="W251">
        <f>HYPERLINK("tillsynsmail\A 28743-2023.docx")</f>
        <v/>
      </c>
    </row>
    <row r="252">
      <c r="A252" t="inlineStr">
        <is>
          <t>A 29071-2023</t>
        </is>
      </c>
      <c r="B252" s="1" t="n">
        <v>45104</v>
      </c>
      <c r="C252" s="1" t="n">
        <v>45156</v>
      </c>
      <c r="D252" t="inlineStr">
        <is>
          <t>STRÖMSUND</t>
        </is>
      </c>
      <c r="E252" t="inlineStr">
        <is>
          <t>SCA</t>
        </is>
      </c>
      <c r="F252" t="n">
        <v>6.9</v>
      </c>
      <c r="G252" t="n">
        <v>0</v>
      </c>
      <c r="H252" t="n">
        <v>0</v>
      </c>
      <c r="I252" t="n">
        <v>2</v>
      </c>
      <c r="J252" t="n">
        <v>0</v>
      </c>
      <c r="K252" t="n">
        <v>0</v>
      </c>
      <c r="L252" t="n">
        <v>0</v>
      </c>
      <c r="M252" t="n">
        <v>0</v>
      </c>
      <c r="N252" t="n">
        <v>2</v>
      </c>
      <c r="O252" t="n">
        <v>0</v>
      </c>
      <c r="P252" t="n">
        <v>2</v>
      </c>
      <c r="Q252">
        <f>HYPERLINK("artfynd\A 29071-2023.xlsx")</f>
        <v/>
      </c>
      <c r="R252">
        <f>HYPERLINK("kartor\A 29071-2023.png")</f>
        <v/>
      </c>
      <c r="T252">
        <f>HYPERLINK("klagomål\A 29071-2023.docx")</f>
        <v/>
      </c>
      <c r="U252">
        <f>HYPERLINK("klagomålsmail\A 29071-2023.docx")</f>
        <v/>
      </c>
      <c r="V252">
        <f>HYPERLINK("tillsyn\A 29071-2023.docx")</f>
        <v/>
      </c>
      <c r="W252">
        <f>HYPERLINK("tillsynsmail\A 29071-2023.docx")</f>
        <v/>
      </c>
    </row>
    <row r="253">
      <c r="A253" t="inlineStr">
        <is>
          <t>A 29604-2023</t>
        </is>
      </c>
      <c r="B253" s="1" t="n">
        <v>45106</v>
      </c>
      <c r="C253" s="1" t="n">
        <v>45156</v>
      </c>
      <c r="D253" t="inlineStr">
        <is>
          <t>STRÖMSUND</t>
        </is>
      </c>
      <c r="E253" t="inlineStr">
        <is>
          <t>SCA</t>
        </is>
      </c>
      <c r="F253" t="n">
        <v>1.9</v>
      </c>
      <c r="G253" t="n">
        <v>0</v>
      </c>
      <c r="H253" t="n">
        <v>0</v>
      </c>
      <c r="I253" t="n">
        <v>2</v>
      </c>
      <c r="J253" t="n">
        <v>0</v>
      </c>
      <c r="K253" t="n">
        <v>0</v>
      </c>
      <c r="L253" t="n">
        <v>0</v>
      </c>
      <c r="M253" t="n">
        <v>0</v>
      </c>
      <c r="N253" t="n">
        <v>2</v>
      </c>
      <c r="O253" t="n">
        <v>0</v>
      </c>
      <c r="P253" t="n">
        <v>2</v>
      </c>
      <c r="Q253">
        <f>HYPERLINK("artfynd\A 29604-2023.xlsx")</f>
        <v/>
      </c>
      <c r="R253">
        <f>HYPERLINK("kartor\A 29604-2023.png")</f>
        <v/>
      </c>
      <c r="T253">
        <f>HYPERLINK("klagomål\A 29604-2023.docx")</f>
        <v/>
      </c>
      <c r="U253">
        <f>HYPERLINK("klagomålsmail\A 29604-2023.docx")</f>
        <v/>
      </c>
      <c r="V253">
        <f>HYPERLINK("tillsyn\A 29604-2023.docx")</f>
        <v/>
      </c>
      <c r="W253">
        <f>HYPERLINK("tillsynsmail\A 29604-2023.docx")</f>
        <v/>
      </c>
    </row>
    <row r="254">
      <c r="A254" t="inlineStr">
        <is>
          <t>A 29633-2023</t>
        </is>
      </c>
      <c r="B254" s="1" t="n">
        <v>45106</v>
      </c>
      <c r="C254" s="1" t="n">
        <v>45156</v>
      </c>
      <c r="D254" t="inlineStr">
        <is>
          <t>STRÖMSUND</t>
        </is>
      </c>
      <c r="E254" t="inlineStr">
        <is>
          <t>SCA</t>
        </is>
      </c>
      <c r="F254" t="n">
        <v>1</v>
      </c>
      <c r="G254" t="n">
        <v>0</v>
      </c>
      <c r="H254" t="n">
        <v>1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1</v>
      </c>
      <c r="O254" t="n">
        <v>0</v>
      </c>
      <c r="P254" t="n">
        <v>2</v>
      </c>
      <c r="Q254">
        <f>HYPERLINK("artfynd\A 29633-2023.xlsx")</f>
        <v/>
      </c>
      <c r="R254">
        <f>HYPERLINK("kartor\A 29633-2023.png")</f>
        <v/>
      </c>
      <c r="T254">
        <f>HYPERLINK("klagomål\A 29633-2023.docx")</f>
        <v/>
      </c>
      <c r="U254">
        <f>HYPERLINK("klagomålsmail\A 29633-2023.docx")</f>
        <v/>
      </c>
      <c r="V254">
        <f>HYPERLINK("tillsyn\A 29633-2023.docx")</f>
        <v/>
      </c>
      <c r="W254">
        <f>HYPERLINK("tillsynsmail\A 29633-2023.docx")</f>
        <v/>
      </c>
    </row>
    <row r="255">
      <c r="A255" t="inlineStr">
        <is>
          <t>A 29962-2023</t>
        </is>
      </c>
      <c r="B255" s="1" t="n">
        <v>45107</v>
      </c>
      <c r="C255" s="1" t="n">
        <v>45156</v>
      </c>
      <c r="D255" t="inlineStr">
        <is>
          <t>STRÖMSUND</t>
        </is>
      </c>
      <c r="E255" t="inlineStr">
        <is>
          <t>SCA</t>
        </is>
      </c>
      <c r="F255" t="n">
        <v>13.3</v>
      </c>
      <c r="G255" t="n">
        <v>0</v>
      </c>
      <c r="H255" t="n">
        <v>0</v>
      </c>
      <c r="I255" t="n">
        <v>2</v>
      </c>
      <c r="J255" t="n">
        <v>0</v>
      </c>
      <c r="K255" t="n">
        <v>0</v>
      </c>
      <c r="L255" t="n">
        <v>0</v>
      </c>
      <c r="M255" t="n">
        <v>0</v>
      </c>
      <c r="N255" t="n">
        <v>2</v>
      </c>
      <c r="O255" t="n">
        <v>0</v>
      </c>
      <c r="P255" t="n">
        <v>2</v>
      </c>
      <c r="Q255">
        <f>HYPERLINK("artfynd\A 29962-2023.xlsx")</f>
        <v/>
      </c>
      <c r="R255">
        <f>HYPERLINK("kartor\A 29962-2023.png")</f>
        <v/>
      </c>
      <c r="T255">
        <f>HYPERLINK("klagomål\A 29962-2023.docx")</f>
        <v/>
      </c>
      <c r="U255">
        <f>HYPERLINK("klagomålsmail\A 29962-2023.docx")</f>
        <v/>
      </c>
      <c r="V255">
        <f>HYPERLINK("tillsyn\A 29962-2023.docx")</f>
        <v/>
      </c>
      <c r="W255">
        <f>HYPERLINK("tillsynsmail\A 29962-2023.docx")</f>
        <v/>
      </c>
    </row>
    <row r="256">
      <c r="A256" t="inlineStr">
        <is>
          <t>A 32221-2023</t>
        </is>
      </c>
      <c r="B256" s="1" t="n">
        <v>45119</v>
      </c>
      <c r="C256" s="1" t="n">
        <v>45156</v>
      </c>
      <c r="D256" t="inlineStr">
        <is>
          <t>STRÖMSUND</t>
        </is>
      </c>
      <c r="E256" t="inlineStr">
        <is>
          <t>SCA</t>
        </is>
      </c>
      <c r="F256" t="n">
        <v>15.1</v>
      </c>
      <c r="G256" t="n">
        <v>0</v>
      </c>
      <c r="H256" t="n">
        <v>0</v>
      </c>
      <c r="I256" t="n">
        <v>2</v>
      </c>
      <c r="J256" t="n">
        <v>0</v>
      </c>
      <c r="K256" t="n">
        <v>0</v>
      </c>
      <c r="L256" t="n">
        <v>0</v>
      </c>
      <c r="M256" t="n">
        <v>0</v>
      </c>
      <c r="N256" t="n">
        <v>2</v>
      </c>
      <c r="O256" t="n">
        <v>0</v>
      </c>
      <c r="P256" t="n">
        <v>2</v>
      </c>
      <c r="Q256">
        <f>HYPERLINK("artfynd\A 32221-2023.xlsx")</f>
        <v/>
      </c>
      <c r="R256">
        <f>HYPERLINK("kartor\A 32221-2023.png")</f>
        <v/>
      </c>
      <c r="T256">
        <f>HYPERLINK("klagomål\A 32221-2023.docx")</f>
        <v/>
      </c>
      <c r="U256">
        <f>HYPERLINK("klagomålsmail\A 32221-2023.docx")</f>
        <v/>
      </c>
      <c r="V256">
        <f>HYPERLINK("tillsyn\A 32221-2023.docx")</f>
        <v/>
      </c>
      <c r="W256">
        <f>HYPERLINK("tillsynsmail\A 32221-2023.docx")</f>
        <v/>
      </c>
    </row>
    <row r="257">
      <c r="A257" t="inlineStr">
        <is>
          <t>A 57655-2018</t>
        </is>
      </c>
      <c r="B257" s="1" t="n">
        <v>43404</v>
      </c>
      <c r="C257" s="1" t="n">
        <v>45156</v>
      </c>
      <c r="D257" t="inlineStr">
        <is>
          <t>STRÖMSUND</t>
        </is>
      </c>
      <c r="E257" t="inlineStr">
        <is>
          <t>SCA</t>
        </is>
      </c>
      <c r="F257" t="n">
        <v>1.8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1</v>
      </c>
      <c r="Q257">
        <f>HYPERLINK("artfynd\A 57655-2018.xlsx")</f>
        <v/>
      </c>
      <c r="R257">
        <f>HYPERLINK("kartor\A 57655-2018.png")</f>
        <v/>
      </c>
      <c r="T257">
        <f>HYPERLINK("klagomål\A 57655-2018.docx")</f>
        <v/>
      </c>
      <c r="U257">
        <f>HYPERLINK("klagomålsmail\A 57655-2018.docx")</f>
        <v/>
      </c>
      <c r="V257">
        <f>HYPERLINK("tillsyn\A 57655-2018.docx")</f>
        <v/>
      </c>
      <c r="W257">
        <f>HYPERLINK("tillsynsmail\A 57655-2018.docx")</f>
        <v/>
      </c>
    </row>
    <row r="258">
      <c r="A258" t="inlineStr">
        <is>
          <t>A 60003-2018</t>
        </is>
      </c>
      <c r="B258" s="1" t="n">
        <v>43411</v>
      </c>
      <c r="C258" s="1" t="n">
        <v>45156</v>
      </c>
      <c r="D258" t="inlineStr">
        <is>
          <t>STRÖMSUND</t>
        </is>
      </c>
      <c r="E258" t="inlineStr">
        <is>
          <t>SCA</t>
        </is>
      </c>
      <c r="F258" t="n">
        <v>2.7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1</v>
      </c>
      <c r="Q258">
        <f>HYPERLINK("artfynd\A 60003-2018.xlsx")</f>
        <v/>
      </c>
      <c r="R258">
        <f>HYPERLINK("kartor\A 60003-2018.png")</f>
        <v/>
      </c>
      <c r="T258">
        <f>HYPERLINK("klagomål\A 60003-2018.docx")</f>
        <v/>
      </c>
      <c r="U258">
        <f>HYPERLINK("klagomålsmail\A 60003-2018.docx")</f>
        <v/>
      </c>
      <c r="V258">
        <f>HYPERLINK("tillsyn\A 60003-2018.docx")</f>
        <v/>
      </c>
      <c r="W258">
        <f>HYPERLINK("tillsynsmail\A 60003-2018.docx")</f>
        <v/>
      </c>
    </row>
    <row r="259">
      <c r="A259" t="inlineStr">
        <is>
          <t>A 62514-2018</t>
        </is>
      </c>
      <c r="B259" s="1" t="n">
        <v>43413</v>
      </c>
      <c r="C259" s="1" t="n">
        <v>45156</v>
      </c>
      <c r="D259" t="inlineStr">
        <is>
          <t>STRÖMSUND</t>
        </is>
      </c>
      <c r="E259" t="inlineStr">
        <is>
          <t>SCA</t>
        </is>
      </c>
      <c r="F259" t="n">
        <v>2.7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1</v>
      </c>
      <c r="Q259">
        <f>HYPERLINK("artfynd\A 62514-2018.xlsx")</f>
        <v/>
      </c>
      <c r="R259">
        <f>HYPERLINK("kartor\A 62514-2018.png")</f>
        <v/>
      </c>
      <c r="T259">
        <f>HYPERLINK("klagomål\A 62514-2018.docx")</f>
        <v/>
      </c>
      <c r="U259">
        <f>HYPERLINK("klagomålsmail\A 62514-2018.docx")</f>
        <v/>
      </c>
      <c r="V259">
        <f>HYPERLINK("tillsyn\A 62514-2018.docx")</f>
        <v/>
      </c>
      <c r="W259">
        <f>HYPERLINK("tillsynsmail\A 62514-2018.docx")</f>
        <v/>
      </c>
    </row>
    <row r="260">
      <c r="A260" t="inlineStr">
        <is>
          <t>A 62476-2018</t>
        </is>
      </c>
      <c r="B260" s="1" t="n">
        <v>43415</v>
      </c>
      <c r="C260" s="1" t="n">
        <v>45156</v>
      </c>
      <c r="D260" t="inlineStr">
        <is>
          <t>STRÖMSUND</t>
        </is>
      </c>
      <c r="E260" t="inlineStr">
        <is>
          <t>SCA</t>
        </is>
      </c>
      <c r="F260" t="n">
        <v>4.6</v>
      </c>
      <c r="G260" t="n">
        <v>0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1</v>
      </c>
      <c r="O260" t="n">
        <v>0</v>
      </c>
      <c r="P260" t="n">
        <v>1</v>
      </c>
      <c r="Q260">
        <f>HYPERLINK("artfynd\A 62476-2018.xlsx")</f>
        <v/>
      </c>
      <c r="R260">
        <f>HYPERLINK("kartor\A 62476-2018.png")</f>
        <v/>
      </c>
      <c r="T260">
        <f>HYPERLINK("klagomål\A 62476-2018.docx")</f>
        <v/>
      </c>
      <c r="U260">
        <f>HYPERLINK("klagomålsmail\A 62476-2018.docx")</f>
        <v/>
      </c>
      <c r="V260">
        <f>HYPERLINK("tillsyn\A 62476-2018.docx")</f>
        <v/>
      </c>
      <c r="W260">
        <f>HYPERLINK("tillsynsmail\A 62476-2018.docx")</f>
        <v/>
      </c>
    </row>
    <row r="261">
      <c r="A261" t="inlineStr">
        <is>
          <t>A 1129-2019</t>
        </is>
      </c>
      <c r="B261" s="1" t="n">
        <v>43472</v>
      </c>
      <c r="C261" s="1" t="n">
        <v>45156</v>
      </c>
      <c r="D261" t="inlineStr">
        <is>
          <t>STRÖMSUND</t>
        </is>
      </c>
      <c r="E261" t="inlineStr">
        <is>
          <t>SCA</t>
        </is>
      </c>
      <c r="F261" t="n">
        <v>4.3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1</v>
      </c>
      <c r="Q261">
        <f>HYPERLINK("artfynd\A 1129-2019.xlsx")</f>
        <v/>
      </c>
      <c r="R261">
        <f>HYPERLINK("kartor\A 1129-2019.png")</f>
        <v/>
      </c>
      <c r="T261">
        <f>HYPERLINK("klagomål\A 1129-2019.docx")</f>
        <v/>
      </c>
      <c r="U261">
        <f>HYPERLINK("klagomålsmail\A 1129-2019.docx")</f>
        <v/>
      </c>
      <c r="V261">
        <f>HYPERLINK("tillsyn\A 1129-2019.docx")</f>
        <v/>
      </c>
      <c r="W261">
        <f>HYPERLINK("tillsynsmail\A 1129-2019.docx")</f>
        <v/>
      </c>
    </row>
    <row r="262">
      <c r="A262" t="inlineStr">
        <is>
          <t>A 3524-2019</t>
        </is>
      </c>
      <c r="B262" s="1" t="n">
        <v>43481</v>
      </c>
      <c r="C262" s="1" t="n">
        <v>45156</v>
      </c>
      <c r="D262" t="inlineStr">
        <is>
          <t>STRÖMSUND</t>
        </is>
      </c>
      <c r="F262" t="n">
        <v>5.1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1</v>
      </c>
      <c r="Q262">
        <f>HYPERLINK("artfynd\A 3524-2019.xlsx")</f>
        <v/>
      </c>
      <c r="R262">
        <f>HYPERLINK("kartor\A 3524-2019.png")</f>
        <v/>
      </c>
      <c r="T262">
        <f>HYPERLINK("klagomål\A 3524-2019.docx")</f>
        <v/>
      </c>
      <c r="U262">
        <f>HYPERLINK("klagomålsmail\A 3524-2019.docx")</f>
        <v/>
      </c>
      <c r="V262">
        <f>HYPERLINK("tillsyn\A 3524-2019.docx")</f>
        <v/>
      </c>
      <c r="W262">
        <f>HYPERLINK("tillsynsmail\A 3524-2019.docx")</f>
        <v/>
      </c>
    </row>
    <row r="263">
      <c r="A263" t="inlineStr">
        <is>
          <t>A 4402-2019</t>
        </is>
      </c>
      <c r="B263" s="1" t="n">
        <v>43484</v>
      </c>
      <c r="C263" s="1" t="n">
        <v>45156</v>
      </c>
      <c r="D263" t="inlineStr">
        <is>
          <t>STRÖMSUND</t>
        </is>
      </c>
      <c r="F263" t="n">
        <v>5.4</v>
      </c>
      <c r="G263" t="n">
        <v>0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1</v>
      </c>
      <c r="Q263">
        <f>HYPERLINK("artfynd\A 4402-2019.xlsx")</f>
        <v/>
      </c>
      <c r="R263">
        <f>HYPERLINK("kartor\A 4402-2019.png")</f>
        <v/>
      </c>
      <c r="T263">
        <f>HYPERLINK("klagomål\A 4402-2019.docx")</f>
        <v/>
      </c>
      <c r="U263">
        <f>HYPERLINK("klagomålsmail\A 4402-2019.docx")</f>
        <v/>
      </c>
      <c r="V263">
        <f>HYPERLINK("tillsyn\A 4402-2019.docx")</f>
        <v/>
      </c>
      <c r="W263">
        <f>HYPERLINK("tillsynsmail\A 4402-2019.docx")</f>
        <v/>
      </c>
    </row>
    <row r="264">
      <c r="A264" t="inlineStr">
        <is>
          <t>A 22113-2019</t>
        </is>
      </c>
      <c r="B264" s="1" t="n">
        <v>43584</v>
      </c>
      <c r="C264" s="1" t="n">
        <v>45156</v>
      </c>
      <c r="D264" t="inlineStr">
        <is>
          <t>STRÖMSUND</t>
        </is>
      </c>
      <c r="F264" t="n">
        <v>3.3</v>
      </c>
      <c r="G264" t="n">
        <v>1</v>
      </c>
      <c r="H264" t="n">
        <v>0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1</v>
      </c>
      <c r="O264" t="n">
        <v>1</v>
      </c>
      <c r="P264" t="n">
        <v>1</v>
      </c>
      <c r="Q264">
        <f>HYPERLINK("artfynd\A 22113-2019.xlsx")</f>
        <v/>
      </c>
      <c r="R264">
        <f>HYPERLINK("kartor\A 22113-2019.png")</f>
        <v/>
      </c>
      <c r="S264">
        <f>HYPERLINK("knärot\A 22113-2019.png")</f>
        <v/>
      </c>
      <c r="T264">
        <f>HYPERLINK("klagomål\A 22113-2019.docx")</f>
        <v/>
      </c>
      <c r="U264">
        <f>HYPERLINK("klagomålsmail\A 22113-2019.docx")</f>
        <v/>
      </c>
      <c r="V264">
        <f>HYPERLINK("tillsyn\A 22113-2019.docx")</f>
        <v/>
      </c>
      <c r="W264">
        <f>HYPERLINK("tillsynsmail\A 22113-2019.docx")</f>
        <v/>
      </c>
    </row>
    <row r="265">
      <c r="A265" t="inlineStr">
        <is>
          <t>A 22291-2019</t>
        </is>
      </c>
      <c r="B265" s="1" t="n">
        <v>43585</v>
      </c>
      <c r="C265" s="1" t="n">
        <v>45156</v>
      </c>
      <c r="D265" t="inlineStr">
        <is>
          <t>STRÖMSUND</t>
        </is>
      </c>
      <c r="E265" t="inlineStr">
        <is>
          <t>SCA</t>
        </is>
      </c>
      <c r="F265" t="n">
        <v>23</v>
      </c>
      <c r="G265" t="n">
        <v>0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1</v>
      </c>
      <c r="O265" t="n">
        <v>0</v>
      </c>
      <c r="P265" t="n">
        <v>1</v>
      </c>
      <c r="Q265">
        <f>HYPERLINK("artfynd\A 22291-2019.xlsx")</f>
        <v/>
      </c>
      <c r="R265">
        <f>HYPERLINK("kartor\A 22291-2019.png")</f>
        <v/>
      </c>
      <c r="T265">
        <f>HYPERLINK("klagomål\A 22291-2019.docx")</f>
        <v/>
      </c>
      <c r="U265">
        <f>HYPERLINK("klagomålsmail\A 22291-2019.docx")</f>
        <v/>
      </c>
      <c r="V265">
        <f>HYPERLINK("tillsyn\A 22291-2019.docx")</f>
        <v/>
      </c>
      <c r="W265">
        <f>HYPERLINK("tillsynsmail\A 22291-2019.docx")</f>
        <v/>
      </c>
    </row>
    <row r="266">
      <c r="A266" t="inlineStr">
        <is>
          <t>A 24525-2019</t>
        </is>
      </c>
      <c r="B266" s="1" t="n">
        <v>43598</v>
      </c>
      <c r="C266" s="1" t="n">
        <v>45156</v>
      </c>
      <c r="D266" t="inlineStr">
        <is>
          <t>STRÖMSUND</t>
        </is>
      </c>
      <c r="E266" t="inlineStr">
        <is>
          <t>SCA</t>
        </is>
      </c>
      <c r="F266" t="n">
        <v>4.2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1</v>
      </c>
      <c r="O266" t="n">
        <v>0</v>
      </c>
      <c r="P266" t="n">
        <v>1</v>
      </c>
      <c r="Q266">
        <f>HYPERLINK("artfynd\A 24525-2019.xlsx")</f>
        <v/>
      </c>
      <c r="R266">
        <f>HYPERLINK("kartor\A 24525-2019.png")</f>
        <v/>
      </c>
      <c r="T266">
        <f>HYPERLINK("klagomål\A 24525-2019.docx")</f>
        <v/>
      </c>
      <c r="U266">
        <f>HYPERLINK("klagomålsmail\A 24525-2019.docx")</f>
        <v/>
      </c>
      <c r="V266">
        <f>HYPERLINK("tillsyn\A 24525-2019.docx")</f>
        <v/>
      </c>
      <c r="W266">
        <f>HYPERLINK("tillsynsmail\A 24525-2019.docx")</f>
        <v/>
      </c>
    </row>
    <row r="267">
      <c r="A267" t="inlineStr">
        <is>
          <t>A 29146-2019</t>
        </is>
      </c>
      <c r="B267" s="1" t="n">
        <v>43628</v>
      </c>
      <c r="C267" s="1" t="n">
        <v>45156</v>
      </c>
      <c r="D267" t="inlineStr">
        <is>
          <t>STRÖMSUND</t>
        </is>
      </c>
      <c r="E267" t="inlineStr">
        <is>
          <t>SCA</t>
        </is>
      </c>
      <c r="F267" t="n">
        <v>79.8</v>
      </c>
      <c r="G267" t="n">
        <v>0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1</v>
      </c>
      <c r="O267" t="n">
        <v>0</v>
      </c>
      <c r="P267" t="n">
        <v>1</v>
      </c>
      <c r="Q267">
        <f>HYPERLINK("artfynd\A 29146-2019.xlsx")</f>
        <v/>
      </c>
      <c r="R267">
        <f>HYPERLINK("kartor\A 29146-2019.png")</f>
        <v/>
      </c>
      <c r="T267">
        <f>HYPERLINK("klagomål\A 29146-2019.docx")</f>
        <v/>
      </c>
      <c r="U267">
        <f>HYPERLINK("klagomålsmail\A 29146-2019.docx")</f>
        <v/>
      </c>
      <c r="V267">
        <f>HYPERLINK("tillsyn\A 29146-2019.docx")</f>
        <v/>
      </c>
      <c r="W267">
        <f>HYPERLINK("tillsynsmail\A 29146-2019.docx")</f>
        <v/>
      </c>
    </row>
    <row r="268">
      <c r="A268" t="inlineStr">
        <is>
          <t>A 29291-2019</t>
        </is>
      </c>
      <c r="B268" s="1" t="n">
        <v>43629</v>
      </c>
      <c r="C268" s="1" t="n">
        <v>45156</v>
      </c>
      <c r="D268" t="inlineStr">
        <is>
          <t>STRÖMSUND</t>
        </is>
      </c>
      <c r="F268" t="n">
        <v>16</v>
      </c>
      <c r="G268" t="n">
        <v>0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1</v>
      </c>
      <c r="Q268">
        <f>HYPERLINK("artfynd\A 29291-2019.xlsx")</f>
        <v/>
      </c>
      <c r="R268">
        <f>HYPERLINK("kartor\A 29291-2019.png")</f>
        <v/>
      </c>
      <c r="T268">
        <f>HYPERLINK("klagomål\A 29291-2019.docx")</f>
        <v/>
      </c>
      <c r="U268">
        <f>HYPERLINK("klagomålsmail\A 29291-2019.docx")</f>
        <v/>
      </c>
      <c r="V268">
        <f>HYPERLINK("tillsyn\A 29291-2019.docx")</f>
        <v/>
      </c>
      <c r="W268">
        <f>HYPERLINK("tillsynsmail\A 29291-2019.docx")</f>
        <v/>
      </c>
    </row>
    <row r="269">
      <c r="A269" t="inlineStr">
        <is>
          <t>A 32596-2019</t>
        </is>
      </c>
      <c r="B269" s="1" t="n">
        <v>43647</v>
      </c>
      <c r="C269" s="1" t="n">
        <v>45156</v>
      </c>
      <c r="D269" t="inlineStr">
        <is>
          <t>STRÖMSUND</t>
        </is>
      </c>
      <c r="F269" t="n">
        <v>2.6</v>
      </c>
      <c r="G269" t="n">
        <v>1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1</v>
      </c>
      <c r="O269" t="n">
        <v>1</v>
      </c>
      <c r="P269" t="n">
        <v>1</v>
      </c>
      <c r="Q269">
        <f>HYPERLINK("artfynd\A 32596-2019.xlsx")</f>
        <v/>
      </c>
      <c r="R269">
        <f>HYPERLINK("kartor\A 32596-2019.png")</f>
        <v/>
      </c>
      <c r="S269">
        <f>HYPERLINK("knärot\A 32596-2019.png")</f>
        <v/>
      </c>
      <c r="T269">
        <f>HYPERLINK("klagomål\A 32596-2019.docx")</f>
        <v/>
      </c>
      <c r="U269">
        <f>HYPERLINK("klagomålsmail\A 32596-2019.docx")</f>
        <v/>
      </c>
      <c r="V269">
        <f>HYPERLINK("tillsyn\A 32596-2019.docx")</f>
        <v/>
      </c>
      <c r="W269">
        <f>HYPERLINK("tillsynsmail\A 32596-2019.docx")</f>
        <v/>
      </c>
    </row>
    <row r="270">
      <c r="A270" t="inlineStr">
        <is>
          <t>A 34219-2019</t>
        </is>
      </c>
      <c r="B270" s="1" t="n">
        <v>43655</v>
      </c>
      <c r="C270" s="1" t="n">
        <v>45156</v>
      </c>
      <c r="D270" t="inlineStr">
        <is>
          <t>STRÖMSUND</t>
        </is>
      </c>
      <c r="E270" t="inlineStr">
        <is>
          <t>Sveaskog</t>
        </is>
      </c>
      <c r="F270" t="n">
        <v>3.1</v>
      </c>
      <c r="G270" t="n">
        <v>0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1</v>
      </c>
      <c r="Q270">
        <f>HYPERLINK("artfynd\A 34219-2019.xlsx")</f>
        <v/>
      </c>
      <c r="R270">
        <f>HYPERLINK("kartor\A 34219-2019.png")</f>
        <v/>
      </c>
      <c r="T270">
        <f>HYPERLINK("klagomål\A 34219-2019.docx")</f>
        <v/>
      </c>
      <c r="U270">
        <f>HYPERLINK("klagomålsmail\A 34219-2019.docx")</f>
        <v/>
      </c>
      <c r="V270">
        <f>HYPERLINK("tillsyn\A 34219-2019.docx")</f>
        <v/>
      </c>
      <c r="W270">
        <f>HYPERLINK("tillsynsmail\A 34219-2019.docx")</f>
        <v/>
      </c>
    </row>
    <row r="271">
      <c r="A271" t="inlineStr">
        <is>
          <t>A 34741-2019</t>
        </is>
      </c>
      <c r="B271" s="1" t="n">
        <v>43657</v>
      </c>
      <c r="C271" s="1" t="n">
        <v>45156</v>
      </c>
      <c r="D271" t="inlineStr">
        <is>
          <t>STRÖMSUND</t>
        </is>
      </c>
      <c r="E271" t="inlineStr">
        <is>
          <t>SCA</t>
        </is>
      </c>
      <c r="F271" t="n">
        <v>11.3</v>
      </c>
      <c r="G271" t="n">
        <v>0</v>
      </c>
      <c r="H271" t="n">
        <v>1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1</v>
      </c>
      <c r="Q271">
        <f>HYPERLINK("artfynd\A 34741-2019.xlsx")</f>
        <v/>
      </c>
      <c r="R271">
        <f>HYPERLINK("kartor\A 34741-2019.png")</f>
        <v/>
      </c>
      <c r="T271">
        <f>HYPERLINK("klagomål\A 34741-2019.docx")</f>
        <v/>
      </c>
      <c r="U271">
        <f>HYPERLINK("klagomålsmail\A 34741-2019.docx")</f>
        <v/>
      </c>
      <c r="V271">
        <f>HYPERLINK("tillsyn\A 34741-2019.docx")</f>
        <v/>
      </c>
      <c r="W271">
        <f>HYPERLINK("tillsynsmail\A 34741-2019.docx")</f>
        <v/>
      </c>
    </row>
    <row r="272">
      <c r="A272" t="inlineStr">
        <is>
          <t>A 40660-2019</t>
        </is>
      </c>
      <c r="B272" s="1" t="n">
        <v>43696</v>
      </c>
      <c r="C272" s="1" t="n">
        <v>45156</v>
      </c>
      <c r="D272" t="inlineStr">
        <is>
          <t>STRÖMSUND</t>
        </is>
      </c>
      <c r="F272" t="n">
        <v>6.5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1</v>
      </c>
      <c r="Q272">
        <f>HYPERLINK("artfynd\A 40660-2019.xlsx")</f>
        <v/>
      </c>
      <c r="R272">
        <f>HYPERLINK("kartor\A 40660-2019.png")</f>
        <v/>
      </c>
      <c r="T272">
        <f>HYPERLINK("klagomål\A 40660-2019.docx")</f>
        <v/>
      </c>
      <c r="U272">
        <f>HYPERLINK("klagomålsmail\A 40660-2019.docx")</f>
        <v/>
      </c>
      <c r="V272">
        <f>HYPERLINK("tillsyn\A 40660-2019.docx")</f>
        <v/>
      </c>
      <c r="W272">
        <f>HYPERLINK("tillsynsmail\A 40660-2019.docx")</f>
        <v/>
      </c>
    </row>
    <row r="273">
      <c r="A273" t="inlineStr">
        <is>
          <t>A 40524-2019</t>
        </is>
      </c>
      <c r="B273" s="1" t="n">
        <v>43696</v>
      </c>
      <c r="C273" s="1" t="n">
        <v>45156</v>
      </c>
      <c r="D273" t="inlineStr">
        <is>
          <t>STRÖMSUND</t>
        </is>
      </c>
      <c r="F273" t="n">
        <v>5.9</v>
      </c>
      <c r="G273" t="n">
        <v>1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1</v>
      </c>
      <c r="Q273">
        <f>HYPERLINK("artfynd\A 40524-2019.xlsx")</f>
        <v/>
      </c>
      <c r="R273">
        <f>HYPERLINK("kartor\A 40524-2019.png")</f>
        <v/>
      </c>
      <c r="T273">
        <f>HYPERLINK("klagomål\A 40524-2019.docx")</f>
        <v/>
      </c>
      <c r="U273">
        <f>HYPERLINK("klagomålsmail\A 40524-2019.docx")</f>
        <v/>
      </c>
      <c r="V273">
        <f>HYPERLINK("tillsyn\A 40524-2019.docx")</f>
        <v/>
      </c>
      <c r="W273">
        <f>HYPERLINK("tillsynsmail\A 40524-2019.docx")</f>
        <v/>
      </c>
    </row>
    <row r="274">
      <c r="A274" t="inlineStr">
        <is>
          <t>A 44011-2019</t>
        </is>
      </c>
      <c r="B274" s="1" t="n">
        <v>43709</v>
      </c>
      <c r="C274" s="1" t="n">
        <v>45156</v>
      </c>
      <c r="D274" t="inlineStr">
        <is>
          <t>STRÖMSUND</t>
        </is>
      </c>
      <c r="E274" t="inlineStr">
        <is>
          <t>SCA</t>
        </is>
      </c>
      <c r="F274" t="n">
        <v>2.8</v>
      </c>
      <c r="G274" t="n">
        <v>0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1</v>
      </c>
      <c r="O274" t="n">
        <v>0</v>
      </c>
      <c r="P274" t="n">
        <v>1</v>
      </c>
      <c r="Q274">
        <f>HYPERLINK("artfynd\A 44011-2019.xlsx")</f>
        <v/>
      </c>
      <c r="R274">
        <f>HYPERLINK("kartor\A 44011-2019.png")</f>
        <v/>
      </c>
      <c r="T274">
        <f>HYPERLINK("klagomål\A 44011-2019.docx")</f>
        <v/>
      </c>
      <c r="U274">
        <f>HYPERLINK("klagomålsmail\A 44011-2019.docx")</f>
        <v/>
      </c>
      <c r="V274">
        <f>HYPERLINK("tillsyn\A 44011-2019.docx")</f>
        <v/>
      </c>
      <c r="W274">
        <f>HYPERLINK("tillsynsmail\A 44011-2019.docx")</f>
        <v/>
      </c>
    </row>
    <row r="275">
      <c r="A275" t="inlineStr">
        <is>
          <t>A 44527-2019</t>
        </is>
      </c>
      <c r="B275" s="1" t="n">
        <v>43711</v>
      </c>
      <c r="C275" s="1" t="n">
        <v>45156</v>
      </c>
      <c r="D275" t="inlineStr">
        <is>
          <t>STRÖMSUND</t>
        </is>
      </c>
      <c r="F275" t="n">
        <v>19.8</v>
      </c>
      <c r="G275" t="n">
        <v>0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1</v>
      </c>
      <c r="Q275">
        <f>HYPERLINK("artfynd\A 44527-2019.xlsx")</f>
        <v/>
      </c>
      <c r="R275">
        <f>HYPERLINK("kartor\A 44527-2019.png")</f>
        <v/>
      </c>
      <c r="T275">
        <f>HYPERLINK("klagomål\A 44527-2019.docx")</f>
        <v/>
      </c>
      <c r="U275">
        <f>HYPERLINK("klagomålsmail\A 44527-2019.docx")</f>
        <v/>
      </c>
      <c r="V275">
        <f>HYPERLINK("tillsyn\A 44527-2019.docx")</f>
        <v/>
      </c>
      <c r="W275">
        <f>HYPERLINK("tillsynsmail\A 44527-2019.docx")</f>
        <v/>
      </c>
    </row>
    <row r="276">
      <c r="A276" t="inlineStr">
        <is>
          <t>A 47080-2019</t>
        </is>
      </c>
      <c r="B276" s="1" t="n">
        <v>43720</v>
      </c>
      <c r="C276" s="1" t="n">
        <v>45156</v>
      </c>
      <c r="D276" t="inlineStr">
        <is>
          <t>STRÖMSUND</t>
        </is>
      </c>
      <c r="E276" t="inlineStr">
        <is>
          <t>SCA</t>
        </is>
      </c>
      <c r="F276" t="n">
        <v>13.5</v>
      </c>
      <c r="G276" t="n">
        <v>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1</v>
      </c>
      <c r="Q276">
        <f>HYPERLINK("artfynd\A 47080-2019.xlsx")</f>
        <v/>
      </c>
      <c r="R276">
        <f>HYPERLINK("kartor\A 47080-2019.png")</f>
        <v/>
      </c>
      <c r="T276">
        <f>HYPERLINK("klagomål\A 47080-2019.docx")</f>
        <v/>
      </c>
      <c r="U276">
        <f>HYPERLINK("klagomålsmail\A 47080-2019.docx")</f>
        <v/>
      </c>
      <c r="V276">
        <f>HYPERLINK("tillsyn\A 47080-2019.docx")</f>
        <v/>
      </c>
      <c r="W276">
        <f>HYPERLINK("tillsynsmail\A 47080-2019.docx")</f>
        <v/>
      </c>
    </row>
    <row r="277">
      <c r="A277" t="inlineStr">
        <is>
          <t>A 47531-2019</t>
        </is>
      </c>
      <c r="B277" s="1" t="n">
        <v>43724</v>
      </c>
      <c r="C277" s="1" t="n">
        <v>45156</v>
      </c>
      <c r="D277" t="inlineStr">
        <is>
          <t>STRÖMSUND</t>
        </is>
      </c>
      <c r="F277" t="n">
        <v>30.4</v>
      </c>
      <c r="G277" t="n">
        <v>0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1</v>
      </c>
      <c r="O277" t="n">
        <v>0</v>
      </c>
      <c r="P277" t="n">
        <v>1</v>
      </c>
      <c r="Q277">
        <f>HYPERLINK("artfynd\A 47531-2019.xlsx")</f>
        <v/>
      </c>
      <c r="R277">
        <f>HYPERLINK("kartor\A 47531-2019.png")</f>
        <v/>
      </c>
      <c r="T277">
        <f>HYPERLINK("klagomål\A 47531-2019.docx")</f>
        <v/>
      </c>
      <c r="U277">
        <f>HYPERLINK("klagomålsmail\A 47531-2019.docx")</f>
        <v/>
      </c>
      <c r="V277">
        <f>HYPERLINK("tillsyn\A 47531-2019.docx")</f>
        <v/>
      </c>
      <c r="W277">
        <f>HYPERLINK("tillsynsmail\A 47531-2019.docx")</f>
        <v/>
      </c>
    </row>
    <row r="278">
      <c r="A278" t="inlineStr">
        <is>
          <t>A 48800-2019</t>
        </is>
      </c>
      <c r="B278" s="1" t="n">
        <v>43727</v>
      </c>
      <c r="C278" s="1" t="n">
        <v>45156</v>
      </c>
      <c r="D278" t="inlineStr">
        <is>
          <t>STRÖMSUND</t>
        </is>
      </c>
      <c r="E278" t="inlineStr">
        <is>
          <t>SCA</t>
        </is>
      </c>
      <c r="F278" t="n">
        <v>2.3</v>
      </c>
      <c r="G278" t="n">
        <v>0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1</v>
      </c>
      <c r="O278" t="n">
        <v>0</v>
      </c>
      <c r="P278" t="n">
        <v>1</v>
      </c>
      <c r="Q278">
        <f>HYPERLINK("artfynd\A 48800-2019.xlsx")</f>
        <v/>
      </c>
      <c r="R278">
        <f>HYPERLINK("kartor\A 48800-2019.png")</f>
        <v/>
      </c>
      <c r="T278">
        <f>HYPERLINK("klagomål\A 48800-2019.docx")</f>
        <v/>
      </c>
      <c r="U278">
        <f>HYPERLINK("klagomålsmail\A 48800-2019.docx")</f>
        <v/>
      </c>
      <c r="V278">
        <f>HYPERLINK("tillsyn\A 48800-2019.docx")</f>
        <v/>
      </c>
      <c r="W278">
        <f>HYPERLINK("tillsynsmail\A 48800-2019.docx")</f>
        <v/>
      </c>
    </row>
    <row r="279">
      <c r="A279" t="inlineStr">
        <is>
          <t>A 50000-2019</t>
        </is>
      </c>
      <c r="B279" s="1" t="n">
        <v>43733</v>
      </c>
      <c r="C279" s="1" t="n">
        <v>45156</v>
      </c>
      <c r="D279" t="inlineStr">
        <is>
          <t>STRÖMSUND</t>
        </is>
      </c>
      <c r="E279" t="inlineStr">
        <is>
          <t>SCA</t>
        </is>
      </c>
      <c r="F279" t="n">
        <v>1.5</v>
      </c>
      <c r="G279" t="n">
        <v>0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1</v>
      </c>
      <c r="O279" t="n">
        <v>0</v>
      </c>
      <c r="P279" t="n">
        <v>1</v>
      </c>
      <c r="Q279">
        <f>HYPERLINK("artfynd\A 50000-2019.xlsx")</f>
        <v/>
      </c>
      <c r="R279">
        <f>HYPERLINK("kartor\A 50000-2019.png")</f>
        <v/>
      </c>
      <c r="T279">
        <f>HYPERLINK("klagomål\A 50000-2019.docx")</f>
        <v/>
      </c>
      <c r="U279">
        <f>HYPERLINK("klagomålsmail\A 50000-2019.docx")</f>
        <v/>
      </c>
      <c r="V279">
        <f>HYPERLINK("tillsyn\A 50000-2019.docx")</f>
        <v/>
      </c>
      <c r="W279">
        <f>HYPERLINK("tillsynsmail\A 50000-2019.docx")</f>
        <v/>
      </c>
    </row>
    <row r="280">
      <c r="A280" t="inlineStr">
        <is>
          <t>A 56187-2019</t>
        </is>
      </c>
      <c r="B280" s="1" t="n">
        <v>43761</v>
      </c>
      <c r="C280" s="1" t="n">
        <v>45156</v>
      </c>
      <c r="D280" t="inlineStr">
        <is>
          <t>STRÖMSUND</t>
        </is>
      </c>
      <c r="E280" t="inlineStr">
        <is>
          <t>SCA</t>
        </is>
      </c>
      <c r="F280" t="n">
        <v>11.3</v>
      </c>
      <c r="G280" t="n">
        <v>0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1</v>
      </c>
      <c r="O280" t="n">
        <v>0</v>
      </c>
      <c r="P280" t="n">
        <v>1</v>
      </c>
      <c r="Q280">
        <f>HYPERLINK("artfynd\A 56187-2019.xlsx")</f>
        <v/>
      </c>
      <c r="R280">
        <f>HYPERLINK("kartor\A 56187-2019.png")</f>
        <v/>
      </c>
      <c r="T280">
        <f>HYPERLINK("klagomål\A 56187-2019.docx")</f>
        <v/>
      </c>
      <c r="U280">
        <f>HYPERLINK("klagomålsmail\A 56187-2019.docx")</f>
        <v/>
      </c>
      <c r="V280">
        <f>HYPERLINK("tillsyn\A 56187-2019.docx")</f>
        <v/>
      </c>
      <c r="W280">
        <f>HYPERLINK("tillsynsmail\A 56187-2019.docx")</f>
        <v/>
      </c>
    </row>
    <row r="281">
      <c r="A281" t="inlineStr">
        <is>
          <t>A 56810-2019</t>
        </is>
      </c>
      <c r="B281" s="1" t="n">
        <v>43763</v>
      </c>
      <c r="C281" s="1" t="n">
        <v>45156</v>
      </c>
      <c r="D281" t="inlineStr">
        <is>
          <t>STRÖMSUND</t>
        </is>
      </c>
      <c r="E281" t="inlineStr">
        <is>
          <t>SCA</t>
        </is>
      </c>
      <c r="F281" t="n">
        <v>9.6</v>
      </c>
      <c r="G281" t="n">
        <v>1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1</v>
      </c>
      <c r="Q281">
        <f>HYPERLINK("artfynd\A 56810-2019.xlsx")</f>
        <v/>
      </c>
      <c r="R281">
        <f>HYPERLINK("kartor\A 56810-2019.png")</f>
        <v/>
      </c>
      <c r="T281">
        <f>HYPERLINK("klagomål\A 56810-2019.docx")</f>
        <v/>
      </c>
      <c r="U281">
        <f>HYPERLINK("klagomålsmail\A 56810-2019.docx")</f>
        <v/>
      </c>
      <c r="V281">
        <f>HYPERLINK("tillsyn\A 56810-2019.docx")</f>
        <v/>
      </c>
      <c r="W281">
        <f>HYPERLINK("tillsynsmail\A 56810-2019.docx")</f>
        <v/>
      </c>
    </row>
    <row r="282">
      <c r="A282" t="inlineStr">
        <is>
          <t>A 59543-2019</t>
        </is>
      </c>
      <c r="B282" s="1" t="n">
        <v>43773</v>
      </c>
      <c r="C282" s="1" t="n">
        <v>45156</v>
      </c>
      <c r="D282" t="inlineStr">
        <is>
          <t>STRÖMSUND</t>
        </is>
      </c>
      <c r="F282" t="n">
        <v>6.3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1</v>
      </c>
      <c r="O282" t="n">
        <v>0</v>
      </c>
      <c r="P282" t="n">
        <v>1</v>
      </c>
      <c r="Q282">
        <f>HYPERLINK("artfynd\A 59543-2019.xlsx")</f>
        <v/>
      </c>
      <c r="R282">
        <f>HYPERLINK("kartor\A 59543-2019.png")</f>
        <v/>
      </c>
      <c r="T282">
        <f>HYPERLINK("klagomål\A 59543-2019.docx")</f>
        <v/>
      </c>
      <c r="U282">
        <f>HYPERLINK("klagomålsmail\A 59543-2019.docx")</f>
        <v/>
      </c>
      <c r="V282">
        <f>HYPERLINK("tillsyn\A 59543-2019.docx")</f>
        <v/>
      </c>
      <c r="W282">
        <f>HYPERLINK("tillsynsmail\A 59543-2019.docx")</f>
        <v/>
      </c>
    </row>
    <row r="283">
      <c r="A283" t="inlineStr">
        <is>
          <t>A 64138-2019</t>
        </is>
      </c>
      <c r="B283" s="1" t="n">
        <v>43796</v>
      </c>
      <c r="C283" s="1" t="n">
        <v>45156</v>
      </c>
      <c r="D283" t="inlineStr">
        <is>
          <t>STRÖMSUND</t>
        </is>
      </c>
      <c r="E283" t="inlineStr">
        <is>
          <t>SCA</t>
        </is>
      </c>
      <c r="F283" t="n">
        <v>1.8</v>
      </c>
      <c r="G283" t="n">
        <v>1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1</v>
      </c>
      <c r="O283" t="n">
        <v>1</v>
      </c>
      <c r="P283" t="n">
        <v>1</v>
      </c>
      <c r="Q283">
        <f>HYPERLINK("artfynd\A 64138-2019.xlsx")</f>
        <v/>
      </c>
      <c r="R283">
        <f>HYPERLINK("kartor\A 64138-2019.png")</f>
        <v/>
      </c>
      <c r="T283">
        <f>HYPERLINK("klagomål\A 64138-2019.docx")</f>
        <v/>
      </c>
      <c r="U283">
        <f>HYPERLINK("klagomålsmail\A 64138-2019.docx")</f>
        <v/>
      </c>
      <c r="V283">
        <f>HYPERLINK("tillsyn\A 64138-2019.docx")</f>
        <v/>
      </c>
      <c r="W283">
        <f>HYPERLINK("tillsynsmail\A 64138-2019.docx")</f>
        <v/>
      </c>
    </row>
    <row r="284">
      <c r="A284" t="inlineStr">
        <is>
          <t>A 1138-2020</t>
        </is>
      </c>
      <c r="B284" s="1" t="n">
        <v>43840</v>
      </c>
      <c r="C284" s="1" t="n">
        <v>45156</v>
      </c>
      <c r="D284" t="inlineStr">
        <is>
          <t>STRÖMSUND</t>
        </is>
      </c>
      <c r="F284" t="n">
        <v>6.5</v>
      </c>
      <c r="G284" t="n">
        <v>1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1</v>
      </c>
      <c r="O284" t="n">
        <v>1</v>
      </c>
      <c r="P284" t="n">
        <v>1</v>
      </c>
      <c r="Q284">
        <f>HYPERLINK("artfynd\A 1138-2020.xlsx")</f>
        <v/>
      </c>
      <c r="R284">
        <f>HYPERLINK("kartor\A 1138-2020.png")</f>
        <v/>
      </c>
      <c r="T284">
        <f>HYPERLINK("klagomål\A 1138-2020.docx")</f>
        <v/>
      </c>
      <c r="U284">
        <f>HYPERLINK("klagomålsmail\A 1138-2020.docx")</f>
        <v/>
      </c>
      <c r="V284">
        <f>HYPERLINK("tillsyn\A 1138-2020.docx")</f>
        <v/>
      </c>
      <c r="W284">
        <f>HYPERLINK("tillsynsmail\A 1138-2020.docx")</f>
        <v/>
      </c>
    </row>
    <row r="285">
      <c r="A285" t="inlineStr">
        <is>
          <t>A 2491-2020</t>
        </is>
      </c>
      <c r="B285" s="1" t="n">
        <v>43847</v>
      </c>
      <c r="C285" s="1" t="n">
        <v>45156</v>
      </c>
      <c r="D285" t="inlineStr">
        <is>
          <t>STRÖMSUND</t>
        </is>
      </c>
      <c r="F285" t="n">
        <v>19</v>
      </c>
      <c r="G285" t="n">
        <v>0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1</v>
      </c>
      <c r="Q285">
        <f>HYPERLINK("artfynd\A 2491-2020.xlsx")</f>
        <v/>
      </c>
      <c r="R285">
        <f>HYPERLINK("kartor\A 2491-2020.png")</f>
        <v/>
      </c>
      <c r="T285">
        <f>HYPERLINK("klagomål\A 2491-2020.docx")</f>
        <v/>
      </c>
      <c r="U285">
        <f>HYPERLINK("klagomålsmail\A 2491-2020.docx")</f>
        <v/>
      </c>
      <c r="V285">
        <f>HYPERLINK("tillsyn\A 2491-2020.docx")</f>
        <v/>
      </c>
      <c r="W285">
        <f>HYPERLINK("tillsynsmail\A 2491-2020.docx")</f>
        <v/>
      </c>
    </row>
    <row r="286">
      <c r="A286" t="inlineStr">
        <is>
          <t>A 8482-2020</t>
        </is>
      </c>
      <c r="B286" s="1" t="n">
        <v>43875</v>
      </c>
      <c r="C286" s="1" t="n">
        <v>45156</v>
      </c>
      <c r="D286" t="inlineStr">
        <is>
          <t>STRÖMSUND</t>
        </is>
      </c>
      <c r="F286" t="n">
        <v>25.5</v>
      </c>
      <c r="G286" t="n">
        <v>0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1</v>
      </c>
      <c r="O286" t="n">
        <v>0</v>
      </c>
      <c r="P286" t="n">
        <v>1</v>
      </c>
      <c r="Q286">
        <f>HYPERLINK("artfynd\A 8482-2020.xlsx")</f>
        <v/>
      </c>
      <c r="R286">
        <f>HYPERLINK("kartor\A 8482-2020.png")</f>
        <v/>
      </c>
      <c r="T286">
        <f>HYPERLINK("klagomål\A 8482-2020.docx")</f>
        <v/>
      </c>
      <c r="U286">
        <f>HYPERLINK("klagomålsmail\A 8482-2020.docx")</f>
        <v/>
      </c>
      <c r="V286">
        <f>HYPERLINK("tillsyn\A 8482-2020.docx")</f>
        <v/>
      </c>
      <c r="W286">
        <f>HYPERLINK("tillsynsmail\A 8482-2020.docx")</f>
        <v/>
      </c>
    </row>
    <row r="287">
      <c r="A287" t="inlineStr">
        <is>
          <t>A 22912-2020</t>
        </is>
      </c>
      <c r="B287" s="1" t="n">
        <v>43964</v>
      </c>
      <c r="C287" s="1" t="n">
        <v>45156</v>
      </c>
      <c r="D287" t="inlineStr">
        <is>
          <t>STRÖMSUND</t>
        </is>
      </c>
      <c r="E287" t="inlineStr">
        <is>
          <t>SCA</t>
        </is>
      </c>
      <c r="F287" t="n">
        <v>8.800000000000001</v>
      </c>
      <c r="G287" t="n">
        <v>0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1</v>
      </c>
      <c r="O287" t="n">
        <v>0</v>
      </c>
      <c r="P287" t="n">
        <v>1</v>
      </c>
      <c r="Q287">
        <f>HYPERLINK("artfynd\A 22912-2020.xlsx")</f>
        <v/>
      </c>
      <c r="R287">
        <f>HYPERLINK("kartor\A 22912-2020.png")</f>
        <v/>
      </c>
      <c r="T287">
        <f>HYPERLINK("klagomål\A 22912-2020.docx")</f>
        <v/>
      </c>
      <c r="U287">
        <f>HYPERLINK("klagomålsmail\A 22912-2020.docx")</f>
        <v/>
      </c>
      <c r="V287">
        <f>HYPERLINK("tillsyn\A 22912-2020.docx")</f>
        <v/>
      </c>
      <c r="W287">
        <f>HYPERLINK("tillsynsmail\A 22912-2020.docx")</f>
        <v/>
      </c>
    </row>
    <row r="288">
      <c r="A288" t="inlineStr">
        <is>
          <t>A 28765-2020</t>
        </is>
      </c>
      <c r="B288" s="1" t="n">
        <v>43999</v>
      </c>
      <c r="C288" s="1" t="n">
        <v>45156</v>
      </c>
      <c r="D288" t="inlineStr">
        <is>
          <t>STRÖMSUND</t>
        </is>
      </c>
      <c r="E288" t="inlineStr">
        <is>
          <t>SCA</t>
        </is>
      </c>
      <c r="F288" t="n">
        <v>7.1</v>
      </c>
      <c r="G288" t="n">
        <v>0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1</v>
      </c>
      <c r="Q288">
        <f>HYPERLINK("artfynd\A 28765-2020.xlsx")</f>
        <v/>
      </c>
      <c r="R288">
        <f>HYPERLINK("kartor\A 28765-2020.png")</f>
        <v/>
      </c>
      <c r="T288">
        <f>HYPERLINK("klagomål\A 28765-2020.docx")</f>
        <v/>
      </c>
      <c r="U288">
        <f>HYPERLINK("klagomålsmail\A 28765-2020.docx")</f>
        <v/>
      </c>
      <c r="V288">
        <f>HYPERLINK("tillsyn\A 28765-2020.docx")</f>
        <v/>
      </c>
      <c r="W288">
        <f>HYPERLINK("tillsynsmail\A 28765-2020.docx")</f>
        <v/>
      </c>
    </row>
    <row r="289">
      <c r="A289" t="inlineStr">
        <is>
          <t>A 28772-2020</t>
        </is>
      </c>
      <c r="B289" s="1" t="n">
        <v>43999</v>
      </c>
      <c r="C289" s="1" t="n">
        <v>45156</v>
      </c>
      <c r="D289" t="inlineStr">
        <is>
          <t>STRÖMSUND</t>
        </is>
      </c>
      <c r="E289" t="inlineStr">
        <is>
          <t>SCA</t>
        </is>
      </c>
      <c r="F289" t="n">
        <v>6.5</v>
      </c>
      <c r="G289" t="n">
        <v>1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1</v>
      </c>
      <c r="Q289">
        <f>HYPERLINK("artfynd\A 28772-2020.xlsx")</f>
        <v/>
      </c>
      <c r="R289">
        <f>HYPERLINK("kartor\A 28772-2020.png")</f>
        <v/>
      </c>
      <c r="T289">
        <f>HYPERLINK("klagomål\A 28772-2020.docx")</f>
        <v/>
      </c>
      <c r="U289">
        <f>HYPERLINK("klagomålsmail\A 28772-2020.docx")</f>
        <v/>
      </c>
      <c r="V289">
        <f>HYPERLINK("tillsyn\A 28772-2020.docx")</f>
        <v/>
      </c>
      <c r="W289">
        <f>HYPERLINK("tillsynsmail\A 28772-2020.docx")</f>
        <v/>
      </c>
    </row>
    <row r="290">
      <c r="A290" t="inlineStr">
        <is>
          <t>A 29060-2020</t>
        </is>
      </c>
      <c r="B290" s="1" t="n">
        <v>44000</v>
      </c>
      <c r="C290" s="1" t="n">
        <v>45156</v>
      </c>
      <c r="D290" t="inlineStr">
        <is>
          <t>STRÖMSUND</t>
        </is>
      </c>
      <c r="E290" t="inlineStr">
        <is>
          <t>SCA</t>
        </is>
      </c>
      <c r="F290" t="n">
        <v>12</v>
      </c>
      <c r="G290" t="n">
        <v>0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1</v>
      </c>
      <c r="O290" t="n">
        <v>0</v>
      </c>
      <c r="P290" t="n">
        <v>1</v>
      </c>
      <c r="Q290">
        <f>HYPERLINK("artfynd\A 29060-2020.xlsx")</f>
        <v/>
      </c>
      <c r="R290">
        <f>HYPERLINK("kartor\A 29060-2020.png")</f>
        <v/>
      </c>
      <c r="T290">
        <f>HYPERLINK("klagomål\A 29060-2020.docx")</f>
        <v/>
      </c>
      <c r="U290">
        <f>HYPERLINK("klagomålsmail\A 29060-2020.docx")</f>
        <v/>
      </c>
      <c r="V290">
        <f>HYPERLINK("tillsyn\A 29060-2020.docx")</f>
        <v/>
      </c>
      <c r="W290">
        <f>HYPERLINK("tillsynsmail\A 29060-2020.docx")</f>
        <v/>
      </c>
    </row>
    <row r="291">
      <c r="A291" t="inlineStr">
        <is>
          <t>A 34280-2020</t>
        </is>
      </c>
      <c r="B291" s="1" t="n">
        <v>44029</v>
      </c>
      <c r="C291" s="1" t="n">
        <v>45156</v>
      </c>
      <c r="D291" t="inlineStr">
        <is>
          <t>STRÖMSUND</t>
        </is>
      </c>
      <c r="E291" t="inlineStr">
        <is>
          <t>SCA</t>
        </is>
      </c>
      <c r="F291" t="n">
        <v>7.3</v>
      </c>
      <c r="G291" t="n">
        <v>0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1</v>
      </c>
      <c r="O291" t="n">
        <v>1</v>
      </c>
      <c r="P291" t="n">
        <v>1</v>
      </c>
      <c r="Q291">
        <f>HYPERLINK("artfynd\A 34280-2020.xlsx")</f>
        <v/>
      </c>
      <c r="R291">
        <f>HYPERLINK("kartor\A 34280-2020.png")</f>
        <v/>
      </c>
      <c r="T291">
        <f>HYPERLINK("klagomål\A 34280-2020.docx")</f>
        <v/>
      </c>
      <c r="U291">
        <f>HYPERLINK("klagomålsmail\A 34280-2020.docx")</f>
        <v/>
      </c>
      <c r="V291">
        <f>HYPERLINK("tillsyn\A 34280-2020.docx")</f>
        <v/>
      </c>
      <c r="W291">
        <f>HYPERLINK("tillsynsmail\A 34280-2020.docx")</f>
        <v/>
      </c>
    </row>
    <row r="292">
      <c r="A292" t="inlineStr">
        <is>
          <t>A 35600-2020</t>
        </is>
      </c>
      <c r="B292" s="1" t="n">
        <v>44043</v>
      </c>
      <c r="C292" s="1" t="n">
        <v>45156</v>
      </c>
      <c r="D292" t="inlineStr">
        <is>
          <t>STRÖMSUND</t>
        </is>
      </c>
      <c r="E292" t="inlineStr">
        <is>
          <t>SCA</t>
        </is>
      </c>
      <c r="F292" t="n">
        <v>5</v>
      </c>
      <c r="G292" t="n">
        <v>0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1</v>
      </c>
      <c r="O292" t="n">
        <v>0</v>
      </c>
      <c r="P292" t="n">
        <v>1</v>
      </c>
      <c r="Q292">
        <f>HYPERLINK("artfynd\A 35600-2020.xlsx")</f>
        <v/>
      </c>
      <c r="R292">
        <f>HYPERLINK("kartor\A 35600-2020.png")</f>
        <v/>
      </c>
      <c r="T292">
        <f>HYPERLINK("klagomål\A 35600-2020.docx")</f>
        <v/>
      </c>
      <c r="U292">
        <f>HYPERLINK("klagomålsmail\A 35600-2020.docx")</f>
        <v/>
      </c>
      <c r="V292">
        <f>HYPERLINK("tillsyn\A 35600-2020.docx")</f>
        <v/>
      </c>
      <c r="W292">
        <f>HYPERLINK("tillsynsmail\A 35600-2020.docx")</f>
        <v/>
      </c>
    </row>
    <row r="293">
      <c r="A293" t="inlineStr">
        <is>
          <t>A 38467-2020</t>
        </is>
      </c>
      <c r="B293" s="1" t="n">
        <v>44060</v>
      </c>
      <c r="C293" s="1" t="n">
        <v>45156</v>
      </c>
      <c r="D293" t="inlineStr">
        <is>
          <t>STRÖMSUND</t>
        </is>
      </c>
      <c r="E293" t="inlineStr">
        <is>
          <t>SCA</t>
        </is>
      </c>
      <c r="F293" t="n">
        <v>1.7</v>
      </c>
      <c r="G293" t="n">
        <v>0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1</v>
      </c>
      <c r="O293" t="n">
        <v>0</v>
      </c>
      <c r="P293" t="n">
        <v>1</v>
      </c>
      <c r="Q293">
        <f>HYPERLINK("artfynd\A 38467-2020.xlsx")</f>
        <v/>
      </c>
      <c r="R293">
        <f>HYPERLINK("kartor\A 38467-2020.png")</f>
        <v/>
      </c>
      <c r="T293">
        <f>HYPERLINK("klagomål\A 38467-2020.docx")</f>
        <v/>
      </c>
      <c r="U293">
        <f>HYPERLINK("klagomålsmail\A 38467-2020.docx")</f>
        <v/>
      </c>
      <c r="V293">
        <f>HYPERLINK("tillsyn\A 38467-2020.docx")</f>
        <v/>
      </c>
      <c r="W293">
        <f>HYPERLINK("tillsynsmail\A 38467-2020.docx")</f>
        <v/>
      </c>
    </row>
    <row r="294">
      <c r="A294" t="inlineStr">
        <is>
          <t>A 38782-2020</t>
        </is>
      </c>
      <c r="B294" s="1" t="n">
        <v>44061</v>
      </c>
      <c r="C294" s="1" t="n">
        <v>45156</v>
      </c>
      <c r="D294" t="inlineStr">
        <is>
          <t>STRÖMSUND</t>
        </is>
      </c>
      <c r="E294" t="inlineStr">
        <is>
          <t>SCA</t>
        </is>
      </c>
      <c r="F294" t="n">
        <v>0.8</v>
      </c>
      <c r="G294" t="n">
        <v>1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1</v>
      </c>
      <c r="Q294">
        <f>HYPERLINK("artfynd\A 38782-2020.xlsx")</f>
        <v/>
      </c>
      <c r="R294">
        <f>HYPERLINK("kartor\A 38782-2020.png")</f>
        <v/>
      </c>
      <c r="T294">
        <f>HYPERLINK("klagomål\A 38782-2020.docx")</f>
        <v/>
      </c>
      <c r="U294">
        <f>HYPERLINK("klagomålsmail\A 38782-2020.docx")</f>
        <v/>
      </c>
      <c r="V294">
        <f>HYPERLINK("tillsyn\A 38782-2020.docx")</f>
        <v/>
      </c>
      <c r="W294">
        <f>HYPERLINK("tillsynsmail\A 38782-2020.docx")</f>
        <v/>
      </c>
    </row>
    <row r="295">
      <c r="A295" t="inlineStr">
        <is>
          <t>A 43809-2020</t>
        </is>
      </c>
      <c r="B295" s="1" t="n">
        <v>44082</v>
      </c>
      <c r="C295" s="1" t="n">
        <v>45156</v>
      </c>
      <c r="D295" t="inlineStr">
        <is>
          <t>STRÖMSUND</t>
        </is>
      </c>
      <c r="E295" t="inlineStr">
        <is>
          <t>Sveaskog</t>
        </is>
      </c>
      <c r="F295" t="n">
        <v>10.4</v>
      </c>
      <c r="G295" t="n">
        <v>0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1</v>
      </c>
      <c r="O295" t="n">
        <v>0</v>
      </c>
      <c r="P295" t="n">
        <v>1</v>
      </c>
      <c r="Q295">
        <f>HYPERLINK("artfynd\A 43809-2020.xlsx")</f>
        <v/>
      </c>
      <c r="R295">
        <f>HYPERLINK("kartor\A 43809-2020.png")</f>
        <v/>
      </c>
      <c r="T295">
        <f>HYPERLINK("klagomål\A 43809-2020.docx")</f>
        <v/>
      </c>
      <c r="U295">
        <f>HYPERLINK("klagomålsmail\A 43809-2020.docx")</f>
        <v/>
      </c>
      <c r="V295">
        <f>HYPERLINK("tillsyn\A 43809-2020.docx")</f>
        <v/>
      </c>
      <c r="W295">
        <f>HYPERLINK("tillsynsmail\A 43809-2020.docx")</f>
        <v/>
      </c>
    </row>
    <row r="296">
      <c r="A296" t="inlineStr">
        <is>
          <t>A 54982-2020</t>
        </is>
      </c>
      <c r="B296" s="1" t="n">
        <v>44130</v>
      </c>
      <c r="C296" s="1" t="n">
        <v>45156</v>
      </c>
      <c r="D296" t="inlineStr">
        <is>
          <t>STRÖMSUND</t>
        </is>
      </c>
      <c r="E296" t="inlineStr">
        <is>
          <t>Holmen skog AB</t>
        </is>
      </c>
      <c r="F296" t="n">
        <v>5.7</v>
      </c>
      <c r="G296" t="n">
        <v>0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1</v>
      </c>
      <c r="O296" t="n">
        <v>1</v>
      </c>
      <c r="P296" t="n">
        <v>1</v>
      </c>
      <c r="Q296">
        <f>HYPERLINK("artfynd\A 54982-2020.xlsx")</f>
        <v/>
      </c>
      <c r="R296">
        <f>HYPERLINK("kartor\A 54982-2020.png")</f>
        <v/>
      </c>
      <c r="T296">
        <f>HYPERLINK("klagomål\A 54982-2020.docx")</f>
        <v/>
      </c>
      <c r="U296">
        <f>HYPERLINK("klagomålsmail\A 54982-2020.docx")</f>
        <v/>
      </c>
      <c r="V296">
        <f>HYPERLINK("tillsyn\A 54982-2020.docx")</f>
        <v/>
      </c>
      <c r="W296">
        <f>HYPERLINK("tillsynsmail\A 54982-2020.docx")</f>
        <v/>
      </c>
    </row>
    <row r="297">
      <c r="A297" t="inlineStr">
        <is>
          <t>A 58560-2020</t>
        </is>
      </c>
      <c r="B297" s="1" t="n">
        <v>44145</v>
      </c>
      <c r="C297" s="1" t="n">
        <v>45156</v>
      </c>
      <c r="D297" t="inlineStr">
        <is>
          <t>STRÖMSUND</t>
        </is>
      </c>
      <c r="E297" t="inlineStr">
        <is>
          <t>Holmen skog AB</t>
        </is>
      </c>
      <c r="F297" t="n">
        <v>17.7</v>
      </c>
      <c r="G297" t="n">
        <v>0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1</v>
      </c>
      <c r="O297" t="n">
        <v>1</v>
      </c>
      <c r="P297" t="n">
        <v>1</v>
      </c>
      <c r="Q297">
        <f>HYPERLINK("artfynd\A 58560-2020.xlsx")</f>
        <v/>
      </c>
      <c r="R297">
        <f>HYPERLINK("kartor\A 58560-2020.png")</f>
        <v/>
      </c>
      <c r="T297">
        <f>HYPERLINK("klagomål\A 58560-2020.docx")</f>
        <v/>
      </c>
      <c r="U297">
        <f>HYPERLINK("klagomålsmail\A 58560-2020.docx")</f>
        <v/>
      </c>
      <c r="V297">
        <f>HYPERLINK("tillsyn\A 58560-2020.docx")</f>
        <v/>
      </c>
      <c r="W297">
        <f>HYPERLINK("tillsynsmail\A 58560-2020.docx")</f>
        <v/>
      </c>
    </row>
    <row r="298">
      <c r="A298" t="inlineStr">
        <is>
          <t>A 64791-2020</t>
        </is>
      </c>
      <c r="B298" s="1" t="n">
        <v>44169</v>
      </c>
      <c r="C298" s="1" t="n">
        <v>45156</v>
      </c>
      <c r="D298" t="inlineStr">
        <is>
          <t>STRÖMSUND</t>
        </is>
      </c>
      <c r="F298" t="n">
        <v>3.1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1</v>
      </c>
      <c r="Q298">
        <f>HYPERLINK("artfynd\A 64791-2020.xlsx")</f>
        <v/>
      </c>
      <c r="R298">
        <f>HYPERLINK("kartor\A 64791-2020.png")</f>
        <v/>
      </c>
      <c r="T298">
        <f>HYPERLINK("klagomål\A 64791-2020.docx")</f>
        <v/>
      </c>
      <c r="U298">
        <f>HYPERLINK("klagomålsmail\A 64791-2020.docx")</f>
        <v/>
      </c>
      <c r="V298">
        <f>HYPERLINK("tillsyn\A 64791-2020.docx")</f>
        <v/>
      </c>
      <c r="W298">
        <f>HYPERLINK("tillsynsmail\A 64791-2020.docx")</f>
        <v/>
      </c>
    </row>
    <row r="299">
      <c r="A299" t="inlineStr">
        <is>
          <t>A 64823-2020</t>
        </is>
      </c>
      <c r="B299" s="1" t="n">
        <v>44169</v>
      </c>
      <c r="C299" s="1" t="n">
        <v>45156</v>
      </c>
      <c r="D299" t="inlineStr">
        <is>
          <t>STRÖMSUND</t>
        </is>
      </c>
      <c r="E299" t="inlineStr">
        <is>
          <t>SCA</t>
        </is>
      </c>
      <c r="F299" t="n">
        <v>11.3</v>
      </c>
      <c r="G299" t="n">
        <v>1</v>
      </c>
      <c r="H299" t="n">
        <v>0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1</v>
      </c>
      <c r="O299" t="n">
        <v>1</v>
      </c>
      <c r="P299" t="n">
        <v>1</v>
      </c>
      <c r="Q299">
        <f>HYPERLINK("artfynd\A 64823-2020.xlsx")</f>
        <v/>
      </c>
      <c r="R299">
        <f>HYPERLINK("kartor\A 64823-2020.png")</f>
        <v/>
      </c>
      <c r="S299">
        <f>HYPERLINK("knärot\A 64823-2020.png")</f>
        <v/>
      </c>
      <c r="T299">
        <f>HYPERLINK("klagomål\A 64823-2020.docx")</f>
        <v/>
      </c>
      <c r="U299">
        <f>HYPERLINK("klagomålsmail\A 64823-2020.docx")</f>
        <v/>
      </c>
      <c r="V299">
        <f>HYPERLINK("tillsyn\A 64823-2020.docx")</f>
        <v/>
      </c>
      <c r="W299">
        <f>HYPERLINK("tillsynsmail\A 64823-2020.docx")</f>
        <v/>
      </c>
    </row>
    <row r="300">
      <c r="A300" t="inlineStr">
        <is>
          <t>A 66130-2020</t>
        </is>
      </c>
      <c r="B300" s="1" t="n">
        <v>44175</v>
      </c>
      <c r="C300" s="1" t="n">
        <v>45156</v>
      </c>
      <c r="D300" t="inlineStr">
        <is>
          <t>STRÖMSUND</t>
        </is>
      </c>
      <c r="E300" t="inlineStr">
        <is>
          <t>Holmen skog AB</t>
        </is>
      </c>
      <c r="F300" t="n">
        <v>20.1</v>
      </c>
      <c r="G300" t="n">
        <v>0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1</v>
      </c>
      <c r="O300" t="n">
        <v>0</v>
      </c>
      <c r="P300" t="n">
        <v>1</v>
      </c>
      <c r="Q300">
        <f>HYPERLINK("artfynd\A 66130-2020.xlsx")</f>
        <v/>
      </c>
      <c r="R300">
        <f>HYPERLINK("kartor\A 66130-2020.png")</f>
        <v/>
      </c>
      <c r="T300">
        <f>HYPERLINK("klagomål\A 66130-2020.docx")</f>
        <v/>
      </c>
      <c r="U300">
        <f>HYPERLINK("klagomålsmail\A 66130-2020.docx")</f>
        <v/>
      </c>
      <c r="V300">
        <f>HYPERLINK("tillsyn\A 66130-2020.docx")</f>
        <v/>
      </c>
      <c r="W300">
        <f>HYPERLINK("tillsynsmail\A 66130-2020.docx")</f>
        <v/>
      </c>
    </row>
    <row r="301">
      <c r="A301" t="inlineStr">
        <is>
          <t>A 68568-2020</t>
        </is>
      </c>
      <c r="B301" s="1" t="n">
        <v>44186</v>
      </c>
      <c r="C301" s="1" t="n">
        <v>45156</v>
      </c>
      <c r="D301" t="inlineStr">
        <is>
          <t>STRÖMSUND</t>
        </is>
      </c>
      <c r="E301" t="inlineStr">
        <is>
          <t>Holmen skog AB</t>
        </is>
      </c>
      <c r="F301" t="n">
        <v>39.3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1</v>
      </c>
      <c r="Q301">
        <f>HYPERLINK("artfynd\A 68568-2020.xlsx")</f>
        <v/>
      </c>
      <c r="R301">
        <f>HYPERLINK("kartor\A 68568-2020.png")</f>
        <v/>
      </c>
      <c r="T301">
        <f>HYPERLINK("klagomål\A 68568-2020.docx")</f>
        <v/>
      </c>
      <c r="U301">
        <f>HYPERLINK("klagomålsmail\A 68568-2020.docx")</f>
        <v/>
      </c>
      <c r="V301">
        <f>HYPERLINK("tillsyn\A 68568-2020.docx")</f>
        <v/>
      </c>
      <c r="W301">
        <f>HYPERLINK("tillsynsmail\A 68568-2020.docx")</f>
        <v/>
      </c>
    </row>
    <row r="302">
      <c r="A302" t="inlineStr">
        <is>
          <t>A 457-2021</t>
        </is>
      </c>
      <c r="B302" s="1" t="n">
        <v>44202</v>
      </c>
      <c r="C302" s="1" t="n">
        <v>45156</v>
      </c>
      <c r="D302" t="inlineStr">
        <is>
          <t>STRÖMSUND</t>
        </is>
      </c>
      <c r="F302" t="n">
        <v>2.3</v>
      </c>
      <c r="G302" t="n">
        <v>0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1</v>
      </c>
      <c r="O302" t="n">
        <v>0</v>
      </c>
      <c r="P302" t="n">
        <v>1</v>
      </c>
      <c r="Q302">
        <f>HYPERLINK("artfynd\A 457-2021.xlsx")</f>
        <v/>
      </c>
      <c r="R302">
        <f>HYPERLINK("kartor\A 457-2021.png")</f>
        <v/>
      </c>
      <c r="T302">
        <f>HYPERLINK("klagomål\A 457-2021.docx")</f>
        <v/>
      </c>
      <c r="U302">
        <f>HYPERLINK("klagomålsmail\A 457-2021.docx")</f>
        <v/>
      </c>
      <c r="V302">
        <f>HYPERLINK("tillsyn\A 457-2021.docx")</f>
        <v/>
      </c>
      <c r="W302">
        <f>HYPERLINK("tillsynsmail\A 457-2021.docx")</f>
        <v/>
      </c>
    </row>
    <row r="303">
      <c r="A303" t="inlineStr">
        <is>
          <t>A 12186-2021</t>
        </is>
      </c>
      <c r="B303" s="1" t="n">
        <v>44266</v>
      </c>
      <c r="C303" s="1" t="n">
        <v>45156</v>
      </c>
      <c r="D303" t="inlineStr">
        <is>
          <t>STRÖMSUND</t>
        </is>
      </c>
      <c r="F303" t="n">
        <v>3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1</v>
      </c>
      <c r="Q303">
        <f>HYPERLINK("artfynd\A 12186-2021.xlsx")</f>
        <v/>
      </c>
      <c r="R303">
        <f>HYPERLINK("kartor\A 12186-2021.png")</f>
        <v/>
      </c>
      <c r="T303">
        <f>HYPERLINK("klagomål\A 12186-2021.docx")</f>
        <v/>
      </c>
      <c r="U303">
        <f>HYPERLINK("klagomålsmail\A 12186-2021.docx")</f>
        <v/>
      </c>
      <c r="V303">
        <f>HYPERLINK("tillsyn\A 12186-2021.docx")</f>
        <v/>
      </c>
      <c r="W303">
        <f>HYPERLINK("tillsynsmail\A 12186-2021.docx")</f>
        <v/>
      </c>
    </row>
    <row r="304">
      <c r="A304" t="inlineStr">
        <is>
          <t>A 17855-2021</t>
        </is>
      </c>
      <c r="B304" s="1" t="n">
        <v>44300</v>
      </c>
      <c r="C304" s="1" t="n">
        <v>45156</v>
      </c>
      <c r="D304" t="inlineStr">
        <is>
          <t>STRÖMSUND</t>
        </is>
      </c>
      <c r="E304" t="inlineStr">
        <is>
          <t>SCA</t>
        </is>
      </c>
      <c r="F304" t="n">
        <v>10.1</v>
      </c>
      <c r="G304" t="n">
        <v>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1</v>
      </c>
      <c r="O304" t="n">
        <v>1</v>
      </c>
      <c r="P304" t="n">
        <v>1</v>
      </c>
      <c r="Q304">
        <f>HYPERLINK("artfynd\A 17855-2021.xlsx")</f>
        <v/>
      </c>
      <c r="R304">
        <f>HYPERLINK("kartor\A 17855-2021.png")</f>
        <v/>
      </c>
      <c r="S304">
        <f>HYPERLINK("knärot\A 17855-2021.png")</f>
        <v/>
      </c>
      <c r="T304">
        <f>HYPERLINK("klagomål\A 17855-2021.docx")</f>
        <v/>
      </c>
      <c r="U304">
        <f>HYPERLINK("klagomålsmail\A 17855-2021.docx")</f>
        <v/>
      </c>
      <c r="V304">
        <f>HYPERLINK("tillsyn\A 17855-2021.docx")</f>
        <v/>
      </c>
      <c r="W304">
        <f>HYPERLINK("tillsynsmail\A 17855-2021.docx")</f>
        <v/>
      </c>
    </row>
    <row r="305">
      <c r="A305" t="inlineStr">
        <is>
          <t>A 22528-2021</t>
        </is>
      </c>
      <c r="B305" s="1" t="n">
        <v>44326</v>
      </c>
      <c r="C305" s="1" t="n">
        <v>45156</v>
      </c>
      <c r="D305" t="inlineStr">
        <is>
          <t>STRÖMSUND</t>
        </is>
      </c>
      <c r="E305" t="inlineStr">
        <is>
          <t>SCA</t>
        </is>
      </c>
      <c r="F305" t="n">
        <v>5.9</v>
      </c>
      <c r="G305" t="n">
        <v>0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1</v>
      </c>
      <c r="O305" t="n">
        <v>1</v>
      </c>
      <c r="P305" t="n">
        <v>1</v>
      </c>
      <c r="Q305">
        <f>HYPERLINK("artfynd\A 22528-2021.xlsx")</f>
        <v/>
      </c>
      <c r="R305">
        <f>HYPERLINK("kartor\A 22528-2021.png")</f>
        <v/>
      </c>
      <c r="T305">
        <f>HYPERLINK("klagomål\A 22528-2021.docx")</f>
        <v/>
      </c>
      <c r="U305">
        <f>HYPERLINK("klagomålsmail\A 22528-2021.docx")</f>
        <v/>
      </c>
      <c r="V305">
        <f>HYPERLINK("tillsyn\A 22528-2021.docx")</f>
        <v/>
      </c>
      <c r="W305">
        <f>HYPERLINK("tillsynsmail\A 22528-2021.docx")</f>
        <v/>
      </c>
    </row>
    <row r="306">
      <c r="A306" t="inlineStr">
        <is>
          <t>A 26148-2021</t>
        </is>
      </c>
      <c r="B306" s="1" t="n">
        <v>44346</v>
      </c>
      <c r="C306" s="1" t="n">
        <v>45156</v>
      </c>
      <c r="D306" t="inlineStr">
        <is>
          <t>STRÖMSUND</t>
        </is>
      </c>
      <c r="E306" t="inlineStr">
        <is>
          <t>SCA</t>
        </is>
      </c>
      <c r="F306" t="n">
        <v>5.4</v>
      </c>
      <c r="G306" t="n">
        <v>0</v>
      </c>
      <c r="H306" t="n">
        <v>1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1</v>
      </c>
      <c r="Q306">
        <f>HYPERLINK("artfynd\A 26148-2021.xlsx")</f>
        <v/>
      </c>
      <c r="R306">
        <f>HYPERLINK("kartor\A 26148-2021.png")</f>
        <v/>
      </c>
      <c r="T306">
        <f>HYPERLINK("klagomål\A 26148-2021.docx")</f>
        <v/>
      </c>
      <c r="U306">
        <f>HYPERLINK("klagomålsmail\A 26148-2021.docx")</f>
        <v/>
      </c>
      <c r="V306">
        <f>HYPERLINK("tillsyn\A 26148-2021.docx")</f>
        <v/>
      </c>
      <c r="W306">
        <f>HYPERLINK("tillsynsmail\A 26148-2021.docx")</f>
        <v/>
      </c>
    </row>
    <row r="307">
      <c r="A307" t="inlineStr">
        <is>
          <t>A 29597-2021</t>
        </is>
      </c>
      <c r="B307" s="1" t="n">
        <v>44361</v>
      </c>
      <c r="C307" s="1" t="n">
        <v>45156</v>
      </c>
      <c r="D307" t="inlineStr">
        <is>
          <t>STRÖMSUND</t>
        </is>
      </c>
      <c r="E307" t="inlineStr">
        <is>
          <t>SCA</t>
        </is>
      </c>
      <c r="F307" t="n">
        <v>2.6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1</v>
      </c>
      <c r="Q307">
        <f>HYPERLINK("artfynd\A 29597-2021.xlsx")</f>
        <v/>
      </c>
      <c r="R307">
        <f>HYPERLINK("kartor\A 29597-2021.png")</f>
        <v/>
      </c>
      <c r="T307">
        <f>HYPERLINK("klagomål\A 29597-2021.docx")</f>
        <v/>
      </c>
      <c r="U307">
        <f>HYPERLINK("klagomålsmail\A 29597-2021.docx")</f>
        <v/>
      </c>
      <c r="V307">
        <f>HYPERLINK("tillsyn\A 29597-2021.docx")</f>
        <v/>
      </c>
      <c r="W307">
        <f>HYPERLINK("tillsynsmail\A 29597-2021.docx")</f>
        <v/>
      </c>
    </row>
    <row r="308">
      <c r="A308" t="inlineStr">
        <is>
          <t>A 31743-2021</t>
        </is>
      </c>
      <c r="B308" s="1" t="n">
        <v>44369</v>
      </c>
      <c r="C308" s="1" t="n">
        <v>45156</v>
      </c>
      <c r="D308" t="inlineStr">
        <is>
          <t>STRÖMSUND</t>
        </is>
      </c>
      <c r="F308" t="n">
        <v>5.6</v>
      </c>
      <c r="G308" t="n">
        <v>0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1</v>
      </c>
      <c r="Q308">
        <f>HYPERLINK("artfynd\A 31743-2021.xlsx")</f>
        <v/>
      </c>
      <c r="R308">
        <f>HYPERLINK("kartor\A 31743-2021.png")</f>
        <v/>
      </c>
      <c r="T308">
        <f>HYPERLINK("klagomål\A 31743-2021.docx")</f>
        <v/>
      </c>
      <c r="U308">
        <f>HYPERLINK("klagomålsmail\A 31743-2021.docx")</f>
        <v/>
      </c>
      <c r="V308">
        <f>HYPERLINK("tillsyn\A 31743-2021.docx")</f>
        <v/>
      </c>
      <c r="W308">
        <f>HYPERLINK("tillsynsmail\A 31743-2021.docx")</f>
        <v/>
      </c>
    </row>
    <row r="309">
      <c r="A309" t="inlineStr">
        <is>
          <t>A 37372-2021</t>
        </is>
      </c>
      <c r="B309" s="1" t="n">
        <v>44397</v>
      </c>
      <c r="C309" s="1" t="n">
        <v>45156</v>
      </c>
      <c r="D309" t="inlineStr">
        <is>
          <t>STRÖMSUND</t>
        </is>
      </c>
      <c r="E309" t="inlineStr">
        <is>
          <t>SCA</t>
        </is>
      </c>
      <c r="F309" t="n">
        <v>2.3</v>
      </c>
      <c r="G309" t="n">
        <v>0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1</v>
      </c>
      <c r="O309" t="n">
        <v>0</v>
      </c>
      <c r="P309" t="n">
        <v>1</v>
      </c>
      <c r="Q309">
        <f>HYPERLINK("artfynd\A 37372-2021.xlsx")</f>
        <v/>
      </c>
      <c r="R309">
        <f>HYPERLINK("kartor\A 37372-2021.png")</f>
        <v/>
      </c>
      <c r="T309">
        <f>HYPERLINK("klagomål\A 37372-2021.docx")</f>
        <v/>
      </c>
      <c r="U309">
        <f>HYPERLINK("klagomålsmail\A 37372-2021.docx")</f>
        <v/>
      </c>
      <c r="V309">
        <f>HYPERLINK("tillsyn\A 37372-2021.docx")</f>
        <v/>
      </c>
      <c r="W309">
        <f>HYPERLINK("tillsynsmail\A 37372-2021.docx")</f>
        <v/>
      </c>
    </row>
    <row r="310">
      <c r="A310" t="inlineStr">
        <is>
          <t>A 38586-2021</t>
        </is>
      </c>
      <c r="B310" s="1" t="n">
        <v>44407</v>
      </c>
      <c r="C310" s="1" t="n">
        <v>45156</v>
      </c>
      <c r="D310" t="inlineStr">
        <is>
          <t>STRÖMSUND</t>
        </is>
      </c>
      <c r="E310" t="inlineStr">
        <is>
          <t>SCA</t>
        </is>
      </c>
      <c r="F310" t="n">
        <v>1.4</v>
      </c>
      <c r="G310" t="n">
        <v>1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1</v>
      </c>
      <c r="O310" t="n">
        <v>1</v>
      </c>
      <c r="P310" t="n">
        <v>1</v>
      </c>
      <c r="Q310">
        <f>HYPERLINK("artfynd\A 38586-2021.xlsx")</f>
        <v/>
      </c>
      <c r="R310">
        <f>HYPERLINK("kartor\A 38586-2021.png")</f>
        <v/>
      </c>
      <c r="S310">
        <f>HYPERLINK("knärot\A 38586-2021.png")</f>
        <v/>
      </c>
      <c r="T310">
        <f>HYPERLINK("klagomål\A 38586-2021.docx")</f>
        <v/>
      </c>
      <c r="U310">
        <f>HYPERLINK("klagomålsmail\A 38586-2021.docx")</f>
        <v/>
      </c>
      <c r="V310">
        <f>HYPERLINK("tillsyn\A 38586-2021.docx")</f>
        <v/>
      </c>
      <c r="W310">
        <f>HYPERLINK("tillsynsmail\A 38586-2021.docx")</f>
        <v/>
      </c>
    </row>
    <row r="311">
      <c r="A311" t="inlineStr">
        <is>
          <t>A 38578-2021</t>
        </is>
      </c>
      <c r="B311" s="1" t="n">
        <v>44407</v>
      </c>
      <c r="C311" s="1" t="n">
        <v>45156</v>
      </c>
      <c r="D311" t="inlineStr">
        <is>
          <t>STRÖMSUND</t>
        </is>
      </c>
      <c r="E311" t="inlineStr">
        <is>
          <t>SCA</t>
        </is>
      </c>
      <c r="F311" t="n">
        <v>2.2</v>
      </c>
      <c r="G311" t="n">
        <v>0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1</v>
      </c>
      <c r="O311" t="n">
        <v>0</v>
      </c>
      <c r="P311" t="n">
        <v>1</v>
      </c>
      <c r="Q311">
        <f>HYPERLINK("artfynd\A 38578-2021.xlsx")</f>
        <v/>
      </c>
      <c r="R311">
        <f>HYPERLINK("kartor\A 38578-2021.png")</f>
        <v/>
      </c>
      <c r="T311">
        <f>HYPERLINK("klagomål\A 38578-2021.docx")</f>
        <v/>
      </c>
      <c r="U311">
        <f>HYPERLINK("klagomålsmail\A 38578-2021.docx")</f>
        <v/>
      </c>
      <c r="V311">
        <f>HYPERLINK("tillsyn\A 38578-2021.docx")</f>
        <v/>
      </c>
      <c r="W311">
        <f>HYPERLINK("tillsynsmail\A 38578-2021.docx")</f>
        <v/>
      </c>
    </row>
    <row r="312">
      <c r="A312" t="inlineStr">
        <is>
          <t>A 38584-2021</t>
        </is>
      </c>
      <c r="B312" s="1" t="n">
        <v>44407</v>
      </c>
      <c r="C312" s="1" t="n">
        <v>45156</v>
      </c>
      <c r="D312" t="inlineStr">
        <is>
          <t>STRÖMSUND</t>
        </is>
      </c>
      <c r="E312" t="inlineStr">
        <is>
          <t>SCA</t>
        </is>
      </c>
      <c r="F312" t="n">
        <v>8.4</v>
      </c>
      <c r="G312" t="n">
        <v>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1</v>
      </c>
      <c r="O312" t="n">
        <v>1</v>
      </c>
      <c r="P312" t="n">
        <v>1</v>
      </c>
      <c r="Q312">
        <f>HYPERLINK("artfynd\A 38584-2021.xlsx")</f>
        <v/>
      </c>
      <c r="R312">
        <f>HYPERLINK("kartor\A 38584-2021.png")</f>
        <v/>
      </c>
      <c r="S312">
        <f>HYPERLINK("knärot\A 38584-2021.png")</f>
        <v/>
      </c>
      <c r="T312">
        <f>HYPERLINK("klagomål\A 38584-2021.docx")</f>
        <v/>
      </c>
      <c r="U312">
        <f>HYPERLINK("klagomålsmail\A 38584-2021.docx")</f>
        <v/>
      </c>
      <c r="V312">
        <f>HYPERLINK("tillsyn\A 38584-2021.docx")</f>
        <v/>
      </c>
      <c r="W312">
        <f>HYPERLINK("tillsynsmail\A 38584-2021.docx")</f>
        <v/>
      </c>
    </row>
    <row r="313">
      <c r="A313" t="inlineStr">
        <is>
          <t>A 42246-2021</t>
        </is>
      </c>
      <c r="B313" s="1" t="n">
        <v>44426</v>
      </c>
      <c r="C313" s="1" t="n">
        <v>45156</v>
      </c>
      <c r="D313" t="inlineStr">
        <is>
          <t>STRÖMSUND</t>
        </is>
      </c>
      <c r="E313" t="inlineStr">
        <is>
          <t>SCA</t>
        </is>
      </c>
      <c r="F313" t="n">
        <v>6.6</v>
      </c>
      <c r="G313" t="n">
        <v>0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1</v>
      </c>
      <c r="O313" t="n">
        <v>0</v>
      </c>
      <c r="P313" t="n">
        <v>1</v>
      </c>
      <c r="Q313">
        <f>HYPERLINK("artfynd\A 42246-2021.xlsx")</f>
        <v/>
      </c>
      <c r="R313">
        <f>HYPERLINK("kartor\A 42246-2021.png")</f>
        <v/>
      </c>
      <c r="T313">
        <f>HYPERLINK("klagomål\A 42246-2021.docx")</f>
        <v/>
      </c>
      <c r="U313">
        <f>HYPERLINK("klagomålsmail\A 42246-2021.docx")</f>
        <v/>
      </c>
      <c r="V313">
        <f>HYPERLINK("tillsyn\A 42246-2021.docx")</f>
        <v/>
      </c>
      <c r="W313">
        <f>HYPERLINK("tillsynsmail\A 42246-2021.docx")</f>
        <v/>
      </c>
    </row>
    <row r="314">
      <c r="A314" t="inlineStr">
        <is>
          <t>A 50654-2021</t>
        </is>
      </c>
      <c r="B314" s="1" t="n">
        <v>44459</v>
      </c>
      <c r="C314" s="1" t="n">
        <v>45156</v>
      </c>
      <c r="D314" t="inlineStr">
        <is>
          <t>STRÖMSUND</t>
        </is>
      </c>
      <c r="E314" t="inlineStr">
        <is>
          <t>SCA</t>
        </is>
      </c>
      <c r="F314" t="n">
        <v>3.1</v>
      </c>
      <c r="G314" t="n">
        <v>0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1</v>
      </c>
      <c r="O314" t="n">
        <v>0</v>
      </c>
      <c r="P314" t="n">
        <v>1</v>
      </c>
      <c r="Q314">
        <f>HYPERLINK("artfynd\A 50654-2021.xlsx")</f>
        <v/>
      </c>
      <c r="R314">
        <f>HYPERLINK("kartor\A 50654-2021.png")</f>
        <v/>
      </c>
      <c r="T314">
        <f>HYPERLINK("klagomål\A 50654-2021.docx")</f>
        <v/>
      </c>
      <c r="U314">
        <f>HYPERLINK("klagomålsmail\A 50654-2021.docx")</f>
        <v/>
      </c>
      <c r="V314">
        <f>HYPERLINK("tillsyn\A 50654-2021.docx")</f>
        <v/>
      </c>
      <c r="W314">
        <f>HYPERLINK("tillsynsmail\A 50654-2021.docx")</f>
        <v/>
      </c>
    </row>
    <row r="315">
      <c r="A315" t="inlineStr">
        <is>
          <t>A 52332-2021</t>
        </is>
      </c>
      <c r="B315" s="1" t="n">
        <v>44463</v>
      </c>
      <c r="C315" s="1" t="n">
        <v>45156</v>
      </c>
      <c r="D315" t="inlineStr">
        <is>
          <t>STRÖMSUND</t>
        </is>
      </c>
      <c r="E315" t="inlineStr">
        <is>
          <t>SCA</t>
        </is>
      </c>
      <c r="F315" t="n">
        <v>0.7</v>
      </c>
      <c r="G315" t="n">
        <v>0</v>
      </c>
      <c r="H315" t="n">
        <v>0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1</v>
      </c>
      <c r="O315" t="n">
        <v>1</v>
      </c>
      <c r="P315" t="n">
        <v>1</v>
      </c>
      <c r="Q315">
        <f>HYPERLINK("artfynd\A 52332-2021.xlsx")</f>
        <v/>
      </c>
      <c r="R315">
        <f>HYPERLINK("kartor\A 52332-2021.png")</f>
        <v/>
      </c>
      <c r="T315">
        <f>HYPERLINK("klagomål\A 52332-2021.docx")</f>
        <v/>
      </c>
      <c r="U315">
        <f>HYPERLINK("klagomålsmail\A 52332-2021.docx")</f>
        <v/>
      </c>
      <c r="V315">
        <f>HYPERLINK("tillsyn\A 52332-2021.docx")</f>
        <v/>
      </c>
      <c r="W315">
        <f>HYPERLINK("tillsynsmail\A 52332-2021.docx")</f>
        <v/>
      </c>
    </row>
    <row r="316">
      <c r="A316" t="inlineStr">
        <is>
          <t>A 53517-2021</t>
        </is>
      </c>
      <c r="B316" s="1" t="n">
        <v>44468</v>
      </c>
      <c r="C316" s="1" t="n">
        <v>45156</v>
      </c>
      <c r="D316" t="inlineStr">
        <is>
          <t>STRÖMSUND</t>
        </is>
      </c>
      <c r="E316" t="inlineStr">
        <is>
          <t>SCA</t>
        </is>
      </c>
      <c r="F316" t="n">
        <v>3</v>
      </c>
      <c r="G316" t="n">
        <v>0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1</v>
      </c>
      <c r="O316" t="n">
        <v>0</v>
      </c>
      <c r="P316" t="n">
        <v>1</v>
      </c>
      <c r="Q316">
        <f>HYPERLINK("artfynd\A 53517-2021.xlsx")</f>
        <v/>
      </c>
      <c r="R316">
        <f>HYPERLINK("kartor\A 53517-2021.png")</f>
        <v/>
      </c>
      <c r="T316">
        <f>HYPERLINK("klagomål\A 53517-2021.docx")</f>
        <v/>
      </c>
      <c r="U316">
        <f>HYPERLINK("klagomålsmail\A 53517-2021.docx")</f>
        <v/>
      </c>
      <c r="V316">
        <f>HYPERLINK("tillsyn\A 53517-2021.docx")</f>
        <v/>
      </c>
      <c r="W316">
        <f>HYPERLINK("tillsynsmail\A 53517-2021.docx")</f>
        <v/>
      </c>
    </row>
    <row r="317">
      <c r="A317" t="inlineStr">
        <is>
          <t>A 56210-2021</t>
        </is>
      </c>
      <c r="B317" s="1" t="n">
        <v>44477</v>
      </c>
      <c r="C317" s="1" t="n">
        <v>45156</v>
      </c>
      <c r="D317" t="inlineStr">
        <is>
          <t>STRÖMSUND</t>
        </is>
      </c>
      <c r="E317" t="inlineStr">
        <is>
          <t>SCA</t>
        </is>
      </c>
      <c r="F317" t="n">
        <v>24.1</v>
      </c>
      <c r="G317" t="n">
        <v>0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1</v>
      </c>
      <c r="O317" t="n">
        <v>0</v>
      </c>
      <c r="P317" t="n">
        <v>1</v>
      </c>
      <c r="Q317">
        <f>HYPERLINK("artfynd\A 56210-2021.xlsx")</f>
        <v/>
      </c>
      <c r="R317">
        <f>HYPERLINK("kartor\A 56210-2021.png")</f>
        <v/>
      </c>
      <c r="T317">
        <f>HYPERLINK("klagomål\A 56210-2021.docx")</f>
        <v/>
      </c>
      <c r="U317">
        <f>HYPERLINK("klagomålsmail\A 56210-2021.docx")</f>
        <v/>
      </c>
      <c r="V317">
        <f>HYPERLINK("tillsyn\A 56210-2021.docx")</f>
        <v/>
      </c>
      <c r="W317">
        <f>HYPERLINK("tillsynsmail\A 56210-2021.docx")</f>
        <v/>
      </c>
    </row>
    <row r="318">
      <c r="A318" t="inlineStr">
        <is>
          <t>A 61482-2021</t>
        </is>
      </c>
      <c r="B318" s="1" t="n">
        <v>44500</v>
      </c>
      <c r="C318" s="1" t="n">
        <v>45156</v>
      </c>
      <c r="D318" t="inlineStr">
        <is>
          <t>STRÖMSUND</t>
        </is>
      </c>
      <c r="E318" t="inlineStr">
        <is>
          <t>SCA</t>
        </is>
      </c>
      <c r="F318" t="n">
        <v>5.9</v>
      </c>
      <c r="G318" t="n">
        <v>0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1</v>
      </c>
      <c r="O318" t="n">
        <v>0</v>
      </c>
      <c r="P318" t="n">
        <v>1</v>
      </c>
      <c r="Q318">
        <f>HYPERLINK("artfynd\A 61482-2021.xlsx")</f>
        <v/>
      </c>
      <c r="R318">
        <f>HYPERLINK("kartor\A 61482-2021.png")</f>
        <v/>
      </c>
      <c r="T318">
        <f>HYPERLINK("klagomål\A 61482-2021.docx")</f>
        <v/>
      </c>
      <c r="U318">
        <f>HYPERLINK("klagomålsmail\A 61482-2021.docx")</f>
        <v/>
      </c>
      <c r="V318">
        <f>HYPERLINK("tillsyn\A 61482-2021.docx")</f>
        <v/>
      </c>
      <c r="W318">
        <f>HYPERLINK("tillsynsmail\A 61482-2021.docx")</f>
        <v/>
      </c>
    </row>
    <row r="319">
      <c r="A319" t="inlineStr">
        <is>
          <t>A 61437-2021</t>
        </is>
      </c>
      <c r="B319" s="1" t="n">
        <v>44500</v>
      </c>
      <c r="C319" s="1" t="n">
        <v>45156</v>
      </c>
      <c r="D319" t="inlineStr">
        <is>
          <t>STRÖMSUND</t>
        </is>
      </c>
      <c r="E319" t="inlineStr">
        <is>
          <t>SCA</t>
        </is>
      </c>
      <c r="F319" t="n">
        <v>3.6</v>
      </c>
      <c r="G319" t="n">
        <v>0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1</v>
      </c>
      <c r="O319" t="n">
        <v>0</v>
      </c>
      <c r="P319" t="n">
        <v>1</v>
      </c>
      <c r="Q319">
        <f>HYPERLINK("artfynd\A 61437-2021.xlsx")</f>
        <v/>
      </c>
      <c r="R319">
        <f>HYPERLINK("kartor\A 61437-2021.png")</f>
        <v/>
      </c>
      <c r="T319">
        <f>HYPERLINK("klagomål\A 61437-2021.docx")</f>
        <v/>
      </c>
      <c r="U319">
        <f>HYPERLINK("klagomålsmail\A 61437-2021.docx")</f>
        <v/>
      </c>
      <c r="V319">
        <f>HYPERLINK("tillsyn\A 61437-2021.docx")</f>
        <v/>
      </c>
      <c r="W319">
        <f>HYPERLINK("tillsynsmail\A 61437-2021.docx")</f>
        <v/>
      </c>
    </row>
    <row r="320">
      <c r="A320" t="inlineStr">
        <is>
          <t>A 64291-2021</t>
        </is>
      </c>
      <c r="B320" s="1" t="n">
        <v>44510</v>
      </c>
      <c r="C320" s="1" t="n">
        <v>45156</v>
      </c>
      <c r="D320" t="inlineStr">
        <is>
          <t>STRÖMSUND</t>
        </is>
      </c>
      <c r="F320" t="n">
        <v>3.2</v>
      </c>
      <c r="G320" t="n">
        <v>0</v>
      </c>
      <c r="H320" t="n">
        <v>1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1</v>
      </c>
      <c r="Q320">
        <f>HYPERLINK("artfynd\A 64291-2021.xlsx")</f>
        <v/>
      </c>
      <c r="R320">
        <f>HYPERLINK("kartor\A 64291-2021.png")</f>
        <v/>
      </c>
      <c r="T320">
        <f>HYPERLINK("klagomål\A 64291-2021.docx")</f>
        <v/>
      </c>
      <c r="U320">
        <f>HYPERLINK("klagomålsmail\A 64291-2021.docx")</f>
        <v/>
      </c>
      <c r="V320">
        <f>HYPERLINK("tillsyn\A 64291-2021.docx")</f>
        <v/>
      </c>
      <c r="W320">
        <f>HYPERLINK("tillsynsmail\A 64291-2021.docx")</f>
        <v/>
      </c>
    </row>
    <row r="321">
      <c r="A321" t="inlineStr">
        <is>
          <t>A 64658-2021</t>
        </is>
      </c>
      <c r="B321" s="1" t="n">
        <v>44511</v>
      </c>
      <c r="C321" s="1" t="n">
        <v>45156</v>
      </c>
      <c r="D321" t="inlineStr">
        <is>
          <t>STRÖMSUND</t>
        </is>
      </c>
      <c r="E321" t="inlineStr">
        <is>
          <t>SCA</t>
        </is>
      </c>
      <c r="F321" t="n">
        <v>4.7</v>
      </c>
      <c r="G321" t="n">
        <v>0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1</v>
      </c>
      <c r="O321" t="n">
        <v>0</v>
      </c>
      <c r="P321" t="n">
        <v>1</v>
      </c>
      <c r="Q321">
        <f>HYPERLINK("artfynd\A 64658-2021.xlsx")</f>
        <v/>
      </c>
      <c r="R321">
        <f>HYPERLINK("kartor\A 64658-2021.png")</f>
        <v/>
      </c>
      <c r="T321">
        <f>HYPERLINK("klagomål\A 64658-2021.docx")</f>
        <v/>
      </c>
      <c r="U321">
        <f>HYPERLINK("klagomålsmail\A 64658-2021.docx")</f>
        <v/>
      </c>
      <c r="V321">
        <f>HYPERLINK("tillsyn\A 64658-2021.docx")</f>
        <v/>
      </c>
      <c r="W321">
        <f>HYPERLINK("tillsynsmail\A 64658-2021.docx")</f>
        <v/>
      </c>
    </row>
    <row r="322">
      <c r="A322" t="inlineStr">
        <is>
          <t>A 66483-2021</t>
        </is>
      </c>
      <c r="B322" s="1" t="n">
        <v>44518</v>
      </c>
      <c r="C322" s="1" t="n">
        <v>45156</v>
      </c>
      <c r="D322" t="inlineStr">
        <is>
          <t>STRÖMSUND</t>
        </is>
      </c>
      <c r="E322" t="inlineStr">
        <is>
          <t>SCA</t>
        </is>
      </c>
      <c r="F322" t="n">
        <v>10.2</v>
      </c>
      <c r="G322" t="n">
        <v>0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1</v>
      </c>
      <c r="O322" t="n">
        <v>0</v>
      </c>
      <c r="P322" t="n">
        <v>1</v>
      </c>
      <c r="Q322">
        <f>HYPERLINK("artfynd\A 66483-2021.xlsx")</f>
        <v/>
      </c>
      <c r="R322">
        <f>HYPERLINK("kartor\A 66483-2021.png")</f>
        <v/>
      </c>
      <c r="T322">
        <f>HYPERLINK("klagomål\A 66483-2021.docx")</f>
        <v/>
      </c>
      <c r="U322">
        <f>HYPERLINK("klagomålsmail\A 66483-2021.docx")</f>
        <v/>
      </c>
      <c r="V322">
        <f>HYPERLINK("tillsyn\A 66483-2021.docx")</f>
        <v/>
      </c>
      <c r="W322">
        <f>HYPERLINK("tillsynsmail\A 66483-2021.docx")</f>
        <v/>
      </c>
    </row>
    <row r="323">
      <c r="A323" t="inlineStr">
        <is>
          <t>A 69134-2021</t>
        </is>
      </c>
      <c r="B323" s="1" t="n">
        <v>44530</v>
      </c>
      <c r="C323" s="1" t="n">
        <v>45156</v>
      </c>
      <c r="D323" t="inlineStr">
        <is>
          <t>STRÖMSUND</t>
        </is>
      </c>
      <c r="F323" t="n">
        <v>9.4</v>
      </c>
      <c r="G323" t="n">
        <v>0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1</v>
      </c>
      <c r="O323" t="n">
        <v>0</v>
      </c>
      <c r="P323" t="n">
        <v>1</v>
      </c>
      <c r="Q323">
        <f>HYPERLINK("artfynd\A 69134-2021.xlsx")</f>
        <v/>
      </c>
      <c r="R323">
        <f>HYPERLINK("kartor\A 69134-2021.png")</f>
        <v/>
      </c>
      <c r="T323">
        <f>HYPERLINK("klagomål\A 69134-2021.docx")</f>
        <v/>
      </c>
      <c r="U323">
        <f>HYPERLINK("klagomålsmail\A 69134-2021.docx")</f>
        <v/>
      </c>
      <c r="V323">
        <f>HYPERLINK("tillsyn\A 69134-2021.docx")</f>
        <v/>
      </c>
      <c r="W323">
        <f>HYPERLINK("tillsynsmail\A 69134-2021.docx")</f>
        <v/>
      </c>
    </row>
    <row r="324">
      <c r="A324" t="inlineStr">
        <is>
          <t>A 69551-2021</t>
        </is>
      </c>
      <c r="B324" s="1" t="n">
        <v>44531</v>
      </c>
      <c r="C324" s="1" t="n">
        <v>45156</v>
      </c>
      <c r="D324" t="inlineStr">
        <is>
          <t>STRÖMSUND</t>
        </is>
      </c>
      <c r="E324" t="inlineStr">
        <is>
          <t>SCA</t>
        </is>
      </c>
      <c r="F324" t="n">
        <v>23.7</v>
      </c>
      <c r="G324" t="n">
        <v>0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1</v>
      </c>
      <c r="O324" t="n">
        <v>0</v>
      </c>
      <c r="P324" t="n">
        <v>1</v>
      </c>
      <c r="Q324">
        <f>HYPERLINK("artfynd\A 69551-2021.xlsx")</f>
        <v/>
      </c>
      <c r="R324">
        <f>HYPERLINK("kartor\A 69551-2021.png")</f>
        <v/>
      </c>
      <c r="T324">
        <f>HYPERLINK("klagomål\A 69551-2021.docx")</f>
        <v/>
      </c>
      <c r="U324">
        <f>HYPERLINK("klagomålsmail\A 69551-2021.docx")</f>
        <v/>
      </c>
      <c r="V324">
        <f>HYPERLINK("tillsyn\A 69551-2021.docx")</f>
        <v/>
      </c>
      <c r="W324">
        <f>HYPERLINK("tillsynsmail\A 69551-2021.docx")</f>
        <v/>
      </c>
    </row>
    <row r="325">
      <c r="A325" t="inlineStr">
        <is>
          <t>A 71353-2021</t>
        </is>
      </c>
      <c r="B325" s="1" t="n">
        <v>44539</v>
      </c>
      <c r="C325" s="1" t="n">
        <v>45156</v>
      </c>
      <c r="D325" t="inlineStr">
        <is>
          <t>STRÖMSUND</t>
        </is>
      </c>
      <c r="F325" t="n">
        <v>0.2</v>
      </c>
      <c r="G325" t="n">
        <v>0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1</v>
      </c>
      <c r="O325" t="n">
        <v>0</v>
      </c>
      <c r="P325" t="n">
        <v>1</v>
      </c>
      <c r="Q325">
        <f>HYPERLINK("artfynd\A 71353-2021.xlsx")</f>
        <v/>
      </c>
      <c r="R325">
        <f>HYPERLINK("kartor\A 71353-2021.png")</f>
        <v/>
      </c>
      <c r="T325">
        <f>HYPERLINK("klagomål\A 71353-2021.docx")</f>
        <v/>
      </c>
      <c r="U325">
        <f>HYPERLINK("klagomålsmail\A 71353-2021.docx")</f>
        <v/>
      </c>
      <c r="V325">
        <f>HYPERLINK("tillsyn\A 71353-2021.docx")</f>
        <v/>
      </c>
      <c r="W325">
        <f>HYPERLINK("tillsynsmail\A 71353-2021.docx")</f>
        <v/>
      </c>
    </row>
    <row r="326">
      <c r="A326" t="inlineStr">
        <is>
          <t>A 71352-2021</t>
        </is>
      </c>
      <c r="B326" s="1" t="n">
        <v>44539</v>
      </c>
      <c r="C326" s="1" t="n">
        <v>45156</v>
      </c>
      <c r="D326" t="inlineStr">
        <is>
          <t>STRÖMSUND</t>
        </is>
      </c>
      <c r="F326" t="n">
        <v>0.2</v>
      </c>
      <c r="G326" t="n">
        <v>1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1</v>
      </c>
      <c r="O326" t="n">
        <v>1</v>
      </c>
      <c r="P326" t="n">
        <v>1</v>
      </c>
      <c r="Q326">
        <f>HYPERLINK("artfynd\A 71352-2021.xlsx")</f>
        <v/>
      </c>
      <c r="R326">
        <f>HYPERLINK("kartor\A 71352-2021.png")</f>
        <v/>
      </c>
      <c r="S326">
        <f>HYPERLINK("knärot\A 71352-2021.png")</f>
        <v/>
      </c>
      <c r="T326">
        <f>HYPERLINK("klagomål\A 71352-2021.docx")</f>
        <v/>
      </c>
      <c r="U326">
        <f>HYPERLINK("klagomålsmail\A 71352-2021.docx")</f>
        <v/>
      </c>
      <c r="V326">
        <f>HYPERLINK("tillsyn\A 71352-2021.docx")</f>
        <v/>
      </c>
      <c r="W326">
        <f>HYPERLINK("tillsynsmail\A 71352-2021.docx")</f>
        <v/>
      </c>
    </row>
    <row r="327">
      <c r="A327" t="inlineStr">
        <is>
          <t>A 10696-2022</t>
        </is>
      </c>
      <c r="B327" s="1" t="n">
        <v>44624</v>
      </c>
      <c r="C327" s="1" t="n">
        <v>45156</v>
      </c>
      <c r="D327" t="inlineStr">
        <is>
          <t>STRÖMSUND</t>
        </is>
      </c>
      <c r="E327" t="inlineStr">
        <is>
          <t>SCA</t>
        </is>
      </c>
      <c r="F327" t="n">
        <v>9</v>
      </c>
      <c r="G327" t="n">
        <v>0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1</v>
      </c>
      <c r="O327" t="n">
        <v>1</v>
      </c>
      <c r="P327" t="n">
        <v>1</v>
      </c>
      <c r="Q327">
        <f>HYPERLINK("artfynd\A 10696-2022.xlsx")</f>
        <v/>
      </c>
      <c r="R327">
        <f>HYPERLINK("kartor\A 10696-2022.png")</f>
        <v/>
      </c>
      <c r="T327">
        <f>HYPERLINK("klagomål\A 10696-2022.docx")</f>
        <v/>
      </c>
      <c r="U327">
        <f>HYPERLINK("klagomålsmail\A 10696-2022.docx")</f>
        <v/>
      </c>
      <c r="V327">
        <f>HYPERLINK("tillsyn\A 10696-2022.docx")</f>
        <v/>
      </c>
      <c r="W327">
        <f>HYPERLINK("tillsynsmail\A 10696-2022.docx")</f>
        <v/>
      </c>
    </row>
    <row r="328">
      <c r="A328" t="inlineStr">
        <is>
          <t>A 11578-2022</t>
        </is>
      </c>
      <c r="B328" s="1" t="n">
        <v>44631</v>
      </c>
      <c r="C328" s="1" t="n">
        <v>45156</v>
      </c>
      <c r="D328" t="inlineStr">
        <is>
          <t>STRÖMSUND</t>
        </is>
      </c>
      <c r="F328" t="n">
        <v>9.9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1</v>
      </c>
      <c r="Q328">
        <f>HYPERLINK("artfynd\A 11578-2022.xlsx")</f>
        <v/>
      </c>
      <c r="R328">
        <f>HYPERLINK("kartor\A 11578-2022.png")</f>
        <v/>
      </c>
      <c r="T328">
        <f>HYPERLINK("klagomål\A 11578-2022.docx")</f>
        <v/>
      </c>
      <c r="U328">
        <f>HYPERLINK("klagomålsmail\A 11578-2022.docx")</f>
        <v/>
      </c>
      <c r="V328">
        <f>HYPERLINK("tillsyn\A 11578-2022.docx")</f>
        <v/>
      </c>
      <c r="W328">
        <f>HYPERLINK("tillsynsmail\A 11578-2022.docx")</f>
        <v/>
      </c>
    </row>
    <row r="329">
      <c r="A329" t="inlineStr">
        <is>
          <t>A 12386-2022</t>
        </is>
      </c>
      <c r="B329" s="1" t="n">
        <v>44637</v>
      </c>
      <c r="C329" s="1" t="n">
        <v>45156</v>
      </c>
      <c r="D329" t="inlineStr">
        <is>
          <t>STRÖMSUND</t>
        </is>
      </c>
      <c r="F329" t="n">
        <v>2.1</v>
      </c>
      <c r="G329" t="n">
        <v>0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1</v>
      </c>
      <c r="O329" t="n">
        <v>0</v>
      </c>
      <c r="P329" t="n">
        <v>1</v>
      </c>
      <c r="Q329">
        <f>HYPERLINK("artfynd\A 12386-2022.xlsx")</f>
        <v/>
      </c>
      <c r="R329">
        <f>HYPERLINK("kartor\A 12386-2022.png")</f>
        <v/>
      </c>
      <c r="T329">
        <f>HYPERLINK("klagomål\A 12386-2022.docx")</f>
        <v/>
      </c>
      <c r="U329">
        <f>HYPERLINK("klagomålsmail\A 12386-2022.docx")</f>
        <v/>
      </c>
      <c r="V329">
        <f>HYPERLINK("tillsyn\A 12386-2022.docx")</f>
        <v/>
      </c>
      <c r="W329">
        <f>HYPERLINK("tillsynsmail\A 12386-2022.docx")</f>
        <v/>
      </c>
    </row>
    <row r="330">
      <c r="A330" t="inlineStr">
        <is>
          <t>A 12950-2022</t>
        </is>
      </c>
      <c r="B330" s="1" t="n">
        <v>44642</v>
      </c>
      <c r="C330" s="1" t="n">
        <v>45156</v>
      </c>
      <c r="D330" t="inlineStr">
        <is>
          <t>STRÖMSUND</t>
        </is>
      </c>
      <c r="E330" t="inlineStr">
        <is>
          <t>SCA</t>
        </is>
      </c>
      <c r="F330" t="n">
        <v>6.3</v>
      </c>
      <c r="G330" t="n">
        <v>0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1</v>
      </c>
      <c r="O330" t="n">
        <v>0</v>
      </c>
      <c r="P330" t="n">
        <v>1</v>
      </c>
      <c r="Q330">
        <f>HYPERLINK("artfynd\A 12950-2022.xlsx")</f>
        <v/>
      </c>
      <c r="R330">
        <f>HYPERLINK("kartor\A 12950-2022.png")</f>
        <v/>
      </c>
      <c r="T330">
        <f>HYPERLINK("klagomål\A 12950-2022.docx")</f>
        <v/>
      </c>
      <c r="U330">
        <f>HYPERLINK("klagomålsmail\A 12950-2022.docx")</f>
        <v/>
      </c>
      <c r="V330">
        <f>HYPERLINK("tillsyn\A 12950-2022.docx")</f>
        <v/>
      </c>
      <c r="W330">
        <f>HYPERLINK("tillsynsmail\A 12950-2022.docx")</f>
        <v/>
      </c>
    </row>
    <row r="331">
      <c r="A331" t="inlineStr">
        <is>
          <t>A 14291-2022</t>
        </is>
      </c>
      <c r="B331" s="1" t="n">
        <v>44651</v>
      </c>
      <c r="C331" s="1" t="n">
        <v>45156</v>
      </c>
      <c r="D331" t="inlineStr">
        <is>
          <t>STRÖMSUND</t>
        </is>
      </c>
      <c r="E331" t="inlineStr">
        <is>
          <t>SCA</t>
        </is>
      </c>
      <c r="F331" t="n">
        <v>0.5</v>
      </c>
      <c r="G331" t="n">
        <v>0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1</v>
      </c>
      <c r="O331" t="n">
        <v>0</v>
      </c>
      <c r="P331" t="n">
        <v>1</v>
      </c>
      <c r="Q331">
        <f>HYPERLINK("artfynd\A 14291-2022.xlsx")</f>
        <v/>
      </c>
      <c r="R331">
        <f>HYPERLINK("kartor\A 14291-2022.png")</f>
        <v/>
      </c>
      <c r="T331">
        <f>HYPERLINK("klagomål\A 14291-2022.docx")</f>
        <v/>
      </c>
      <c r="U331">
        <f>HYPERLINK("klagomålsmail\A 14291-2022.docx")</f>
        <v/>
      </c>
      <c r="V331">
        <f>HYPERLINK("tillsyn\A 14291-2022.docx")</f>
        <v/>
      </c>
      <c r="W331">
        <f>HYPERLINK("tillsynsmail\A 14291-2022.docx")</f>
        <v/>
      </c>
    </row>
    <row r="332">
      <c r="A332" t="inlineStr">
        <is>
          <t>A 14895-2022</t>
        </is>
      </c>
      <c r="B332" s="1" t="n">
        <v>44656</v>
      </c>
      <c r="C332" s="1" t="n">
        <v>45156</v>
      </c>
      <c r="D332" t="inlineStr">
        <is>
          <t>STRÖMSUND</t>
        </is>
      </c>
      <c r="F332" t="n">
        <v>43.5</v>
      </c>
      <c r="G332" t="n">
        <v>0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1</v>
      </c>
      <c r="O332" t="n">
        <v>0</v>
      </c>
      <c r="P332" t="n">
        <v>1</v>
      </c>
      <c r="Q332">
        <f>HYPERLINK("artfynd\A 14895-2022.xlsx")</f>
        <v/>
      </c>
      <c r="R332">
        <f>HYPERLINK("kartor\A 14895-2022.png")</f>
        <v/>
      </c>
      <c r="T332">
        <f>HYPERLINK("klagomål\A 14895-2022.docx")</f>
        <v/>
      </c>
      <c r="U332">
        <f>HYPERLINK("klagomålsmail\A 14895-2022.docx")</f>
        <v/>
      </c>
      <c r="V332">
        <f>HYPERLINK("tillsyn\A 14895-2022.docx")</f>
        <v/>
      </c>
      <c r="W332">
        <f>HYPERLINK("tillsynsmail\A 14895-2022.docx")</f>
        <v/>
      </c>
    </row>
    <row r="333">
      <c r="A333" t="inlineStr">
        <is>
          <t>A 19600-2022</t>
        </is>
      </c>
      <c r="B333" s="1" t="n">
        <v>44693</v>
      </c>
      <c r="C333" s="1" t="n">
        <v>45156</v>
      </c>
      <c r="D333" t="inlineStr">
        <is>
          <t>STRÖMSUND</t>
        </is>
      </c>
      <c r="E333" t="inlineStr">
        <is>
          <t>SCA</t>
        </is>
      </c>
      <c r="F333" t="n">
        <v>6.9</v>
      </c>
      <c r="G333" t="n">
        <v>0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1</v>
      </c>
      <c r="O333" t="n">
        <v>0</v>
      </c>
      <c r="P333" t="n">
        <v>1</v>
      </c>
      <c r="Q333">
        <f>HYPERLINK("artfynd\A 19600-2022.xlsx")</f>
        <v/>
      </c>
      <c r="R333">
        <f>HYPERLINK("kartor\A 19600-2022.png")</f>
        <v/>
      </c>
      <c r="T333">
        <f>HYPERLINK("klagomål\A 19600-2022.docx")</f>
        <v/>
      </c>
      <c r="U333">
        <f>HYPERLINK("klagomålsmail\A 19600-2022.docx")</f>
        <v/>
      </c>
      <c r="V333">
        <f>HYPERLINK("tillsyn\A 19600-2022.docx")</f>
        <v/>
      </c>
      <c r="W333">
        <f>HYPERLINK("tillsynsmail\A 19600-2022.docx")</f>
        <v/>
      </c>
    </row>
    <row r="334">
      <c r="A334" t="inlineStr">
        <is>
          <t>A 20316-2022</t>
        </is>
      </c>
      <c r="B334" s="1" t="n">
        <v>44698</v>
      </c>
      <c r="C334" s="1" t="n">
        <v>45156</v>
      </c>
      <c r="D334" t="inlineStr">
        <is>
          <t>STRÖMSUND</t>
        </is>
      </c>
      <c r="E334" t="inlineStr">
        <is>
          <t>SCA</t>
        </is>
      </c>
      <c r="F334" t="n">
        <v>6.4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1</v>
      </c>
      <c r="Q334">
        <f>HYPERLINK("artfynd\A 20316-2022.xlsx")</f>
        <v/>
      </c>
      <c r="R334">
        <f>HYPERLINK("kartor\A 20316-2022.png")</f>
        <v/>
      </c>
      <c r="T334">
        <f>HYPERLINK("klagomål\A 20316-2022.docx")</f>
        <v/>
      </c>
      <c r="U334">
        <f>HYPERLINK("klagomålsmail\A 20316-2022.docx")</f>
        <v/>
      </c>
      <c r="V334">
        <f>HYPERLINK("tillsyn\A 20316-2022.docx")</f>
        <v/>
      </c>
      <c r="W334">
        <f>HYPERLINK("tillsynsmail\A 20316-2022.docx")</f>
        <v/>
      </c>
    </row>
    <row r="335">
      <c r="A335" t="inlineStr">
        <is>
          <t>A 21208-2022</t>
        </is>
      </c>
      <c r="B335" s="1" t="n">
        <v>44704</v>
      </c>
      <c r="C335" s="1" t="n">
        <v>45156</v>
      </c>
      <c r="D335" t="inlineStr">
        <is>
          <t>STRÖMSUND</t>
        </is>
      </c>
      <c r="E335" t="inlineStr">
        <is>
          <t>SCA</t>
        </is>
      </c>
      <c r="F335" t="n">
        <v>1.5</v>
      </c>
      <c r="G335" t="n">
        <v>0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1</v>
      </c>
      <c r="O335" t="n">
        <v>0</v>
      </c>
      <c r="P335" t="n">
        <v>1</v>
      </c>
      <c r="Q335">
        <f>HYPERLINK("artfynd\A 21208-2022.xlsx")</f>
        <v/>
      </c>
      <c r="R335">
        <f>HYPERLINK("kartor\A 21208-2022.png")</f>
        <v/>
      </c>
      <c r="T335">
        <f>HYPERLINK("klagomål\A 21208-2022.docx")</f>
        <v/>
      </c>
      <c r="U335">
        <f>HYPERLINK("klagomålsmail\A 21208-2022.docx")</f>
        <v/>
      </c>
      <c r="V335">
        <f>HYPERLINK("tillsyn\A 21208-2022.docx")</f>
        <v/>
      </c>
      <c r="W335">
        <f>HYPERLINK("tillsynsmail\A 21208-2022.docx")</f>
        <v/>
      </c>
    </row>
    <row r="336">
      <c r="A336" t="inlineStr">
        <is>
          <t>A 21650-2022</t>
        </is>
      </c>
      <c r="B336" s="1" t="n">
        <v>44706</v>
      </c>
      <c r="C336" s="1" t="n">
        <v>45156</v>
      </c>
      <c r="D336" t="inlineStr">
        <is>
          <t>STRÖMSUND</t>
        </is>
      </c>
      <c r="E336" t="inlineStr">
        <is>
          <t>SCA</t>
        </is>
      </c>
      <c r="F336" t="n">
        <v>2.7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1</v>
      </c>
      <c r="O336" t="n">
        <v>0</v>
      </c>
      <c r="P336" t="n">
        <v>1</v>
      </c>
      <c r="Q336">
        <f>HYPERLINK("artfynd\A 21650-2022.xlsx")</f>
        <v/>
      </c>
      <c r="R336">
        <f>HYPERLINK("kartor\A 21650-2022.png")</f>
        <v/>
      </c>
      <c r="T336">
        <f>HYPERLINK("klagomål\A 21650-2022.docx")</f>
        <v/>
      </c>
      <c r="U336">
        <f>HYPERLINK("klagomålsmail\A 21650-2022.docx")</f>
        <v/>
      </c>
      <c r="V336">
        <f>HYPERLINK("tillsyn\A 21650-2022.docx")</f>
        <v/>
      </c>
      <c r="W336">
        <f>HYPERLINK("tillsynsmail\A 21650-2022.docx")</f>
        <v/>
      </c>
    </row>
    <row r="337">
      <c r="A337" t="inlineStr">
        <is>
          <t>A 23208-2022</t>
        </is>
      </c>
      <c r="B337" s="1" t="n">
        <v>44719</v>
      </c>
      <c r="C337" s="1" t="n">
        <v>45156</v>
      </c>
      <c r="D337" t="inlineStr">
        <is>
          <t>STRÖMSUND</t>
        </is>
      </c>
      <c r="E337" t="inlineStr">
        <is>
          <t>SCA</t>
        </is>
      </c>
      <c r="F337" t="n">
        <v>2</v>
      </c>
      <c r="G337" t="n">
        <v>0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1</v>
      </c>
      <c r="O337" t="n">
        <v>0</v>
      </c>
      <c r="P337" t="n">
        <v>1</v>
      </c>
      <c r="Q337">
        <f>HYPERLINK("artfynd\A 23208-2022.xlsx")</f>
        <v/>
      </c>
      <c r="R337">
        <f>HYPERLINK("kartor\A 23208-2022.png")</f>
        <v/>
      </c>
      <c r="T337">
        <f>HYPERLINK("klagomål\A 23208-2022.docx")</f>
        <v/>
      </c>
      <c r="U337">
        <f>HYPERLINK("klagomålsmail\A 23208-2022.docx")</f>
        <v/>
      </c>
      <c r="V337">
        <f>HYPERLINK("tillsyn\A 23208-2022.docx")</f>
        <v/>
      </c>
      <c r="W337">
        <f>HYPERLINK("tillsynsmail\A 23208-2022.docx")</f>
        <v/>
      </c>
    </row>
    <row r="338">
      <c r="A338" t="inlineStr">
        <is>
          <t>A 23206-2022</t>
        </is>
      </c>
      <c r="B338" s="1" t="n">
        <v>44719</v>
      </c>
      <c r="C338" s="1" t="n">
        <v>45156</v>
      </c>
      <c r="D338" t="inlineStr">
        <is>
          <t>STRÖMSUND</t>
        </is>
      </c>
      <c r="E338" t="inlineStr">
        <is>
          <t>SCA</t>
        </is>
      </c>
      <c r="F338" t="n">
        <v>2</v>
      </c>
      <c r="G338" t="n">
        <v>0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1</v>
      </c>
      <c r="O338" t="n">
        <v>0</v>
      </c>
      <c r="P338" t="n">
        <v>1</v>
      </c>
      <c r="Q338">
        <f>HYPERLINK("artfynd\A 23206-2022.xlsx")</f>
        <v/>
      </c>
      <c r="R338">
        <f>HYPERLINK("kartor\A 23206-2022.png")</f>
        <v/>
      </c>
      <c r="T338">
        <f>HYPERLINK("klagomål\A 23206-2022.docx")</f>
        <v/>
      </c>
      <c r="U338">
        <f>HYPERLINK("klagomålsmail\A 23206-2022.docx")</f>
        <v/>
      </c>
      <c r="V338">
        <f>HYPERLINK("tillsyn\A 23206-2022.docx")</f>
        <v/>
      </c>
      <c r="W338">
        <f>HYPERLINK("tillsynsmail\A 23206-2022.docx")</f>
        <v/>
      </c>
    </row>
    <row r="339">
      <c r="A339" t="inlineStr">
        <is>
          <t>A 24729-2022</t>
        </is>
      </c>
      <c r="B339" s="1" t="n">
        <v>44727</v>
      </c>
      <c r="C339" s="1" t="n">
        <v>45156</v>
      </c>
      <c r="D339" t="inlineStr">
        <is>
          <t>STRÖMSUND</t>
        </is>
      </c>
      <c r="E339" t="inlineStr">
        <is>
          <t>SCA</t>
        </is>
      </c>
      <c r="F339" t="n">
        <v>1.3</v>
      </c>
      <c r="G339" t="n">
        <v>0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1</v>
      </c>
      <c r="O339" t="n">
        <v>0</v>
      </c>
      <c r="P339" t="n">
        <v>1</v>
      </c>
      <c r="Q339">
        <f>HYPERLINK("artfynd\A 24729-2022.xlsx")</f>
        <v/>
      </c>
      <c r="R339">
        <f>HYPERLINK("kartor\A 24729-2022.png")</f>
        <v/>
      </c>
      <c r="T339">
        <f>HYPERLINK("klagomål\A 24729-2022.docx")</f>
        <v/>
      </c>
      <c r="U339">
        <f>HYPERLINK("klagomålsmail\A 24729-2022.docx")</f>
        <v/>
      </c>
      <c r="V339">
        <f>HYPERLINK("tillsyn\A 24729-2022.docx")</f>
        <v/>
      </c>
      <c r="W339">
        <f>HYPERLINK("tillsynsmail\A 24729-2022.docx")</f>
        <v/>
      </c>
    </row>
    <row r="340">
      <c r="A340" t="inlineStr">
        <is>
          <t>A 25038-2022</t>
        </is>
      </c>
      <c r="B340" s="1" t="n">
        <v>44728</v>
      </c>
      <c r="C340" s="1" t="n">
        <v>45156</v>
      </c>
      <c r="D340" t="inlineStr">
        <is>
          <t>STRÖMSUND</t>
        </is>
      </c>
      <c r="E340" t="inlineStr">
        <is>
          <t>SCA</t>
        </is>
      </c>
      <c r="F340" t="n">
        <v>7.7</v>
      </c>
      <c r="G340" t="n">
        <v>0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1</v>
      </c>
      <c r="O340" t="n">
        <v>1</v>
      </c>
      <c r="P340" t="n">
        <v>1</v>
      </c>
      <c r="Q340">
        <f>HYPERLINK("artfynd\A 25038-2022.xlsx")</f>
        <v/>
      </c>
      <c r="R340">
        <f>HYPERLINK("kartor\A 25038-2022.png")</f>
        <v/>
      </c>
      <c r="T340">
        <f>HYPERLINK("klagomål\A 25038-2022.docx")</f>
        <v/>
      </c>
      <c r="U340">
        <f>HYPERLINK("klagomålsmail\A 25038-2022.docx")</f>
        <v/>
      </c>
      <c r="V340">
        <f>HYPERLINK("tillsyn\A 25038-2022.docx")</f>
        <v/>
      </c>
      <c r="W340">
        <f>HYPERLINK("tillsynsmail\A 25038-2022.docx")</f>
        <v/>
      </c>
    </row>
    <row r="341">
      <c r="A341" t="inlineStr">
        <is>
          <t>A 25015-2022</t>
        </is>
      </c>
      <c r="B341" s="1" t="n">
        <v>44728</v>
      </c>
      <c r="C341" s="1" t="n">
        <v>45156</v>
      </c>
      <c r="D341" t="inlineStr">
        <is>
          <t>STRÖMSUND</t>
        </is>
      </c>
      <c r="E341" t="inlineStr">
        <is>
          <t>SCA</t>
        </is>
      </c>
      <c r="F341" t="n">
        <v>1.5</v>
      </c>
      <c r="G341" t="n">
        <v>0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1</v>
      </c>
      <c r="O341" t="n">
        <v>0</v>
      </c>
      <c r="P341" t="n">
        <v>1</v>
      </c>
      <c r="Q341">
        <f>HYPERLINK("artfynd\A 25015-2022.xlsx")</f>
        <v/>
      </c>
      <c r="R341">
        <f>HYPERLINK("kartor\A 25015-2022.png")</f>
        <v/>
      </c>
      <c r="T341">
        <f>HYPERLINK("klagomål\A 25015-2022.docx")</f>
        <v/>
      </c>
      <c r="U341">
        <f>HYPERLINK("klagomålsmail\A 25015-2022.docx")</f>
        <v/>
      </c>
      <c r="V341">
        <f>HYPERLINK("tillsyn\A 25015-2022.docx")</f>
        <v/>
      </c>
      <c r="W341">
        <f>HYPERLINK("tillsynsmail\A 25015-2022.docx")</f>
        <v/>
      </c>
    </row>
    <row r="342">
      <c r="A342" t="inlineStr">
        <is>
          <t>A 26116-2022</t>
        </is>
      </c>
      <c r="B342" s="1" t="n">
        <v>44734</v>
      </c>
      <c r="C342" s="1" t="n">
        <v>45156</v>
      </c>
      <c r="D342" t="inlineStr">
        <is>
          <t>STRÖMSUND</t>
        </is>
      </c>
      <c r="E342" t="inlineStr">
        <is>
          <t>SCA</t>
        </is>
      </c>
      <c r="F342" t="n">
        <v>6.1</v>
      </c>
      <c r="G342" t="n">
        <v>0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1</v>
      </c>
      <c r="O342" t="n">
        <v>0</v>
      </c>
      <c r="P342" t="n">
        <v>1</v>
      </c>
      <c r="Q342">
        <f>HYPERLINK("artfynd\A 26116-2022.xlsx")</f>
        <v/>
      </c>
      <c r="R342">
        <f>HYPERLINK("kartor\A 26116-2022.png")</f>
        <v/>
      </c>
      <c r="T342">
        <f>HYPERLINK("klagomål\A 26116-2022.docx")</f>
        <v/>
      </c>
      <c r="U342">
        <f>HYPERLINK("klagomålsmail\A 26116-2022.docx")</f>
        <v/>
      </c>
      <c r="V342">
        <f>HYPERLINK("tillsyn\A 26116-2022.docx")</f>
        <v/>
      </c>
      <c r="W342">
        <f>HYPERLINK("tillsynsmail\A 26116-2022.docx")</f>
        <v/>
      </c>
    </row>
    <row r="343">
      <c r="A343" t="inlineStr">
        <is>
          <t>A 27602-2022</t>
        </is>
      </c>
      <c r="B343" s="1" t="n">
        <v>44742</v>
      </c>
      <c r="C343" s="1" t="n">
        <v>45156</v>
      </c>
      <c r="D343" t="inlineStr">
        <is>
          <t>STRÖMSUND</t>
        </is>
      </c>
      <c r="E343" t="inlineStr">
        <is>
          <t>SCA</t>
        </is>
      </c>
      <c r="F343" t="n">
        <v>2.1</v>
      </c>
      <c r="G343" t="n">
        <v>0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1</v>
      </c>
      <c r="O343" t="n">
        <v>0</v>
      </c>
      <c r="P343" t="n">
        <v>1</v>
      </c>
      <c r="Q343">
        <f>HYPERLINK("artfynd\A 27602-2022.xlsx")</f>
        <v/>
      </c>
      <c r="R343">
        <f>HYPERLINK("kartor\A 27602-2022.png")</f>
        <v/>
      </c>
      <c r="T343">
        <f>HYPERLINK("klagomål\A 27602-2022.docx")</f>
        <v/>
      </c>
      <c r="U343">
        <f>HYPERLINK("klagomålsmail\A 27602-2022.docx")</f>
        <v/>
      </c>
      <c r="V343">
        <f>HYPERLINK("tillsyn\A 27602-2022.docx")</f>
        <v/>
      </c>
      <c r="W343">
        <f>HYPERLINK("tillsynsmail\A 27602-2022.docx")</f>
        <v/>
      </c>
    </row>
    <row r="344">
      <c r="A344" t="inlineStr">
        <is>
          <t>A 27945-2022</t>
        </is>
      </c>
      <c r="B344" s="1" t="n">
        <v>44743</v>
      </c>
      <c r="C344" s="1" t="n">
        <v>45156</v>
      </c>
      <c r="D344" t="inlineStr">
        <is>
          <t>STRÖMSUND</t>
        </is>
      </c>
      <c r="E344" t="inlineStr">
        <is>
          <t>SCA</t>
        </is>
      </c>
      <c r="F344" t="n">
        <v>8.800000000000001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1</v>
      </c>
      <c r="Q344">
        <f>HYPERLINK("artfynd\A 27945-2022.xlsx")</f>
        <v/>
      </c>
      <c r="R344">
        <f>HYPERLINK("kartor\A 27945-2022.png")</f>
        <v/>
      </c>
      <c r="T344">
        <f>HYPERLINK("klagomål\A 27945-2022.docx")</f>
        <v/>
      </c>
      <c r="U344">
        <f>HYPERLINK("klagomålsmail\A 27945-2022.docx")</f>
        <v/>
      </c>
      <c r="V344">
        <f>HYPERLINK("tillsyn\A 27945-2022.docx")</f>
        <v/>
      </c>
      <c r="W344">
        <f>HYPERLINK("tillsynsmail\A 27945-2022.docx")</f>
        <v/>
      </c>
    </row>
    <row r="345">
      <c r="A345" t="inlineStr">
        <is>
          <t>A 30233-2022</t>
        </is>
      </c>
      <c r="B345" s="1" t="n">
        <v>44757</v>
      </c>
      <c r="C345" s="1" t="n">
        <v>45156</v>
      </c>
      <c r="D345" t="inlineStr">
        <is>
          <t>STRÖMSUND</t>
        </is>
      </c>
      <c r="E345" t="inlineStr">
        <is>
          <t>SCA</t>
        </is>
      </c>
      <c r="F345" t="n">
        <v>10.1</v>
      </c>
      <c r="G345" t="n">
        <v>1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1</v>
      </c>
      <c r="Q345">
        <f>HYPERLINK("artfynd\A 30233-2022.xlsx")</f>
        <v/>
      </c>
      <c r="R345">
        <f>HYPERLINK("kartor\A 30233-2022.png")</f>
        <v/>
      </c>
      <c r="T345">
        <f>HYPERLINK("klagomål\A 30233-2022.docx")</f>
        <v/>
      </c>
      <c r="U345">
        <f>HYPERLINK("klagomålsmail\A 30233-2022.docx")</f>
        <v/>
      </c>
      <c r="V345">
        <f>HYPERLINK("tillsyn\A 30233-2022.docx")</f>
        <v/>
      </c>
      <c r="W345">
        <f>HYPERLINK("tillsynsmail\A 30233-2022.docx")</f>
        <v/>
      </c>
    </row>
    <row r="346">
      <c r="A346" t="inlineStr">
        <is>
          <t>A 32351-2022</t>
        </is>
      </c>
      <c r="B346" s="1" t="n">
        <v>44781</v>
      </c>
      <c r="C346" s="1" t="n">
        <v>45156</v>
      </c>
      <c r="D346" t="inlineStr">
        <is>
          <t>STRÖMSUND</t>
        </is>
      </c>
      <c r="E346" t="inlineStr">
        <is>
          <t>SCA</t>
        </is>
      </c>
      <c r="F346" t="n">
        <v>13.2</v>
      </c>
      <c r="G346" t="n">
        <v>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1</v>
      </c>
      <c r="O346" t="n">
        <v>0</v>
      </c>
      <c r="P346" t="n">
        <v>1</v>
      </c>
      <c r="Q346">
        <f>HYPERLINK("artfynd\A 32351-2022.xlsx")</f>
        <v/>
      </c>
      <c r="R346">
        <f>HYPERLINK("kartor\A 32351-2022.png")</f>
        <v/>
      </c>
      <c r="T346">
        <f>HYPERLINK("klagomål\A 32351-2022.docx")</f>
        <v/>
      </c>
      <c r="U346">
        <f>HYPERLINK("klagomålsmail\A 32351-2022.docx")</f>
        <v/>
      </c>
      <c r="V346">
        <f>HYPERLINK("tillsyn\A 32351-2022.docx")</f>
        <v/>
      </c>
      <c r="W346">
        <f>HYPERLINK("tillsynsmail\A 32351-2022.docx")</f>
        <v/>
      </c>
    </row>
    <row r="347">
      <c r="A347" t="inlineStr">
        <is>
          <t>A 32865-2022</t>
        </is>
      </c>
      <c r="B347" s="1" t="n">
        <v>44784</v>
      </c>
      <c r="C347" s="1" t="n">
        <v>45156</v>
      </c>
      <c r="D347" t="inlineStr">
        <is>
          <t>STRÖMSUND</t>
        </is>
      </c>
      <c r="F347" t="n">
        <v>2.1</v>
      </c>
      <c r="G347" t="n">
        <v>0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1</v>
      </c>
      <c r="O347" t="n">
        <v>0</v>
      </c>
      <c r="P347" t="n">
        <v>1</v>
      </c>
      <c r="Q347">
        <f>HYPERLINK("artfynd\A 32865-2022.xlsx")</f>
        <v/>
      </c>
      <c r="R347">
        <f>HYPERLINK("kartor\A 32865-2022.png")</f>
        <v/>
      </c>
      <c r="T347">
        <f>HYPERLINK("klagomål\A 32865-2022.docx")</f>
        <v/>
      </c>
      <c r="U347">
        <f>HYPERLINK("klagomålsmail\A 32865-2022.docx")</f>
        <v/>
      </c>
      <c r="V347">
        <f>HYPERLINK("tillsyn\A 32865-2022.docx")</f>
        <v/>
      </c>
      <c r="W347">
        <f>HYPERLINK("tillsynsmail\A 32865-2022.docx")</f>
        <v/>
      </c>
    </row>
    <row r="348">
      <c r="A348" t="inlineStr">
        <is>
          <t>A 32965-2022</t>
        </is>
      </c>
      <c r="B348" s="1" t="n">
        <v>44784</v>
      </c>
      <c r="C348" s="1" t="n">
        <v>45156</v>
      </c>
      <c r="D348" t="inlineStr">
        <is>
          <t>STRÖMSUND</t>
        </is>
      </c>
      <c r="F348" t="n">
        <v>5.8</v>
      </c>
      <c r="G348" t="n">
        <v>0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1</v>
      </c>
      <c r="O348" t="n">
        <v>0</v>
      </c>
      <c r="P348" t="n">
        <v>1</v>
      </c>
      <c r="Q348">
        <f>HYPERLINK("artfynd\A 32965-2022.xlsx")</f>
        <v/>
      </c>
      <c r="R348">
        <f>HYPERLINK("kartor\A 32965-2022.png")</f>
        <v/>
      </c>
      <c r="T348">
        <f>HYPERLINK("klagomål\A 32965-2022.docx")</f>
        <v/>
      </c>
      <c r="U348">
        <f>HYPERLINK("klagomålsmail\A 32965-2022.docx")</f>
        <v/>
      </c>
      <c r="V348">
        <f>HYPERLINK("tillsyn\A 32965-2022.docx")</f>
        <v/>
      </c>
      <c r="W348">
        <f>HYPERLINK("tillsynsmail\A 32965-2022.docx")</f>
        <v/>
      </c>
    </row>
    <row r="349">
      <c r="A349" t="inlineStr">
        <is>
          <t>A 34023-2022</t>
        </is>
      </c>
      <c r="B349" s="1" t="n">
        <v>44790</v>
      </c>
      <c r="C349" s="1" t="n">
        <v>45156</v>
      </c>
      <c r="D349" t="inlineStr">
        <is>
          <t>STRÖMSUND</t>
        </is>
      </c>
      <c r="F349" t="n">
        <v>34.5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1</v>
      </c>
      <c r="Q349">
        <f>HYPERLINK("artfynd\A 34023-2022.xlsx")</f>
        <v/>
      </c>
      <c r="R349">
        <f>HYPERLINK("kartor\A 34023-2022.png")</f>
        <v/>
      </c>
      <c r="T349">
        <f>HYPERLINK("klagomål\A 34023-2022.docx")</f>
        <v/>
      </c>
      <c r="U349">
        <f>HYPERLINK("klagomålsmail\A 34023-2022.docx")</f>
        <v/>
      </c>
      <c r="V349">
        <f>HYPERLINK("tillsyn\A 34023-2022.docx")</f>
        <v/>
      </c>
      <c r="W349">
        <f>HYPERLINK("tillsynsmail\A 34023-2022.docx")</f>
        <v/>
      </c>
    </row>
    <row r="350">
      <c r="A350" t="inlineStr">
        <is>
          <t>A 34009-2022</t>
        </is>
      </c>
      <c r="B350" s="1" t="n">
        <v>44790</v>
      </c>
      <c r="C350" s="1" t="n">
        <v>45156</v>
      </c>
      <c r="D350" t="inlineStr">
        <is>
          <t>STRÖMSUND</t>
        </is>
      </c>
      <c r="E350" t="inlineStr">
        <is>
          <t>SCA</t>
        </is>
      </c>
      <c r="F350" t="n">
        <v>8.5</v>
      </c>
      <c r="G350" t="n">
        <v>0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1</v>
      </c>
      <c r="O350" t="n">
        <v>1</v>
      </c>
      <c r="P350" t="n">
        <v>1</v>
      </c>
      <c r="Q350">
        <f>HYPERLINK("artfynd\A 34009-2022.xlsx")</f>
        <v/>
      </c>
      <c r="R350">
        <f>HYPERLINK("kartor\A 34009-2022.png")</f>
        <v/>
      </c>
      <c r="T350">
        <f>HYPERLINK("klagomål\A 34009-2022.docx")</f>
        <v/>
      </c>
      <c r="U350">
        <f>HYPERLINK("klagomålsmail\A 34009-2022.docx")</f>
        <v/>
      </c>
      <c r="V350">
        <f>HYPERLINK("tillsyn\A 34009-2022.docx")</f>
        <v/>
      </c>
      <c r="W350">
        <f>HYPERLINK("tillsynsmail\A 34009-2022.docx")</f>
        <v/>
      </c>
    </row>
    <row r="351">
      <c r="A351" t="inlineStr">
        <is>
          <t>A 39010-2022</t>
        </is>
      </c>
      <c r="B351" s="1" t="n">
        <v>44816</v>
      </c>
      <c r="C351" s="1" t="n">
        <v>45156</v>
      </c>
      <c r="D351" t="inlineStr">
        <is>
          <t>STRÖMSUND</t>
        </is>
      </c>
      <c r="E351" t="inlineStr">
        <is>
          <t>SCA</t>
        </is>
      </c>
      <c r="F351" t="n">
        <v>11.2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1</v>
      </c>
      <c r="Q351">
        <f>HYPERLINK("artfynd\A 39010-2022.xlsx")</f>
        <v/>
      </c>
      <c r="R351">
        <f>HYPERLINK("kartor\A 39010-2022.png")</f>
        <v/>
      </c>
      <c r="T351">
        <f>HYPERLINK("klagomål\A 39010-2022.docx")</f>
        <v/>
      </c>
      <c r="U351">
        <f>HYPERLINK("klagomålsmail\A 39010-2022.docx")</f>
        <v/>
      </c>
      <c r="V351">
        <f>HYPERLINK("tillsyn\A 39010-2022.docx")</f>
        <v/>
      </c>
      <c r="W351">
        <f>HYPERLINK("tillsynsmail\A 39010-2022.docx")</f>
        <v/>
      </c>
    </row>
    <row r="352">
      <c r="A352" t="inlineStr">
        <is>
          <t>A 39696-2022</t>
        </is>
      </c>
      <c r="B352" s="1" t="n">
        <v>44818</v>
      </c>
      <c r="C352" s="1" t="n">
        <v>45156</v>
      </c>
      <c r="D352" t="inlineStr">
        <is>
          <t>STRÖMSUND</t>
        </is>
      </c>
      <c r="E352" t="inlineStr">
        <is>
          <t>SCA</t>
        </is>
      </c>
      <c r="F352" t="n">
        <v>4.6</v>
      </c>
      <c r="G352" t="n">
        <v>0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1</v>
      </c>
      <c r="O352" t="n">
        <v>1</v>
      </c>
      <c r="P352" t="n">
        <v>1</v>
      </c>
      <c r="Q352">
        <f>HYPERLINK("artfynd\A 39696-2022.xlsx")</f>
        <v/>
      </c>
      <c r="R352">
        <f>HYPERLINK("kartor\A 39696-2022.png")</f>
        <v/>
      </c>
      <c r="T352">
        <f>HYPERLINK("klagomål\A 39696-2022.docx")</f>
        <v/>
      </c>
      <c r="U352">
        <f>HYPERLINK("klagomålsmail\A 39696-2022.docx")</f>
        <v/>
      </c>
      <c r="V352">
        <f>HYPERLINK("tillsyn\A 39696-2022.docx")</f>
        <v/>
      </c>
      <c r="W352">
        <f>HYPERLINK("tillsynsmail\A 39696-2022.docx")</f>
        <v/>
      </c>
    </row>
    <row r="353">
      <c r="A353" t="inlineStr">
        <is>
          <t>A 41811-2022</t>
        </is>
      </c>
      <c r="B353" s="1" t="n">
        <v>44827</v>
      </c>
      <c r="C353" s="1" t="n">
        <v>45156</v>
      </c>
      <c r="D353" t="inlineStr">
        <is>
          <t>STRÖMSUND</t>
        </is>
      </c>
      <c r="E353" t="inlineStr">
        <is>
          <t>SCA</t>
        </is>
      </c>
      <c r="F353" t="n">
        <v>7.6</v>
      </c>
      <c r="G353" t="n">
        <v>1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1</v>
      </c>
      <c r="O353" t="n">
        <v>1</v>
      </c>
      <c r="P353" t="n">
        <v>1</v>
      </c>
      <c r="Q353">
        <f>HYPERLINK("artfynd\A 41811-2022.xlsx")</f>
        <v/>
      </c>
      <c r="R353">
        <f>HYPERLINK("kartor\A 41811-2022.png")</f>
        <v/>
      </c>
      <c r="S353">
        <f>HYPERLINK("knärot\A 41811-2022.png")</f>
        <v/>
      </c>
      <c r="T353">
        <f>HYPERLINK("klagomål\A 41811-2022.docx")</f>
        <v/>
      </c>
      <c r="U353">
        <f>HYPERLINK("klagomålsmail\A 41811-2022.docx")</f>
        <v/>
      </c>
      <c r="V353">
        <f>HYPERLINK("tillsyn\A 41811-2022.docx")</f>
        <v/>
      </c>
      <c r="W353">
        <f>HYPERLINK("tillsynsmail\A 41811-2022.docx")</f>
        <v/>
      </c>
    </row>
    <row r="354">
      <c r="A354" t="inlineStr">
        <is>
          <t>A 44745-2022</t>
        </is>
      </c>
      <c r="B354" s="1" t="n">
        <v>44840</v>
      </c>
      <c r="C354" s="1" t="n">
        <v>45156</v>
      </c>
      <c r="D354" t="inlineStr">
        <is>
          <t>STRÖMSUND</t>
        </is>
      </c>
      <c r="E354" t="inlineStr">
        <is>
          <t>SCA</t>
        </is>
      </c>
      <c r="F354" t="n">
        <v>1.6</v>
      </c>
      <c r="G354" t="n">
        <v>0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1</v>
      </c>
      <c r="Q354">
        <f>HYPERLINK("artfynd\A 44745-2022.xlsx")</f>
        <v/>
      </c>
      <c r="R354">
        <f>HYPERLINK("kartor\A 44745-2022.png")</f>
        <v/>
      </c>
      <c r="T354">
        <f>HYPERLINK("klagomål\A 44745-2022.docx")</f>
        <v/>
      </c>
      <c r="U354">
        <f>HYPERLINK("klagomålsmail\A 44745-2022.docx")</f>
        <v/>
      </c>
      <c r="V354">
        <f>HYPERLINK("tillsyn\A 44745-2022.docx")</f>
        <v/>
      </c>
      <c r="W354">
        <f>HYPERLINK("tillsynsmail\A 44745-2022.docx")</f>
        <v/>
      </c>
    </row>
    <row r="355">
      <c r="A355" t="inlineStr">
        <is>
          <t>A 46343-2022</t>
        </is>
      </c>
      <c r="B355" s="1" t="n">
        <v>44847</v>
      </c>
      <c r="C355" s="1" t="n">
        <v>45156</v>
      </c>
      <c r="D355" t="inlineStr">
        <is>
          <t>STRÖMSUND</t>
        </is>
      </c>
      <c r="E355" t="inlineStr">
        <is>
          <t>SCA</t>
        </is>
      </c>
      <c r="F355" t="n">
        <v>0.8</v>
      </c>
      <c r="G355" t="n">
        <v>0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1</v>
      </c>
      <c r="O355" t="n">
        <v>0</v>
      </c>
      <c r="P355" t="n">
        <v>1</v>
      </c>
      <c r="Q355">
        <f>HYPERLINK("artfynd\A 46343-2022.xlsx")</f>
        <v/>
      </c>
      <c r="R355">
        <f>HYPERLINK("kartor\A 46343-2022.png")</f>
        <v/>
      </c>
      <c r="T355">
        <f>HYPERLINK("klagomål\A 46343-2022.docx")</f>
        <v/>
      </c>
      <c r="U355">
        <f>HYPERLINK("klagomålsmail\A 46343-2022.docx")</f>
        <v/>
      </c>
      <c r="V355">
        <f>HYPERLINK("tillsyn\A 46343-2022.docx")</f>
        <v/>
      </c>
      <c r="W355">
        <f>HYPERLINK("tillsynsmail\A 46343-2022.docx")</f>
        <v/>
      </c>
    </row>
    <row r="356">
      <c r="A356" t="inlineStr">
        <is>
          <t>A 46950-2022</t>
        </is>
      </c>
      <c r="B356" s="1" t="n">
        <v>44851</v>
      </c>
      <c r="C356" s="1" t="n">
        <v>45156</v>
      </c>
      <c r="D356" t="inlineStr">
        <is>
          <t>STRÖMSUND</t>
        </is>
      </c>
      <c r="F356" t="n">
        <v>3.2</v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1</v>
      </c>
      <c r="Q356">
        <f>HYPERLINK("artfynd\A 46950-2022.xlsx")</f>
        <v/>
      </c>
      <c r="R356">
        <f>HYPERLINK("kartor\A 46950-2022.png")</f>
        <v/>
      </c>
      <c r="T356">
        <f>HYPERLINK("klagomål\A 46950-2022.docx")</f>
        <v/>
      </c>
      <c r="U356">
        <f>HYPERLINK("klagomålsmail\A 46950-2022.docx")</f>
        <v/>
      </c>
      <c r="V356">
        <f>HYPERLINK("tillsyn\A 46950-2022.docx")</f>
        <v/>
      </c>
      <c r="W356">
        <f>HYPERLINK("tillsynsmail\A 46950-2022.docx")</f>
        <v/>
      </c>
    </row>
    <row r="357">
      <c r="A357" t="inlineStr">
        <is>
          <t>A 48544-2022</t>
        </is>
      </c>
      <c r="B357" s="1" t="n">
        <v>44858</v>
      </c>
      <c r="C357" s="1" t="n">
        <v>45156</v>
      </c>
      <c r="D357" t="inlineStr">
        <is>
          <t>STRÖMSUND</t>
        </is>
      </c>
      <c r="E357" t="inlineStr">
        <is>
          <t>SCA</t>
        </is>
      </c>
      <c r="F357" t="n">
        <v>2.6</v>
      </c>
      <c r="G357" t="n">
        <v>1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1</v>
      </c>
      <c r="O357" t="n">
        <v>1</v>
      </c>
      <c r="P357" t="n">
        <v>1</v>
      </c>
      <c r="Q357">
        <f>HYPERLINK("artfynd\A 48544-2022.xlsx")</f>
        <v/>
      </c>
      <c r="R357">
        <f>HYPERLINK("kartor\A 48544-2022.png")</f>
        <v/>
      </c>
      <c r="T357">
        <f>HYPERLINK("klagomål\A 48544-2022.docx")</f>
        <v/>
      </c>
      <c r="U357">
        <f>HYPERLINK("klagomålsmail\A 48544-2022.docx")</f>
        <v/>
      </c>
      <c r="V357">
        <f>HYPERLINK("tillsyn\A 48544-2022.docx")</f>
        <v/>
      </c>
      <c r="W357">
        <f>HYPERLINK("tillsynsmail\A 48544-2022.docx")</f>
        <v/>
      </c>
    </row>
    <row r="358">
      <c r="A358" t="inlineStr">
        <is>
          <t>A 50314-2022</t>
        </is>
      </c>
      <c r="B358" s="1" t="n">
        <v>44865</v>
      </c>
      <c r="C358" s="1" t="n">
        <v>45156</v>
      </c>
      <c r="D358" t="inlineStr">
        <is>
          <t>STRÖMSUND</t>
        </is>
      </c>
      <c r="E358" t="inlineStr">
        <is>
          <t>SCA</t>
        </is>
      </c>
      <c r="F358" t="n">
        <v>13.4</v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1</v>
      </c>
      <c r="Q358">
        <f>HYPERLINK("artfynd\A 50314-2022.xlsx")</f>
        <v/>
      </c>
      <c r="R358">
        <f>HYPERLINK("kartor\A 50314-2022.png")</f>
        <v/>
      </c>
      <c r="T358">
        <f>HYPERLINK("klagomål\A 50314-2022.docx")</f>
        <v/>
      </c>
      <c r="U358">
        <f>HYPERLINK("klagomålsmail\A 50314-2022.docx")</f>
        <v/>
      </c>
      <c r="V358">
        <f>HYPERLINK("tillsyn\A 50314-2022.docx")</f>
        <v/>
      </c>
      <c r="W358">
        <f>HYPERLINK("tillsynsmail\A 50314-2022.docx")</f>
        <v/>
      </c>
    </row>
    <row r="359">
      <c r="A359" t="inlineStr">
        <is>
          <t>A 51309-2022</t>
        </is>
      </c>
      <c r="B359" s="1" t="n">
        <v>44868</v>
      </c>
      <c r="C359" s="1" t="n">
        <v>45156</v>
      </c>
      <c r="D359" t="inlineStr">
        <is>
          <t>STRÖMSUND</t>
        </is>
      </c>
      <c r="E359" t="inlineStr">
        <is>
          <t>SCA</t>
        </is>
      </c>
      <c r="F359" t="n">
        <v>5.1</v>
      </c>
      <c r="G359" t="n">
        <v>0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1</v>
      </c>
      <c r="O359" t="n">
        <v>0</v>
      </c>
      <c r="P359" t="n">
        <v>1</v>
      </c>
      <c r="Q359">
        <f>HYPERLINK("artfynd\A 51309-2022.xlsx")</f>
        <v/>
      </c>
      <c r="R359">
        <f>HYPERLINK("kartor\A 51309-2022.png")</f>
        <v/>
      </c>
      <c r="T359">
        <f>HYPERLINK("klagomål\A 51309-2022.docx")</f>
        <v/>
      </c>
      <c r="U359">
        <f>HYPERLINK("klagomålsmail\A 51309-2022.docx")</f>
        <v/>
      </c>
      <c r="V359">
        <f>HYPERLINK("tillsyn\A 51309-2022.docx")</f>
        <v/>
      </c>
      <c r="W359">
        <f>HYPERLINK("tillsynsmail\A 51309-2022.docx")</f>
        <v/>
      </c>
    </row>
    <row r="360">
      <c r="A360" t="inlineStr">
        <is>
          <t>A 53019-2022</t>
        </is>
      </c>
      <c r="B360" s="1" t="n">
        <v>44875</v>
      </c>
      <c r="C360" s="1" t="n">
        <v>45156</v>
      </c>
      <c r="D360" t="inlineStr">
        <is>
          <t>STRÖMSUND</t>
        </is>
      </c>
      <c r="E360" t="inlineStr">
        <is>
          <t>SCA</t>
        </is>
      </c>
      <c r="F360" t="n">
        <v>4.8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1</v>
      </c>
      <c r="O360" t="n">
        <v>0</v>
      </c>
      <c r="P360" t="n">
        <v>1</v>
      </c>
      <c r="Q360">
        <f>HYPERLINK("artfynd\A 53019-2022.xlsx")</f>
        <v/>
      </c>
      <c r="R360">
        <f>HYPERLINK("kartor\A 53019-2022.png")</f>
        <v/>
      </c>
      <c r="T360">
        <f>HYPERLINK("klagomål\A 53019-2022.docx")</f>
        <v/>
      </c>
      <c r="U360">
        <f>HYPERLINK("klagomålsmail\A 53019-2022.docx")</f>
        <v/>
      </c>
      <c r="V360">
        <f>HYPERLINK("tillsyn\A 53019-2022.docx")</f>
        <v/>
      </c>
      <c r="W360">
        <f>HYPERLINK("tillsynsmail\A 53019-2022.docx")</f>
        <v/>
      </c>
    </row>
    <row r="361">
      <c r="A361" t="inlineStr">
        <is>
          <t>A 53143-2022</t>
        </is>
      </c>
      <c r="B361" s="1" t="n">
        <v>44876</v>
      </c>
      <c r="C361" s="1" t="n">
        <v>45156</v>
      </c>
      <c r="D361" t="inlineStr">
        <is>
          <t>STRÖMSUND</t>
        </is>
      </c>
      <c r="E361" t="inlineStr">
        <is>
          <t>Holmen skog AB</t>
        </is>
      </c>
      <c r="F361" t="n">
        <v>1.4</v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1</v>
      </c>
      <c r="Q361">
        <f>HYPERLINK("artfynd\A 53143-2022.xlsx")</f>
        <v/>
      </c>
      <c r="R361">
        <f>HYPERLINK("kartor\A 53143-2022.png")</f>
        <v/>
      </c>
      <c r="T361">
        <f>HYPERLINK("klagomål\A 53143-2022.docx")</f>
        <v/>
      </c>
      <c r="U361">
        <f>HYPERLINK("klagomålsmail\A 53143-2022.docx")</f>
        <v/>
      </c>
      <c r="V361">
        <f>HYPERLINK("tillsyn\A 53143-2022.docx")</f>
        <v/>
      </c>
      <c r="W361">
        <f>HYPERLINK("tillsynsmail\A 53143-2022.docx")</f>
        <v/>
      </c>
    </row>
    <row r="362">
      <c r="A362" t="inlineStr">
        <is>
          <t>A 56195-2022</t>
        </is>
      </c>
      <c r="B362" s="1" t="n">
        <v>44889</v>
      </c>
      <c r="C362" s="1" t="n">
        <v>45156</v>
      </c>
      <c r="D362" t="inlineStr">
        <is>
          <t>STRÖMSUND</t>
        </is>
      </c>
      <c r="E362" t="inlineStr">
        <is>
          <t>SCA</t>
        </is>
      </c>
      <c r="F362" t="n">
        <v>11.7</v>
      </c>
      <c r="G362" t="n">
        <v>0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1</v>
      </c>
      <c r="O362" t="n">
        <v>0</v>
      </c>
      <c r="P362" t="n">
        <v>1</v>
      </c>
      <c r="Q362">
        <f>HYPERLINK("artfynd\A 56195-2022.xlsx")</f>
        <v/>
      </c>
      <c r="R362">
        <f>HYPERLINK("kartor\A 56195-2022.png")</f>
        <v/>
      </c>
      <c r="T362">
        <f>HYPERLINK("klagomål\A 56195-2022.docx")</f>
        <v/>
      </c>
      <c r="U362">
        <f>HYPERLINK("klagomålsmail\A 56195-2022.docx")</f>
        <v/>
      </c>
      <c r="V362">
        <f>HYPERLINK("tillsyn\A 56195-2022.docx")</f>
        <v/>
      </c>
      <c r="W362">
        <f>HYPERLINK("tillsynsmail\A 56195-2022.docx")</f>
        <v/>
      </c>
    </row>
    <row r="363">
      <c r="A363" t="inlineStr">
        <is>
          <t>A 56735-2022</t>
        </is>
      </c>
      <c r="B363" s="1" t="n">
        <v>44893</v>
      </c>
      <c r="C363" s="1" t="n">
        <v>45156</v>
      </c>
      <c r="D363" t="inlineStr">
        <is>
          <t>STRÖMSUND</t>
        </is>
      </c>
      <c r="E363" t="inlineStr">
        <is>
          <t>SCA</t>
        </is>
      </c>
      <c r="F363" t="n">
        <v>1.4</v>
      </c>
      <c r="G363" t="n">
        <v>0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1</v>
      </c>
      <c r="O363" t="n">
        <v>0</v>
      </c>
      <c r="P363" t="n">
        <v>1</v>
      </c>
      <c r="Q363">
        <f>HYPERLINK("artfynd\A 56735-2022.xlsx")</f>
        <v/>
      </c>
      <c r="R363">
        <f>HYPERLINK("kartor\A 56735-2022.png")</f>
        <v/>
      </c>
      <c r="T363">
        <f>HYPERLINK("klagomål\A 56735-2022.docx")</f>
        <v/>
      </c>
      <c r="U363">
        <f>HYPERLINK("klagomålsmail\A 56735-2022.docx")</f>
        <v/>
      </c>
      <c r="V363">
        <f>HYPERLINK("tillsyn\A 56735-2022.docx")</f>
        <v/>
      </c>
      <c r="W363">
        <f>HYPERLINK("tillsynsmail\A 56735-2022.docx")</f>
        <v/>
      </c>
    </row>
    <row r="364">
      <c r="A364" t="inlineStr">
        <is>
          <t>A 56883-2022</t>
        </is>
      </c>
      <c r="B364" s="1" t="n">
        <v>44894</v>
      </c>
      <c r="C364" s="1" t="n">
        <v>45156</v>
      </c>
      <c r="D364" t="inlineStr">
        <is>
          <t>STRÖMSUND</t>
        </is>
      </c>
      <c r="E364" t="inlineStr">
        <is>
          <t>Holmen skog AB</t>
        </is>
      </c>
      <c r="F364" t="n">
        <v>3.1</v>
      </c>
      <c r="G364" t="n">
        <v>1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1</v>
      </c>
      <c r="O364" t="n">
        <v>1</v>
      </c>
      <c r="P364" t="n">
        <v>1</v>
      </c>
      <c r="Q364">
        <f>HYPERLINK("artfynd\A 56883-2022.xlsx")</f>
        <v/>
      </c>
      <c r="R364">
        <f>HYPERLINK("kartor\A 56883-2022.png")</f>
        <v/>
      </c>
      <c r="S364">
        <f>HYPERLINK("knärot\A 56883-2022.png")</f>
        <v/>
      </c>
      <c r="T364">
        <f>HYPERLINK("klagomål\A 56883-2022.docx")</f>
        <v/>
      </c>
      <c r="U364">
        <f>HYPERLINK("klagomålsmail\A 56883-2022.docx")</f>
        <v/>
      </c>
      <c r="V364">
        <f>HYPERLINK("tillsyn\A 56883-2022.docx")</f>
        <v/>
      </c>
      <c r="W364">
        <f>HYPERLINK("tillsynsmail\A 56883-2022.docx")</f>
        <v/>
      </c>
    </row>
    <row r="365">
      <c r="A365" t="inlineStr">
        <is>
          <t>A 57277-2022</t>
        </is>
      </c>
      <c r="B365" s="1" t="n">
        <v>44895</v>
      </c>
      <c r="C365" s="1" t="n">
        <v>45156</v>
      </c>
      <c r="D365" t="inlineStr">
        <is>
          <t>STRÖMSUND</t>
        </is>
      </c>
      <c r="E365" t="inlineStr">
        <is>
          <t>SCA</t>
        </is>
      </c>
      <c r="F365" t="n">
        <v>3.5</v>
      </c>
      <c r="G365" t="n">
        <v>0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1</v>
      </c>
      <c r="Q365">
        <f>HYPERLINK("artfynd\A 57277-2022.xlsx")</f>
        <v/>
      </c>
      <c r="R365">
        <f>HYPERLINK("kartor\A 57277-2022.png")</f>
        <v/>
      </c>
      <c r="T365">
        <f>HYPERLINK("klagomål\A 57277-2022.docx")</f>
        <v/>
      </c>
      <c r="U365">
        <f>HYPERLINK("klagomålsmail\A 57277-2022.docx")</f>
        <v/>
      </c>
      <c r="V365">
        <f>HYPERLINK("tillsyn\A 57277-2022.docx")</f>
        <v/>
      </c>
      <c r="W365">
        <f>HYPERLINK("tillsynsmail\A 57277-2022.docx")</f>
        <v/>
      </c>
    </row>
    <row r="366">
      <c r="A366" t="inlineStr">
        <is>
          <t>A 58174-2022</t>
        </is>
      </c>
      <c r="B366" s="1" t="n">
        <v>44900</v>
      </c>
      <c r="C366" s="1" t="n">
        <v>45156</v>
      </c>
      <c r="D366" t="inlineStr">
        <is>
          <t>STRÖMSUND</t>
        </is>
      </c>
      <c r="F366" t="n">
        <v>0.3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1</v>
      </c>
      <c r="O366" t="n">
        <v>0</v>
      </c>
      <c r="P366" t="n">
        <v>1</v>
      </c>
      <c r="Q366">
        <f>HYPERLINK("artfynd\A 58174-2022.xlsx")</f>
        <v/>
      </c>
      <c r="R366">
        <f>HYPERLINK("kartor\A 58174-2022.png")</f>
        <v/>
      </c>
      <c r="T366">
        <f>HYPERLINK("klagomål\A 58174-2022.docx")</f>
        <v/>
      </c>
      <c r="U366">
        <f>HYPERLINK("klagomålsmail\A 58174-2022.docx")</f>
        <v/>
      </c>
      <c r="V366">
        <f>HYPERLINK("tillsyn\A 58174-2022.docx")</f>
        <v/>
      </c>
      <c r="W366">
        <f>HYPERLINK("tillsynsmail\A 58174-2022.docx")</f>
        <v/>
      </c>
    </row>
    <row r="367">
      <c r="A367" t="inlineStr">
        <is>
          <t>A 27-2023</t>
        </is>
      </c>
      <c r="B367" s="1" t="n">
        <v>44928</v>
      </c>
      <c r="C367" s="1" t="n">
        <v>45156</v>
      </c>
      <c r="D367" t="inlineStr">
        <is>
          <t>STRÖMSUND</t>
        </is>
      </c>
      <c r="E367" t="inlineStr">
        <is>
          <t>Sveaskog</t>
        </is>
      </c>
      <c r="F367" t="n">
        <v>4.3</v>
      </c>
      <c r="G367" t="n">
        <v>0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1</v>
      </c>
      <c r="O367" t="n">
        <v>0</v>
      </c>
      <c r="P367" t="n">
        <v>1</v>
      </c>
      <c r="Q367">
        <f>HYPERLINK("artfynd\A 27-2023.xlsx")</f>
        <v/>
      </c>
      <c r="R367">
        <f>HYPERLINK("kartor\A 27-2023.png")</f>
        <v/>
      </c>
      <c r="T367">
        <f>HYPERLINK("klagomål\A 27-2023.docx")</f>
        <v/>
      </c>
      <c r="U367">
        <f>HYPERLINK("klagomålsmail\A 27-2023.docx")</f>
        <v/>
      </c>
      <c r="V367">
        <f>HYPERLINK("tillsyn\A 27-2023.docx")</f>
        <v/>
      </c>
      <c r="W367">
        <f>HYPERLINK("tillsynsmail\A 27-2023.docx")</f>
        <v/>
      </c>
    </row>
    <row r="368">
      <c r="A368" t="inlineStr">
        <is>
          <t>A 1224-2023</t>
        </is>
      </c>
      <c r="B368" s="1" t="n">
        <v>44935</v>
      </c>
      <c r="C368" s="1" t="n">
        <v>45156</v>
      </c>
      <c r="D368" t="inlineStr">
        <is>
          <t>STRÖMSUND</t>
        </is>
      </c>
      <c r="E368" t="inlineStr">
        <is>
          <t>SCA</t>
        </is>
      </c>
      <c r="F368" t="n">
        <v>3.9</v>
      </c>
      <c r="G368" t="n">
        <v>0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1</v>
      </c>
      <c r="O368" t="n">
        <v>0</v>
      </c>
      <c r="P368" t="n">
        <v>1</v>
      </c>
      <c r="Q368">
        <f>HYPERLINK("artfynd\A 1224-2023.xlsx")</f>
        <v/>
      </c>
      <c r="R368">
        <f>HYPERLINK("kartor\A 1224-2023.png")</f>
        <v/>
      </c>
      <c r="T368">
        <f>HYPERLINK("klagomål\A 1224-2023.docx")</f>
        <v/>
      </c>
      <c r="U368">
        <f>HYPERLINK("klagomålsmail\A 1224-2023.docx")</f>
        <v/>
      </c>
      <c r="V368">
        <f>HYPERLINK("tillsyn\A 1224-2023.docx")</f>
        <v/>
      </c>
      <c r="W368">
        <f>HYPERLINK("tillsynsmail\A 1224-2023.docx")</f>
        <v/>
      </c>
    </row>
    <row r="369">
      <c r="A369" t="inlineStr">
        <is>
          <t>A 8665-2023</t>
        </is>
      </c>
      <c r="B369" s="1" t="n">
        <v>44977</v>
      </c>
      <c r="C369" s="1" t="n">
        <v>45156</v>
      </c>
      <c r="D369" t="inlineStr">
        <is>
          <t>STRÖMSUND</t>
        </is>
      </c>
      <c r="E369" t="inlineStr">
        <is>
          <t>SCA</t>
        </is>
      </c>
      <c r="F369" t="n">
        <v>52.9</v>
      </c>
      <c r="G369" t="n">
        <v>1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1</v>
      </c>
      <c r="O369" t="n">
        <v>1</v>
      </c>
      <c r="P369" t="n">
        <v>1</v>
      </c>
      <c r="Q369">
        <f>HYPERLINK("artfynd\A 8665-2023.xlsx")</f>
        <v/>
      </c>
      <c r="R369">
        <f>HYPERLINK("kartor\A 8665-2023.png")</f>
        <v/>
      </c>
      <c r="S369">
        <f>HYPERLINK("knärot\A 8665-2023.png")</f>
        <v/>
      </c>
      <c r="T369">
        <f>HYPERLINK("klagomål\A 8665-2023.docx")</f>
        <v/>
      </c>
      <c r="U369">
        <f>HYPERLINK("klagomålsmail\A 8665-2023.docx")</f>
        <v/>
      </c>
      <c r="V369">
        <f>HYPERLINK("tillsyn\A 8665-2023.docx")</f>
        <v/>
      </c>
      <c r="W369">
        <f>HYPERLINK("tillsynsmail\A 8665-2023.docx")</f>
        <v/>
      </c>
    </row>
    <row r="370">
      <c r="A370" t="inlineStr">
        <is>
          <t>A 10075-2023</t>
        </is>
      </c>
      <c r="B370" s="1" t="n">
        <v>44985</v>
      </c>
      <c r="C370" s="1" t="n">
        <v>45156</v>
      </c>
      <c r="D370" t="inlineStr">
        <is>
          <t>STRÖMSUND</t>
        </is>
      </c>
      <c r="E370" t="inlineStr">
        <is>
          <t>SCA</t>
        </is>
      </c>
      <c r="F370" t="n">
        <v>13.4</v>
      </c>
      <c r="G370" t="n">
        <v>0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1</v>
      </c>
      <c r="O370" t="n">
        <v>0</v>
      </c>
      <c r="P370" t="n">
        <v>1</v>
      </c>
      <c r="Q370">
        <f>HYPERLINK("artfynd\A 10075-2023.xlsx")</f>
        <v/>
      </c>
      <c r="R370">
        <f>HYPERLINK("kartor\A 10075-2023.png")</f>
        <v/>
      </c>
      <c r="T370">
        <f>HYPERLINK("klagomål\A 10075-2023.docx")</f>
        <v/>
      </c>
      <c r="U370">
        <f>HYPERLINK("klagomålsmail\A 10075-2023.docx")</f>
        <v/>
      </c>
      <c r="V370">
        <f>HYPERLINK("tillsyn\A 10075-2023.docx")</f>
        <v/>
      </c>
      <c r="W370">
        <f>HYPERLINK("tillsynsmail\A 10075-2023.docx")</f>
        <v/>
      </c>
    </row>
    <row r="371">
      <c r="A371" t="inlineStr">
        <is>
          <t>A 13897-2023</t>
        </is>
      </c>
      <c r="B371" s="1" t="n">
        <v>45008</v>
      </c>
      <c r="C371" s="1" t="n">
        <v>45156</v>
      </c>
      <c r="D371" t="inlineStr">
        <is>
          <t>STRÖMSUND</t>
        </is>
      </c>
      <c r="E371" t="inlineStr">
        <is>
          <t>Holmen skog AB</t>
        </is>
      </c>
      <c r="F371" t="n">
        <v>2.6</v>
      </c>
      <c r="G371" t="n">
        <v>0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1</v>
      </c>
      <c r="O371" t="n">
        <v>0</v>
      </c>
      <c r="P371" t="n">
        <v>1</v>
      </c>
      <c r="Q371">
        <f>HYPERLINK("artfynd\A 13897-2023.xlsx")</f>
        <v/>
      </c>
      <c r="R371">
        <f>HYPERLINK("kartor\A 13897-2023.png")</f>
        <v/>
      </c>
      <c r="T371">
        <f>HYPERLINK("klagomål\A 13897-2023.docx")</f>
        <v/>
      </c>
      <c r="U371">
        <f>HYPERLINK("klagomålsmail\A 13897-2023.docx")</f>
        <v/>
      </c>
      <c r="V371">
        <f>HYPERLINK("tillsyn\A 13897-2023.docx")</f>
        <v/>
      </c>
      <c r="W371">
        <f>HYPERLINK("tillsynsmail\A 13897-2023.docx")</f>
        <v/>
      </c>
    </row>
    <row r="372">
      <c r="A372" t="inlineStr">
        <is>
          <t>A 15461-2023</t>
        </is>
      </c>
      <c r="B372" s="1" t="n">
        <v>45019</v>
      </c>
      <c r="C372" s="1" t="n">
        <v>45156</v>
      </c>
      <c r="D372" t="inlineStr">
        <is>
          <t>STRÖMSUND</t>
        </is>
      </c>
      <c r="F372" t="n">
        <v>13.9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1</v>
      </c>
      <c r="Q372">
        <f>HYPERLINK("artfynd\A 15461-2023.xlsx")</f>
        <v/>
      </c>
      <c r="R372">
        <f>HYPERLINK("kartor\A 15461-2023.png")</f>
        <v/>
      </c>
      <c r="T372">
        <f>HYPERLINK("klagomål\A 15461-2023.docx")</f>
        <v/>
      </c>
      <c r="U372">
        <f>HYPERLINK("klagomålsmail\A 15461-2023.docx")</f>
        <v/>
      </c>
      <c r="V372">
        <f>HYPERLINK("tillsyn\A 15461-2023.docx")</f>
        <v/>
      </c>
      <c r="W372">
        <f>HYPERLINK("tillsynsmail\A 15461-2023.docx")</f>
        <v/>
      </c>
    </row>
    <row r="373">
      <c r="A373" t="inlineStr">
        <is>
          <t>A 18767-2023</t>
        </is>
      </c>
      <c r="B373" s="1" t="n">
        <v>45043</v>
      </c>
      <c r="C373" s="1" t="n">
        <v>45156</v>
      </c>
      <c r="D373" t="inlineStr">
        <is>
          <t>STRÖMSUND</t>
        </is>
      </c>
      <c r="E373" t="inlineStr">
        <is>
          <t>SCA</t>
        </is>
      </c>
      <c r="F373" t="n">
        <v>7.5</v>
      </c>
      <c r="G373" t="n">
        <v>0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1</v>
      </c>
      <c r="O373" t="n">
        <v>0</v>
      </c>
      <c r="P373" t="n">
        <v>1</v>
      </c>
      <c r="Q373">
        <f>HYPERLINK("artfynd\A 18767-2023.xlsx")</f>
        <v/>
      </c>
      <c r="R373">
        <f>HYPERLINK("kartor\A 18767-2023.png")</f>
        <v/>
      </c>
      <c r="T373">
        <f>HYPERLINK("klagomål\A 18767-2023.docx")</f>
        <v/>
      </c>
      <c r="U373">
        <f>HYPERLINK("klagomålsmail\A 18767-2023.docx")</f>
        <v/>
      </c>
      <c r="V373">
        <f>HYPERLINK("tillsyn\A 18767-2023.docx")</f>
        <v/>
      </c>
      <c r="W373">
        <f>HYPERLINK("tillsynsmail\A 18767-2023.docx")</f>
        <v/>
      </c>
    </row>
    <row r="374">
      <c r="A374" t="inlineStr">
        <is>
          <t>A 18948-2023</t>
        </is>
      </c>
      <c r="B374" s="1" t="n">
        <v>45043</v>
      </c>
      <c r="C374" s="1" t="n">
        <v>45156</v>
      </c>
      <c r="D374" t="inlineStr">
        <is>
          <t>STRÖMSUND</t>
        </is>
      </c>
      <c r="F374" t="n">
        <v>27.6</v>
      </c>
      <c r="G374" t="n">
        <v>0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1</v>
      </c>
      <c r="O374" t="n">
        <v>1</v>
      </c>
      <c r="P374" t="n">
        <v>1</v>
      </c>
      <c r="Q374">
        <f>HYPERLINK("artfynd\A 18948-2023.xlsx")</f>
        <v/>
      </c>
      <c r="R374">
        <f>HYPERLINK("kartor\A 18948-2023.png")</f>
        <v/>
      </c>
      <c r="T374">
        <f>HYPERLINK("klagomål\A 18948-2023.docx")</f>
        <v/>
      </c>
      <c r="U374">
        <f>HYPERLINK("klagomålsmail\A 18948-2023.docx")</f>
        <v/>
      </c>
      <c r="V374">
        <f>HYPERLINK("tillsyn\A 18948-2023.docx")</f>
        <v/>
      </c>
      <c r="W374">
        <f>HYPERLINK("tillsynsmail\A 18948-2023.docx")</f>
        <v/>
      </c>
    </row>
    <row r="375">
      <c r="A375" t="inlineStr">
        <is>
          <t>A 19240-2023</t>
        </is>
      </c>
      <c r="B375" s="1" t="n">
        <v>45048</v>
      </c>
      <c r="C375" s="1" t="n">
        <v>45156</v>
      </c>
      <c r="D375" t="inlineStr">
        <is>
          <t>STRÖMSUND</t>
        </is>
      </c>
      <c r="E375" t="inlineStr">
        <is>
          <t>SCA</t>
        </is>
      </c>
      <c r="F375" t="n">
        <v>2.4</v>
      </c>
      <c r="G375" t="n">
        <v>0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1</v>
      </c>
      <c r="O375" t="n">
        <v>0</v>
      </c>
      <c r="P375" t="n">
        <v>1</v>
      </c>
      <c r="Q375">
        <f>HYPERLINK("artfynd\A 19240-2023.xlsx")</f>
        <v/>
      </c>
      <c r="R375">
        <f>HYPERLINK("kartor\A 19240-2023.png")</f>
        <v/>
      </c>
      <c r="T375">
        <f>HYPERLINK("klagomål\A 19240-2023.docx")</f>
        <v/>
      </c>
      <c r="U375">
        <f>HYPERLINK("klagomålsmail\A 19240-2023.docx")</f>
        <v/>
      </c>
      <c r="V375">
        <f>HYPERLINK("tillsyn\A 19240-2023.docx")</f>
        <v/>
      </c>
      <c r="W375">
        <f>HYPERLINK("tillsynsmail\A 19240-2023.docx")</f>
        <v/>
      </c>
    </row>
    <row r="376">
      <c r="A376" t="inlineStr">
        <is>
          <t>A 20632-2023</t>
        </is>
      </c>
      <c r="B376" s="1" t="n">
        <v>45057</v>
      </c>
      <c r="C376" s="1" t="n">
        <v>45156</v>
      </c>
      <c r="D376" t="inlineStr">
        <is>
          <t>STRÖMSUND</t>
        </is>
      </c>
      <c r="E376" t="inlineStr">
        <is>
          <t>SCA</t>
        </is>
      </c>
      <c r="F376" t="n">
        <v>6.3</v>
      </c>
      <c r="G376" t="n">
        <v>0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1</v>
      </c>
      <c r="O376" t="n">
        <v>0</v>
      </c>
      <c r="P376" t="n">
        <v>1</v>
      </c>
      <c r="Q376">
        <f>HYPERLINK("artfynd\A 20632-2023.xlsx")</f>
        <v/>
      </c>
      <c r="R376">
        <f>HYPERLINK("kartor\A 20632-2023.png")</f>
        <v/>
      </c>
      <c r="T376">
        <f>HYPERLINK("klagomål\A 20632-2023.docx")</f>
        <v/>
      </c>
      <c r="U376">
        <f>HYPERLINK("klagomålsmail\A 20632-2023.docx")</f>
        <v/>
      </c>
      <c r="V376">
        <f>HYPERLINK("tillsyn\A 20632-2023.docx")</f>
        <v/>
      </c>
      <c r="W376">
        <f>HYPERLINK("tillsynsmail\A 20632-2023.docx")</f>
        <v/>
      </c>
    </row>
    <row r="377">
      <c r="A377" t="inlineStr">
        <is>
          <t>A 25026-2023</t>
        </is>
      </c>
      <c r="B377" s="1" t="n">
        <v>45085</v>
      </c>
      <c r="C377" s="1" t="n">
        <v>45156</v>
      </c>
      <c r="D377" t="inlineStr">
        <is>
          <t>STRÖMSUND</t>
        </is>
      </c>
      <c r="F377" t="n">
        <v>1.6</v>
      </c>
      <c r="G377" t="n">
        <v>0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1</v>
      </c>
      <c r="O377" t="n">
        <v>0</v>
      </c>
      <c r="P377" t="n">
        <v>1</v>
      </c>
      <c r="Q377">
        <f>HYPERLINK("artfynd\A 25026-2023.xlsx")</f>
        <v/>
      </c>
      <c r="R377">
        <f>HYPERLINK("kartor\A 25026-2023.png")</f>
        <v/>
      </c>
      <c r="T377">
        <f>HYPERLINK("klagomål\A 25026-2023.docx")</f>
        <v/>
      </c>
      <c r="U377">
        <f>HYPERLINK("klagomålsmail\A 25026-2023.docx")</f>
        <v/>
      </c>
      <c r="V377">
        <f>HYPERLINK("tillsyn\A 25026-2023.docx")</f>
        <v/>
      </c>
      <c r="W377">
        <f>HYPERLINK("tillsynsmail\A 25026-2023.docx")</f>
        <v/>
      </c>
    </row>
    <row r="378">
      <c r="A378" t="inlineStr">
        <is>
          <t>A 25672-2023</t>
        </is>
      </c>
      <c r="B378" s="1" t="n">
        <v>45089</v>
      </c>
      <c r="C378" s="1" t="n">
        <v>45156</v>
      </c>
      <c r="D378" t="inlineStr">
        <is>
          <t>STRÖMSUND</t>
        </is>
      </c>
      <c r="E378" t="inlineStr">
        <is>
          <t>SCA</t>
        </is>
      </c>
      <c r="F378" t="n">
        <v>5.5</v>
      </c>
      <c r="G378" t="n">
        <v>0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1</v>
      </c>
      <c r="O378" t="n">
        <v>0</v>
      </c>
      <c r="P378" t="n">
        <v>1</v>
      </c>
      <c r="Q378">
        <f>HYPERLINK("artfynd\A 25672-2023.xlsx")</f>
        <v/>
      </c>
      <c r="R378">
        <f>HYPERLINK("kartor\A 25672-2023.png")</f>
        <v/>
      </c>
      <c r="T378">
        <f>HYPERLINK("klagomål\A 25672-2023.docx")</f>
        <v/>
      </c>
      <c r="U378">
        <f>HYPERLINK("klagomålsmail\A 25672-2023.docx")</f>
        <v/>
      </c>
      <c r="V378">
        <f>HYPERLINK("tillsyn\A 25672-2023.docx")</f>
        <v/>
      </c>
      <c r="W378">
        <f>HYPERLINK("tillsynsmail\A 25672-2023.docx")</f>
        <v/>
      </c>
    </row>
    <row r="379">
      <c r="A379" t="inlineStr">
        <is>
          <t>A 26372-2023</t>
        </is>
      </c>
      <c r="B379" s="1" t="n">
        <v>45091</v>
      </c>
      <c r="C379" s="1" t="n">
        <v>45156</v>
      </c>
      <c r="D379" t="inlineStr">
        <is>
          <t>STRÖMSUND</t>
        </is>
      </c>
      <c r="E379" t="inlineStr">
        <is>
          <t>SCA</t>
        </is>
      </c>
      <c r="F379" t="n">
        <v>3.1</v>
      </c>
      <c r="G379" t="n">
        <v>0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1</v>
      </c>
      <c r="O379" t="n">
        <v>0</v>
      </c>
      <c r="P379" t="n">
        <v>1</v>
      </c>
      <c r="Q379">
        <f>HYPERLINK("artfynd\A 26372-2023.xlsx")</f>
        <v/>
      </c>
      <c r="R379">
        <f>HYPERLINK("kartor\A 26372-2023.png")</f>
        <v/>
      </c>
      <c r="T379">
        <f>HYPERLINK("klagomål\A 26372-2023.docx")</f>
        <v/>
      </c>
      <c r="U379">
        <f>HYPERLINK("klagomålsmail\A 26372-2023.docx")</f>
        <v/>
      </c>
      <c r="V379">
        <f>HYPERLINK("tillsyn\A 26372-2023.docx")</f>
        <v/>
      </c>
      <c r="W379">
        <f>HYPERLINK("tillsynsmail\A 26372-2023.docx")</f>
        <v/>
      </c>
    </row>
    <row r="380">
      <c r="A380" t="inlineStr">
        <is>
          <t>A 27001-2023</t>
        </is>
      </c>
      <c r="B380" s="1" t="n">
        <v>45093</v>
      </c>
      <c r="C380" s="1" t="n">
        <v>45156</v>
      </c>
      <c r="D380" t="inlineStr">
        <is>
          <t>STRÖMSUND</t>
        </is>
      </c>
      <c r="E380" t="inlineStr">
        <is>
          <t>SCA</t>
        </is>
      </c>
      <c r="F380" t="n">
        <v>3.3</v>
      </c>
      <c r="G380" t="n">
        <v>0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1</v>
      </c>
      <c r="O380" t="n">
        <v>0</v>
      </c>
      <c r="P380" t="n">
        <v>1</v>
      </c>
      <c r="Q380">
        <f>HYPERLINK("artfynd\A 27001-2023.xlsx")</f>
        <v/>
      </c>
      <c r="R380">
        <f>HYPERLINK("kartor\A 27001-2023.png")</f>
        <v/>
      </c>
      <c r="T380">
        <f>HYPERLINK("klagomål\A 27001-2023.docx")</f>
        <v/>
      </c>
      <c r="U380">
        <f>HYPERLINK("klagomålsmail\A 27001-2023.docx")</f>
        <v/>
      </c>
      <c r="V380">
        <f>HYPERLINK("tillsyn\A 27001-2023.docx")</f>
        <v/>
      </c>
      <c r="W380">
        <f>HYPERLINK("tillsynsmail\A 27001-2023.docx")</f>
        <v/>
      </c>
    </row>
    <row r="381">
      <c r="A381" t="inlineStr">
        <is>
          <t>A 28751-2023</t>
        </is>
      </c>
      <c r="B381" s="1" t="n">
        <v>45103</v>
      </c>
      <c r="C381" s="1" t="n">
        <v>45156</v>
      </c>
      <c r="D381" t="inlineStr">
        <is>
          <t>STRÖMSUND</t>
        </is>
      </c>
      <c r="E381" t="inlineStr">
        <is>
          <t>SCA</t>
        </is>
      </c>
      <c r="F381" t="n">
        <v>10.2</v>
      </c>
      <c r="G381" t="n">
        <v>0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1</v>
      </c>
      <c r="O381" t="n">
        <v>0</v>
      </c>
      <c r="P381" t="n">
        <v>1</v>
      </c>
      <c r="Q381">
        <f>HYPERLINK("artfynd\A 28751-2023.xlsx")</f>
        <v/>
      </c>
      <c r="R381">
        <f>HYPERLINK("kartor\A 28751-2023.png")</f>
        <v/>
      </c>
      <c r="T381">
        <f>HYPERLINK("klagomål\A 28751-2023.docx")</f>
        <v/>
      </c>
      <c r="U381">
        <f>HYPERLINK("klagomålsmail\A 28751-2023.docx")</f>
        <v/>
      </c>
      <c r="V381">
        <f>HYPERLINK("tillsyn\A 28751-2023.docx")</f>
        <v/>
      </c>
      <c r="W381">
        <f>HYPERLINK("tillsynsmail\A 28751-2023.docx")</f>
        <v/>
      </c>
    </row>
    <row r="382">
      <c r="A382" t="inlineStr">
        <is>
          <t>A 32551-2023</t>
        </is>
      </c>
      <c r="B382" s="1" t="n">
        <v>45111</v>
      </c>
      <c r="C382" s="1" t="n">
        <v>45156</v>
      </c>
      <c r="D382" t="inlineStr">
        <is>
          <t>STRÖMSUND</t>
        </is>
      </c>
      <c r="E382" t="inlineStr">
        <is>
          <t>Kommuner</t>
        </is>
      </c>
      <c r="F382" t="n">
        <v>5.3</v>
      </c>
      <c r="G382" t="n">
        <v>0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1</v>
      </c>
      <c r="Q382">
        <f>HYPERLINK("artfynd\A 32551-2023.xlsx")</f>
        <v/>
      </c>
      <c r="R382">
        <f>HYPERLINK("kartor\A 32551-2023.png")</f>
        <v/>
      </c>
      <c r="T382">
        <f>HYPERLINK("klagomål\A 32551-2023.docx")</f>
        <v/>
      </c>
      <c r="U382">
        <f>HYPERLINK("klagomålsmail\A 32551-2023.docx")</f>
        <v/>
      </c>
      <c r="V382">
        <f>HYPERLINK("tillsyn\A 32551-2023.docx")</f>
        <v/>
      </c>
      <c r="W382">
        <f>HYPERLINK("tillsynsmail\A 32551-2023.docx")</f>
        <v/>
      </c>
    </row>
    <row r="383">
      <c r="A383" t="inlineStr">
        <is>
          <t>A 30821-2023</t>
        </is>
      </c>
      <c r="B383" s="1" t="n">
        <v>45112</v>
      </c>
      <c r="C383" s="1" t="n">
        <v>45156</v>
      </c>
      <c r="D383" t="inlineStr">
        <is>
          <t>STRÖMSUND</t>
        </is>
      </c>
      <c r="E383" t="inlineStr">
        <is>
          <t>SCA</t>
        </is>
      </c>
      <c r="F383" t="n">
        <v>5</v>
      </c>
      <c r="G383" t="n">
        <v>0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1</v>
      </c>
      <c r="O383" t="n">
        <v>0</v>
      </c>
      <c r="P383" t="n">
        <v>1</v>
      </c>
      <c r="Q383">
        <f>HYPERLINK("artfynd\A 30821-2023.xlsx")</f>
        <v/>
      </c>
      <c r="R383">
        <f>HYPERLINK("kartor\A 30821-2023.png")</f>
        <v/>
      </c>
      <c r="T383">
        <f>HYPERLINK("klagomål\A 30821-2023.docx")</f>
        <v/>
      </c>
      <c r="U383">
        <f>HYPERLINK("klagomålsmail\A 30821-2023.docx")</f>
        <v/>
      </c>
      <c r="V383">
        <f>HYPERLINK("tillsyn\A 30821-2023.docx")</f>
        <v/>
      </c>
      <c r="W383">
        <f>HYPERLINK("tillsynsmail\A 30821-2023.docx")</f>
        <v/>
      </c>
    </row>
    <row r="384">
      <c r="A384" t="inlineStr">
        <is>
          <t>A 30848-2023</t>
        </is>
      </c>
      <c r="B384" s="1" t="n">
        <v>45112</v>
      </c>
      <c r="C384" s="1" t="n">
        <v>45156</v>
      </c>
      <c r="D384" t="inlineStr">
        <is>
          <t>STRÖMSUND</t>
        </is>
      </c>
      <c r="E384" t="inlineStr">
        <is>
          <t>SCA</t>
        </is>
      </c>
      <c r="F384" t="n">
        <v>12.3</v>
      </c>
      <c r="G384" t="n">
        <v>0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1</v>
      </c>
      <c r="O384" t="n">
        <v>0</v>
      </c>
      <c r="P384" t="n">
        <v>1</v>
      </c>
      <c r="Q384">
        <f>HYPERLINK("artfynd\A 30848-2023.xlsx")</f>
        <v/>
      </c>
      <c r="R384">
        <f>HYPERLINK("kartor\A 30848-2023.png")</f>
        <v/>
      </c>
      <c r="T384">
        <f>HYPERLINK("klagomål\A 30848-2023.docx")</f>
        <v/>
      </c>
      <c r="U384">
        <f>HYPERLINK("klagomålsmail\A 30848-2023.docx")</f>
        <v/>
      </c>
      <c r="V384">
        <f>HYPERLINK("tillsyn\A 30848-2023.docx")</f>
        <v/>
      </c>
      <c r="W384">
        <f>HYPERLINK("tillsynsmail\A 30848-2023.docx")</f>
        <v/>
      </c>
    </row>
    <row r="385">
      <c r="A385" t="inlineStr">
        <is>
          <t>A 31327-2023</t>
        </is>
      </c>
      <c r="B385" s="1" t="n">
        <v>45114</v>
      </c>
      <c r="C385" s="1" t="n">
        <v>45156</v>
      </c>
      <c r="D385" t="inlineStr">
        <is>
          <t>STRÖMSUND</t>
        </is>
      </c>
      <c r="E385" t="inlineStr">
        <is>
          <t>Holmen skog AB</t>
        </is>
      </c>
      <c r="F385" t="n">
        <v>20.3</v>
      </c>
      <c r="G385" t="n">
        <v>0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1</v>
      </c>
      <c r="Q385">
        <f>HYPERLINK("artfynd\A 31327-2023.xlsx")</f>
        <v/>
      </c>
      <c r="R385">
        <f>HYPERLINK("kartor\A 31327-2023.png")</f>
        <v/>
      </c>
      <c r="T385">
        <f>HYPERLINK("klagomål\A 31327-2023.docx")</f>
        <v/>
      </c>
      <c r="U385">
        <f>HYPERLINK("klagomålsmail\A 31327-2023.docx")</f>
        <v/>
      </c>
      <c r="V385">
        <f>HYPERLINK("tillsyn\A 31327-2023.docx")</f>
        <v/>
      </c>
      <c r="W385">
        <f>HYPERLINK("tillsynsmail\A 31327-2023.docx")</f>
        <v/>
      </c>
    </row>
    <row r="386">
      <c r="A386" t="inlineStr">
        <is>
          <t>A 35991-2018</t>
        </is>
      </c>
      <c r="B386" s="1" t="n">
        <v>43326</v>
      </c>
      <c r="C386" s="1" t="n">
        <v>45156</v>
      </c>
      <c r="D386" t="inlineStr">
        <is>
          <t>STRÖMSUND</t>
        </is>
      </c>
      <c r="F386" t="n">
        <v>5.7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</row>
    <row r="387">
      <c r="A387" t="inlineStr">
        <is>
          <t>A 35993-2018</t>
        </is>
      </c>
      <c r="B387" s="1" t="n">
        <v>43327</v>
      </c>
      <c r="C387" s="1" t="n">
        <v>45156</v>
      </c>
      <c r="D387" t="inlineStr">
        <is>
          <t>STRÖMSUND</t>
        </is>
      </c>
      <c r="F387" t="n">
        <v>14.3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</row>
    <row r="388">
      <c r="A388" t="inlineStr">
        <is>
          <t>A 36734-2018</t>
        </is>
      </c>
      <c r="B388" s="1" t="n">
        <v>43332</v>
      </c>
      <c r="C388" s="1" t="n">
        <v>45156</v>
      </c>
      <c r="D388" t="inlineStr">
        <is>
          <t>STRÖMSUND</t>
        </is>
      </c>
      <c r="E388" t="inlineStr">
        <is>
          <t>Övriga Aktiebolag</t>
        </is>
      </c>
      <c r="F388" t="n">
        <v>18.2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</row>
    <row r="389">
      <c r="A389" t="inlineStr">
        <is>
          <t>A 38898-2018</t>
        </is>
      </c>
      <c r="B389" s="1" t="n">
        <v>43336</v>
      </c>
      <c r="C389" s="1" t="n">
        <v>45156</v>
      </c>
      <c r="D389" t="inlineStr">
        <is>
          <t>STRÖMSUND</t>
        </is>
      </c>
      <c r="F389" t="n">
        <v>14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</row>
    <row r="390">
      <c r="A390" t="inlineStr">
        <is>
          <t>A 39554-2018</t>
        </is>
      </c>
      <c r="B390" s="1" t="n">
        <v>43340</v>
      </c>
      <c r="C390" s="1" t="n">
        <v>45156</v>
      </c>
      <c r="D390" t="inlineStr">
        <is>
          <t>STRÖMSUND</t>
        </is>
      </c>
      <c r="F390" t="n">
        <v>3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</row>
    <row r="391">
      <c r="A391" t="inlineStr">
        <is>
          <t>A 42513-2018</t>
        </is>
      </c>
      <c r="B391" s="1" t="n">
        <v>43354</v>
      </c>
      <c r="C391" s="1" t="n">
        <v>45156</v>
      </c>
      <c r="D391" t="inlineStr">
        <is>
          <t>STRÖMSUND</t>
        </is>
      </c>
      <c r="E391" t="inlineStr">
        <is>
          <t>Holmen skog AB</t>
        </is>
      </c>
      <c r="F391" t="n">
        <v>14.6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</row>
    <row r="392">
      <c r="A392" t="inlineStr">
        <is>
          <t>A 44692-2018</t>
        </is>
      </c>
      <c r="B392" s="1" t="n">
        <v>43357</v>
      </c>
      <c r="C392" s="1" t="n">
        <v>45156</v>
      </c>
      <c r="D392" t="inlineStr">
        <is>
          <t>STRÖMSUND</t>
        </is>
      </c>
      <c r="F392" t="n">
        <v>1.5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</row>
    <row r="393">
      <c r="A393" t="inlineStr">
        <is>
          <t>A 45492-2018</t>
        </is>
      </c>
      <c r="B393" s="1" t="n">
        <v>43363</v>
      </c>
      <c r="C393" s="1" t="n">
        <v>45156</v>
      </c>
      <c r="D393" t="inlineStr">
        <is>
          <t>STRÖMSUND</t>
        </is>
      </c>
      <c r="F393" t="n">
        <v>1.8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</row>
    <row r="394">
      <c r="A394" t="inlineStr">
        <is>
          <t>A 47715-2018</t>
        </is>
      </c>
      <c r="B394" s="1" t="n">
        <v>43369</v>
      </c>
      <c r="C394" s="1" t="n">
        <v>45156</v>
      </c>
      <c r="D394" t="inlineStr">
        <is>
          <t>STRÖMSUND</t>
        </is>
      </c>
      <c r="F394" t="n">
        <v>3.3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</row>
    <row r="395">
      <c r="A395" t="inlineStr">
        <is>
          <t>A 54807-2018</t>
        </is>
      </c>
      <c r="B395" s="1" t="n">
        <v>43395</v>
      </c>
      <c r="C395" s="1" t="n">
        <v>45156</v>
      </c>
      <c r="D395" t="inlineStr">
        <is>
          <t>STRÖMSUND</t>
        </is>
      </c>
      <c r="E395" t="inlineStr">
        <is>
          <t>SCA</t>
        </is>
      </c>
      <c r="F395" t="n">
        <v>2.1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</row>
    <row r="396">
      <c r="A396" t="inlineStr">
        <is>
          <t>A 58730-2018</t>
        </is>
      </c>
      <c r="B396" s="1" t="n">
        <v>43399</v>
      </c>
      <c r="C396" s="1" t="n">
        <v>45156</v>
      </c>
      <c r="D396" t="inlineStr">
        <is>
          <t>STRÖMSUND</t>
        </is>
      </c>
      <c r="F396" t="n">
        <v>2.3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</row>
    <row r="397">
      <c r="A397" t="inlineStr">
        <is>
          <t>A 57347-2018</t>
        </is>
      </c>
      <c r="B397" s="1" t="n">
        <v>43402</v>
      </c>
      <c r="C397" s="1" t="n">
        <v>45156</v>
      </c>
      <c r="D397" t="inlineStr">
        <is>
          <t>STRÖMSUND</t>
        </is>
      </c>
      <c r="F397" t="n">
        <v>22.9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</row>
    <row r="398">
      <c r="A398" t="inlineStr">
        <is>
          <t>A 59045-2018</t>
        </is>
      </c>
      <c r="B398" s="1" t="n">
        <v>43402</v>
      </c>
      <c r="C398" s="1" t="n">
        <v>45156</v>
      </c>
      <c r="D398" t="inlineStr">
        <is>
          <t>STRÖMSUND</t>
        </is>
      </c>
      <c r="F398" t="n">
        <v>1.1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</row>
    <row r="399">
      <c r="A399" t="inlineStr">
        <is>
          <t>A 57422-2018</t>
        </is>
      </c>
      <c r="B399" s="1" t="n">
        <v>43404</v>
      </c>
      <c r="C399" s="1" t="n">
        <v>45156</v>
      </c>
      <c r="D399" t="inlineStr">
        <is>
          <t>STRÖMSUND</t>
        </is>
      </c>
      <c r="E399" t="inlineStr">
        <is>
          <t>Holmen skog AB</t>
        </is>
      </c>
      <c r="F399" t="n">
        <v>17.4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</row>
    <row r="400">
      <c r="A400" t="inlineStr">
        <is>
          <t>A 57622-2018</t>
        </is>
      </c>
      <c r="B400" s="1" t="n">
        <v>43404</v>
      </c>
      <c r="C400" s="1" t="n">
        <v>45156</v>
      </c>
      <c r="D400" t="inlineStr">
        <is>
          <t>STRÖMSUND</t>
        </is>
      </c>
      <c r="F400" t="n">
        <v>20.4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</row>
    <row r="401">
      <c r="A401" t="inlineStr">
        <is>
          <t>A 57644-2018</t>
        </is>
      </c>
      <c r="B401" s="1" t="n">
        <v>43404</v>
      </c>
      <c r="C401" s="1" t="n">
        <v>45156</v>
      </c>
      <c r="D401" t="inlineStr">
        <is>
          <t>STRÖMSUND</t>
        </is>
      </c>
      <c r="E401" t="inlineStr">
        <is>
          <t>SCA</t>
        </is>
      </c>
      <c r="F401" t="n">
        <v>2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</row>
    <row r="402">
      <c r="A402" t="inlineStr">
        <is>
          <t>A 57488-2018</t>
        </is>
      </c>
      <c r="B402" s="1" t="n">
        <v>43404</v>
      </c>
      <c r="C402" s="1" t="n">
        <v>45156</v>
      </c>
      <c r="D402" t="inlineStr">
        <is>
          <t>STRÖMSUND</t>
        </is>
      </c>
      <c r="E402" t="inlineStr">
        <is>
          <t>Holmen skog AB</t>
        </is>
      </c>
      <c r="F402" t="n">
        <v>2.7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</row>
    <row r="403">
      <c r="A403" t="inlineStr">
        <is>
          <t>A 57704-2018</t>
        </is>
      </c>
      <c r="B403" s="1" t="n">
        <v>43405</v>
      </c>
      <c r="C403" s="1" t="n">
        <v>45156</v>
      </c>
      <c r="D403" t="inlineStr">
        <is>
          <t>STRÖMSUND</t>
        </is>
      </c>
      <c r="E403" t="inlineStr">
        <is>
          <t>Holmen skog AB</t>
        </is>
      </c>
      <c r="F403" t="n">
        <v>2.2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</row>
    <row r="404">
      <c r="A404" t="inlineStr">
        <is>
          <t>A 57699-2018</t>
        </is>
      </c>
      <c r="B404" s="1" t="n">
        <v>43405</v>
      </c>
      <c r="C404" s="1" t="n">
        <v>45156</v>
      </c>
      <c r="D404" t="inlineStr">
        <is>
          <t>STRÖMSUND</t>
        </is>
      </c>
      <c r="E404" t="inlineStr">
        <is>
          <t>Holmen skog AB</t>
        </is>
      </c>
      <c r="F404" t="n">
        <v>2.2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</row>
    <row r="405">
      <c r="A405" t="inlineStr">
        <is>
          <t>A 58135-2018</t>
        </is>
      </c>
      <c r="B405" s="1" t="n">
        <v>43406</v>
      </c>
      <c r="C405" s="1" t="n">
        <v>45156</v>
      </c>
      <c r="D405" t="inlineStr">
        <is>
          <t>STRÖMSUND</t>
        </is>
      </c>
      <c r="E405" t="inlineStr">
        <is>
          <t>Holmen skog AB</t>
        </is>
      </c>
      <c r="F405" t="n">
        <v>4.6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</row>
    <row r="406">
      <c r="A406" t="inlineStr">
        <is>
          <t>A 58132-2018</t>
        </is>
      </c>
      <c r="B406" s="1" t="n">
        <v>43406</v>
      </c>
      <c r="C406" s="1" t="n">
        <v>45156</v>
      </c>
      <c r="D406" t="inlineStr">
        <is>
          <t>STRÖMSUND</t>
        </is>
      </c>
      <c r="E406" t="inlineStr">
        <is>
          <t>Holmen skog AB</t>
        </is>
      </c>
      <c r="F406" t="n">
        <v>4.6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</row>
    <row r="407">
      <c r="A407" t="inlineStr">
        <is>
          <t>A 58149-2018</t>
        </is>
      </c>
      <c r="B407" s="1" t="n">
        <v>43406</v>
      </c>
      <c r="C407" s="1" t="n">
        <v>45156</v>
      </c>
      <c r="D407" t="inlineStr">
        <is>
          <t>STRÖMSUND</t>
        </is>
      </c>
      <c r="F407" t="n">
        <v>6.5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</row>
    <row r="408">
      <c r="A408" t="inlineStr">
        <is>
          <t>A 58272-2018</t>
        </is>
      </c>
      <c r="B408" s="1" t="n">
        <v>43409</v>
      </c>
      <c r="C408" s="1" t="n">
        <v>45156</v>
      </c>
      <c r="D408" t="inlineStr">
        <is>
          <t>STRÖMSUND</t>
        </is>
      </c>
      <c r="E408" t="inlineStr">
        <is>
          <t>Holmen skog AB</t>
        </is>
      </c>
      <c r="F408" t="n">
        <v>11.8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</row>
    <row r="409">
      <c r="A409" t="inlineStr">
        <is>
          <t>A 58274-2018</t>
        </is>
      </c>
      <c r="B409" s="1" t="n">
        <v>43409</v>
      </c>
      <c r="C409" s="1" t="n">
        <v>45156</v>
      </c>
      <c r="D409" t="inlineStr">
        <is>
          <t>STRÖMSUND</t>
        </is>
      </c>
      <c r="E409" t="inlineStr">
        <is>
          <t>Holmen skog AB</t>
        </is>
      </c>
      <c r="F409" t="n">
        <v>11.8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</row>
    <row r="410">
      <c r="A410" t="inlineStr">
        <is>
          <t>A 58400-2018</t>
        </is>
      </c>
      <c r="B410" s="1" t="n">
        <v>43409</v>
      </c>
      <c r="C410" s="1" t="n">
        <v>45156</v>
      </c>
      <c r="D410" t="inlineStr">
        <is>
          <t>STRÖMSUND</t>
        </is>
      </c>
      <c r="E410" t="inlineStr">
        <is>
          <t>Holmen skog AB</t>
        </is>
      </c>
      <c r="F410" t="n">
        <v>12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</row>
    <row r="411">
      <c r="A411" t="inlineStr">
        <is>
          <t>A 58944-2018</t>
        </is>
      </c>
      <c r="B411" s="1" t="n">
        <v>43410</v>
      </c>
      <c r="C411" s="1" t="n">
        <v>45156</v>
      </c>
      <c r="D411" t="inlineStr">
        <is>
          <t>STRÖMSUND</t>
        </is>
      </c>
      <c r="E411" t="inlineStr">
        <is>
          <t>SCA</t>
        </is>
      </c>
      <c r="F411" t="n">
        <v>4.1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</row>
    <row r="412">
      <c r="A412" t="inlineStr">
        <is>
          <t>A 58934-2018</t>
        </is>
      </c>
      <c r="B412" s="1" t="n">
        <v>43410</v>
      </c>
      <c r="C412" s="1" t="n">
        <v>45156</v>
      </c>
      <c r="D412" t="inlineStr">
        <is>
          <t>STRÖMSUND</t>
        </is>
      </c>
      <c r="E412" t="inlineStr">
        <is>
          <t>SCA</t>
        </is>
      </c>
      <c r="F412" t="n">
        <v>3.1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</row>
    <row r="413">
      <c r="A413" t="inlineStr">
        <is>
          <t>A 58869-2018</t>
        </is>
      </c>
      <c r="B413" s="1" t="n">
        <v>43410</v>
      </c>
      <c r="C413" s="1" t="n">
        <v>45156</v>
      </c>
      <c r="D413" t="inlineStr">
        <is>
          <t>STRÖMSUND</t>
        </is>
      </c>
      <c r="E413" t="inlineStr">
        <is>
          <t>Holmen skog AB</t>
        </is>
      </c>
      <c r="F413" t="n">
        <v>8.4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</row>
    <row r="414">
      <c r="A414" t="inlineStr">
        <is>
          <t>A 58938-2018</t>
        </is>
      </c>
      <c r="B414" s="1" t="n">
        <v>43410</v>
      </c>
      <c r="C414" s="1" t="n">
        <v>45156</v>
      </c>
      <c r="D414" t="inlineStr">
        <is>
          <t>STRÖMSUND</t>
        </is>
      </c>
      <c r="E414" t="inlineStr">
        <is>
          <t>SCA</t>
        </is>
      </c>
      <c r="F414" t="n">
        <v>3.5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</row>
    <row r="415">
      <c r="A415" t="inlineStr">
        <is>
          <t>A 59297-2018</t>
        </is>
      </c>
      <c r="B415" s="1" t="n">
        <v>43411</v>
      </c>
      <c r="C415" s="1" t="n">
        <v>45156</v>
      </c>
      <c r="D415" t="inlineStr">
        <is>
          <t>STRÖMSUND</t>
        </is>
      </c>
      <c r="E415" t="inlineStr">
        <is>
          <t>Holmen skog AB</t>
        </is>
      </c>
      <c r="F415" t="n">
        <v>6.2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</row>
    <row r="416">
      <c r="A416" t="inlineStr">
        <is>
          <t>A 59983-2018</t>
        </is>
      </c>
      <c r="B416" s="1" t="n">
        <v>43411</v>
      </c>
      <c r="C416" s="1" t="n">
        <v>45156</v>
      </c>
      <c r="D416" t="inlineStr">
        <is>
          <t>STRÖMSUND</t>
        </is>
      </c>
      <c r="E416" t="inlineStr">
        <is>
          <t>SCA</t>
        </is>
      </c>
      <c r="F416" t="n">
        <v>2.5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</row>
    <row r="417">
      <c r="A417" t="inlineStr">
        <is>
          <t>A 59999-2018</t>
        </is>
      </c>
      <c r="B417" s="1" t="n">
        <v>43411</v>
      </c>
      <c r="C417" s="1" t="n">
        <v>45156</v>
      </c>
      <c r="D417" t="inlineStr">
        <is>
          <t>STRÖMSUND</t>
        </is>
      </c>
      <c r="E417" t="inlineStr">
        <is>
          <t>SCA</t>
        </is>
      </c>
      <c r="F417" t="n">
        <v>1.4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</row>
    <row r="418">
      <c r="A418" t="inlineStr">
        <is>
          <t>A 59296-2018</t>
        </is>
      </c>
      <c r="B418" s="1" t="n">
        <v>43411</v>
      </c>
      <c r="C418" s="1" t="n">
        <v>45156</v>
      </c>
      <c r="D418" t="inlineStr">
        <is>
          <t>STRÖMSUND</t>
        </is>
      </c>
      <c r="E418" t="inlineStr">
        <is>
          <t>Holmen skog AB</t>
        </is>
      </c>
      <c r="F418" t="n">
        <v>6.2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</row>
    <row r="419">
      <c r="A419" t="inlineStr">
        <is>
          <t>A 59982-2018</t>
        </is>
      </c>
      <c r="B419" s="1" t="n">
        <v>43411</v>
      </c>
      <c r="C419" s="1" t="n">
        <v>45156</v>
      </c>
      <c r="D419" t="inlineStr">
        <is>
          <t>STRÖMSUND</t>
        </is>
      </c>
      <c r="E419" t="inlineStr">
        <is>
          <t>SCA</t>
        </is>
      </c>
      <c r="F419" t="n">
        <v>1.9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</row>
    <row r="420">
      <c r="A420" t="inlineStr">
        <is>
          <t>A 59993-2018</t>
        </is>
      </c>
      <c r="B420" s="1" t="n">
        <v>43411</v>
      </c>
      <c r="C420" s="1" t="n">
        <v>45156</v>
      </c>
      <c r="D420" t="inlineStr">
        <is>
          <t>STRÖMSUND</t>
        </is>
      </c>
      <c r="E420" t="inlineStr">
        <is>
          <t>SCA</t>
        </is>
      </c>
      <c r="F420" t="n">
        <v>7.6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</row>
    <row r="421">
      <c r="A421" t="inlineStr">
        <is>
          <t>A 59986-2018</t>
        </is>
      </c>
      <c r="B421" s="1" t="n">
        <v>43411</v>
      </c>
      <c r="C421" s="1" t="n">
        <v>45156</v>
      </c>
      <c r="D421" t="inlineStr">
        <is>
          <t>STRÖMSUND</t>
        </is>
      </c>
      <c r="E421" t="inlineStr">
        <is>
          <t>SCA</t>
        </is>
      </c>
      <c r="F421" t="n">
        <v>3.1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</row>
    <row r="422">
      <c r="A422" t="inlineStr">
        <is>
          <t>A 59997-2018</t>
        </is>
      </c>
      <c r="B422" s="1" t="n">
        <v>43411</v>
      </c>
      <c r="C422" s="1" t="n">
        <v>45156</v>
      </c>
      <c r="D422" t="inlineStr">
        <is>
          <t>STRÖMSUND</t>
        </is>
      </c>
      <c r="E422" t="inlineStr">
        <is>
          <t>SCA</t>
        </is>
      </c>
      <c r="F422" t="n">
        <v>2.1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</row>
    <row r="423">
      <c r="A423" t="inlineStr">
        <is>
          <t>A 60001-2018</t>
        </is>
      </c>
      <c r="B423" s="1" t="n">
        <v>43411</v>
      </c>
      <c r="C423" s="1" t="n">
        <v>45156</v>
      </c>
      <c r="D423" t="inlineStr">
        <is>
          <t>STRÖMSUND</t>
        </is>
      </c>
      <c r="E423" t="inlineStr">
        <is>
          <t>SCA</t>
        </is>
      </c>
      <c r="F423" t="n">
        <v>2.5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</row>
    <row r="424">
      <c r="A424" t="inlineStr">
        <is>
          <t>A 59996-2018</t>
        </is>
      </c>
      <c r="B424" s="1" t="n">
        <v>43411</v>
      </c>
      <c r="C424" s="1" t="n">
        <v>45156</v>
      </c>
      <c r="D424" t="inlineStr">
        <is>
          <t>STRÖMSUND</t>
        </is>
      </c>
      <c r="E424" t="inlineStr">
        <is>
          <t>SCA</t>
        </is>
      </c>
      <c r="F424" t="n">
        <v>3.4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</row>
    <row r="425">
      <c r="A425" t="inlineStr">
        <is>
          <t>A 60000-2018</t>
        </is>
      </c>
      <c r="B425" s="1" t="n">
        <v>43411</v>
      </c>
      <c r="C425" s="1" t="n">
        <v>45156</v>
      </c>
      <c r="D425" t="inlineStr">
        <is>
          <t>STRÖMSUND</t>
        </is>
      </c>
      <c r="E425" t="inlineStr">
        <is>
          <t>SCA</t>
        </is>
      </c>
      <c r="F425" t="n">
        <v>0.9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</row>
    <row r="426">
      <c r="A426" t="inlineStr">
        <is>
          <t>A 60210-2018</t>
        </is>
      </c>
      <c r="B426" s="1" t="n">
        <v>43412</v>
      </c>
      <c r="C426" s="1" t="n">
        <v>45156</v>
      </c>
      <c r="D426" t="inlineStr">
        <is>
          <t>STRÖMSUND</t>
        </is>
      </c>
      <c r="F426" t="n">
        <v>1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</row>
    <row r="427">
      <c r="A427" t="inlineStr">
        <is>
          <t>A 60131-2018</t>
        </is>
      </c>
      <c r="B427" s="1" t="n">
        <v>43412</v>
      </c>
      <c r="C427" s="1" t="n">
        <v>45156</v>
      </c>
      <c r="D427" t="inlineStr">
        <is>
          <t>STRÖMSUND</t>
        </is>
      </c>
      <c r="F427" t="n">
        <v>3.6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</row>
    <row r="428">
      <c r="A428" t="inlineStr">
        <is>
          <t>A 60205-2018</t>
        </is>
      </c>
      <c r="B428" s="1" t="n">
        <v>43412</v>
      </c>
      <c r="C428" s="1" t="n">
        <v>45156</v>
      </c>
      <c r="D428" t="inlineStr">
        <is>
          <t>STRÖMSUND</t>
        </is>
      </c>
      <c r="F428" t="n">
        <v>1.5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</row>
    <row r="429">
      <c r="A429" t="inlineStr">
        <is>
          <t>A 62513-2018</t>
        </is>
      </c>
      <c r="B429" s="1" t="n">
        <v>43413</v>
      </c>
      <c r="C429" s="1" t="n">
        <v>45156</v>
      </c>
      <c r="D429" t="inlineStr">
        <is>
          <t>STRÖMSUND</t>
        </is>
      </c>
      <c r="E429" t="inlineStr">
        <is>
          <t>SCA</t>
        </is>
      </c>
      <c r="F429" t="n">
        <v>7.3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</row>
    <row r="430">
      <c r="A430" t="inlineStr">
        <is>
          <t>A 62521-2018</t>
        </is>
      </c>
      <c r="B430" s="1" t="n">
        <v>43413</v>
      </c>
      <c r="C430" s="1" t="n">
        <v>45156</v>
      </c>
      <c r="D430" t="inlineStr">
        <is>
          <t>STRÖMSUND</t>
        </is>
      </c>
      <c r="E430" t="inlineStr">
        <is>
          <t>SCA</t>
        </is>
      </c>
      <c r="F430" t="n">
        <v>7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</row>
    <row r="431">
      <c r="A431" t="inlineStr">
        <is>
          <t>A 62638-2018</t>
        </is>
      </c>
      <c r="B431" s="1" t="n">
        <v>43413</v>
      </c>
      <c r="C431" s="1" t="n">
        <v>45156</v>
      </c>
      <c r="D431" t="inlineStr">
        <is>
          <t>STRÖMSUND</t>
        </is>
      </c>
      <c r="E431" t="inlineStr">
        <is>
          <t>SCA</t>
        </is>
      </c>
      <c r="F431" t="n">
        <v>3.1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</row>
    <row r="432">
      <c r="A432" t="inlineStr">
        <is>
          <t>A 62515-2018</t>
        </is>
      </c>
      <c r="B432" s="1" t="n">
        <v>43413</v>
      </c>
      <c r="C432" s="1" t="n">
        <v>45156</v>
      </c>
      <c r="D432" t="inlineStr">
        <is>
          <t>STRÖMSUND</t>
        </is>
      </c>
      <c r="E432" t="inlineStr">
        <is>
          <t>SCA</t>
        </is>
      </c>
      <c r="F432" t="n">
        <v>2.5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</row>
    <row r="433">
      <c r="A433" t="inlineStr">
        <is>
          <t>A 62640-2018</t>
        </is>
      </c>
      <c r="B433" s="1" t="n">
        <v>43413</v>
      </c>
      <c r="C433" s="1" t="n">
        <v>45156</v>
      </c>
      <c r="D433" t="inlineStr">
        <is>
          <t>STRÖMSUND</t>
        </is>
      </c>
      <c r="E433" t="inlineStr">
        <is>
          <t>SCA</t>
        </is>
      </c>
      <c r="F433" t="n">
        <v>1.9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</row>
    <row r="434">
      <c r="A434" t="inlineStr">
        <is>
          <t>A 62512-2018</t>
        </is>
      </c>
      <c r="B434" s="1" t="n">
        <v>43413</v>
      </c>
      <c r="C434" s="1" t="n">
        <v>45156</v>
      </c>
      <c r="D434" t="inlineStr">
        <is>
          <t>STRÖMSUND</t>
        </is>
      </c>
      <c r="E434" t="inlineStr">
        <is>
          <t>SCA</t>
        </is>
      </c>
      <c r="F434" t="n">
        <v>10.4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</row>
    <row r="435">
      <c r="A435" t="inlineStr">
        <is>
          <t>A 62647-2018</t>
        </is>
      </c>
      <c r="B435" s="1" t="n">
        <v>43413</v>
      </c>
      <c r="C435" s="1" t="n">
        <v>45156</v>
      </c>
      <c r="D435" t="inlineStr">
        <is>
          <t>STRÖMSUND</t>
        </is>
      </c>
      <c r="E435" t="inlineStr">
        <is>
          <t>SCA</t>
        </is>
      </c>
      <c r="F435" t="n">
        <v>9.4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</row>
    <row r="436">
      <c r="A436" t="inlineStr">
        <is>
          <t>A 62639-2018</t>
        </is>
      </c>
      <c r="B436" s="1" t="n">
        <v>43413</v>
      </c>
      <c r="C436" s="1" t="n">
        <v>45156</v>
      </c>
      <c r="D436" t="inlineStr">
        <is>
          <t>STRÖMSUND</t>
        </is>
      </c>
      <c r="E436" t="inlineStr">
        <is>
          <t>SCA</t>
        </is>
      </c>
      <c r="F436" t="n">
        <v>2.1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</row>
    <row r="437">
      <c r="A437" t="inlineStr">
        <is>
          <t>A 62498-2018</t>
        </is>
      </c>
      <c r="B437" s="1" t="n">
        <v>43414</v>
      </c>
      <c r="C437" s="1" t="n">
        <v>45156</v>
      </c>
      <c r="D437" t="inlineStr">
        <is>
          <t>STRÖMSUND</t>
        </is>
      </c>
      <c r="F437" t="n">
        <v>6.9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</row>
    <row r="438">
      <c r="A438" t="inlineStr">
        <is>
          <t>A 59178-2018</t>
        </is>
      </c>
      <c r="B438" s="1" t="n">
        <v>43417</v>
      </c>
      <c r="C438" s="1" t="n">
        <v>45156</v>
      </c>
      <c r="D438" t="inlineStr">
        <is>
          <t>STRÖMSUND</t>
        </is>
      </c>
      <c r="E438" t="inlineStr">
        <is>
          <t>Holmen skog AB</t>
        </is>
      </c>
      <c r="F438" t="n">
        <v>14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</row>
    <row r="439">
      <c r="A439" t="inlineStr">
        <is>
          <t>A 62807-2018</t>
        </is>
      </c>
      <c r="B439" s="1" t="n">
        <v>43417</v>
      </c>
      <c r="C439" s="1" t="n">
        <v>45156</v>
      </c>
      <c r="D439" t="inlineStr">
        <is>
          <t>STRÖMSUND</t>
        </is>
      </c>
      <c r="F439" t="n">
        <v>0.9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</row>
    <row r="440">
      <c r="A440" t="inlineStr">
        <is>
          <t>A 59916-2018</t>
        </is>
      </c>
      <c r="B440" s="1" t="n">
        <v>43419</v>
      </c>
      <c r="C440" s="1" t="n">
        <v>45156</v>
      </c>
      <c r="D440" t="inlineStr">
        <is>
          <t>STRÖMSUND</t>
        </is>
      </c>
      <c r="E440" t="inlineStr">
        <is>
          <t>SCA</t>
        </is>
      </c>
      <c r="F440" t="n">
        <v>3.8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</row>
    <row r="441">
      <c r="A441" t="inlineStr">
        <is>
          <t>A 59923-2018</t>
        </is>
      </c>
      <c r="B441" s="1" t="n">
        <v>43419</v>
      </c>
      <c r="C441" s="1" t="n">
        <v>45156</v>
      </c>
      <c r="D441" t="inlineStr">
        <is>
          <t>STRÖMSUND</t>
        </is>
      </c>
      <c r="E441" t="inlineStr">
        <is>
          <t>SCA</t>
        </is>
      </c>
      <c r="F441" t="n">
        <v>12.4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</row>
    <row r="442">
      <c r="A442" t="inlineStr">
        <is>
          <t>A 59931-2018</t>
        </is>
      </c>
      <c r="B442" s="1" t="n">
        <v>43419</v>
      </c>
      <c r="C442" s="1" t="n">
        <v>45156</v>
      </c>
      <c r="D442" t="inlineStr">
        <is>
          <t>STRÖMSUND</t>
        </is>
      </c>
      <c r="E442" t="inlineStr">
        <is>
          <t>SCA</t>
        </is>
      </c>
      <c r="F442" t="n">
        <v>0.7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</row>
    <row r="443">
      <c r="A443" t="inlineStr">
        <is>
          <t>A 59918-2018</t>
        </is>
      </c>
      <c r="B443" s="1" t="n">
        <v>43419</v>
      </c>
      <c r="C443" s="1" t="n">
        <v>45156</v>
      </c>
      <c r="D443" t="inlineStr">
        <is>
          <t>STRÖMSUND</t>
        </is>
      </c>
      <c r="E443" t="inlineStr">
        <is>
          <t>SCA</t>
        </is>
      </c>
      <c r="F443" t="n">
        <v>6.9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</row>
    <row r="444">
      <c r="A444" t="inlineStr">
        <is>
          <t>A 59927-2018</t>
        </is>
      </c>
      <c r="B444" s="1" t="n">
        <v>43419</v>
      </c>
      <c r="C444" s="1" t="n">
        <v>45156</v>
      </c>
      <c r="D444" t="inlineStr">
        <is>
          <t>STRÖMSUND</t>
        </is>
      </c>
      <c r="E444" t="inlineStr">
        <is>
          <t>SCA</t>
        </is>
      </c>
      <c r="F444" t="n">
        <v>5.5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</row>
    <row r="445">
      <c r="A445" t="inlineStr">
        <is>
          <t>A 59914-2018</t>
        </is>
      </c>
      <c r="B445" s="1" t="n">
        <v>43419</v>
      </c>
      <c r="C445" s="1" t="n">
        <v>45156</v>
      </c>
      <c r="D445" t="inlineStr">
        <is>
          <t>STRÖMSUND</t>
        </is>
      </c>
      <c r="E445" t="inlineStr">
        <is>
          <t>SCA</t>
        </is>
      </c>
      <c r="F445" t="n">
        <v>14.2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</row>
    <row r="446">
      <c r="A446" t="inlineStr">
        <is>
          <t>A 59921-2018</t>
        </is>
      </c>
      <c r="B446" s="1" t="n">
        <v>43419</v>
      </c>
      <c r="C446" s="1" t="n">
        <v>45156</v>
      </c>
      <c r="D446" t="inlineStr">
        <is>
          <t>STRÖMSUND</t>
        </is>
      </c>
      <c r="E446" t="inlineStr">
        <is>
          <t>SCA</t>
        </is>
      </c>
      <c r="F446" t="n">
        <v>5.7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</row>
    <row r="447">
      <c r="A447" t="inlineStr">
        <is>
          <t>A 59929-2018</t>
        </is>
      </c>
      <c r="B447" s="1" t="n">
        <v>43419</v>
      </c>
      <c r="C447" s="1" t="n">
        <v>45156</v>
      </c>
      <c r="D447" t="inlineStr">
        <is>
          <t>STRÖMSUND</t>
        </is>
      </c>
      <c r="E447" t="inlineStr">
        <is>
          <t>SCA</t>
        </is>
      </c>
      <c r="F447" t="n">
        <v>5.3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</row>
    <row r="448">
      <c r="A448" t="inlineStr">
        <is>
          <t>A 59919-2018</t>
        </is>
      </c>
      <c r="B448" s="1" t="n">
        <v>43419</v>
      </c>
      <c r="C448" s="1" t="n">
        <v>45156</v>
      </c>
      <c r="D448" t="inlineStr">
        <is>
          <t>STRÖMSUND</t>
        </is>
      </c>
      <c r="E448" t="inlineStr">
        <is>
          <t>SCA</t>
        </is>
      </c>
      <c r="F448" t="n">
        <v>3.4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</row>
    <row r="449">
      <c r="A449" t="inlineStr">
        <is>
          <t>A 59928-2018</t>
        </is>
      </c>
      <c r="B449" s="1" t="n">
        <v>43419</v>
      </c>
      <c r="C449" s="1" t="n">
        <v>45156</v>
      </c>
      <c r="D449" t="inlineStr">
        <is>
          <t>STRÖMSUND</t>
        </is>
      </c>
      <c r="E449" t="inlineStr">
        <is>
          <t>SCA</t>
        </is>
      </c>
      <c r="F449" t="n">
        <v>3.8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</row>
    <row r="450">
      <c r="A450" t="inlineStr">
        <is>
          <t>A 61282-2018</t>
        </is>
      </c>
      <c r="B450" s="1" t="n">
        <v>43423</v>
      </c>
      <c r="C450" s="1" t="n">
        <v>45156</v>
      </c>
      <c r="D450" t="inlineStr">
        <is>
          <t>STRÖMSUND</t>
        </is>
      </c>
      <c r="F450" t="n">
        <v>1.5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</row>
    <row r="451">
      <c r="A451" t="inlineStr">
        <is>
          <t>A 61651-2018</t>
        </is>
      </c>
      <c r="B451" s="1" t="n">
        <v>43424</v>
      </c>
      <c r="C451" s="1" t="n">
        <v>45156</v>
      </c>
      <c r="D451" t="inlineStr">
        <is>
          <t>STRÖMSUND</t>
        </is>
      </c>
      <c r="E451" t="inlineStr">
        <is>
          <t>SCA</t>
        </is>
      </c>
      <c r="F451" t="n">
        <v>10.5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</row>
    <row r="452">
      <c r="A452" t="inlineStr">
        <is>
          <t>A 61652-2018</t>
        </is>
      </c>
      <c r="B452" s="1" t="n">
        <v>43424</v>
      </c>
      <c r="C452" s="1" t="n">
        <v>45156</v>
      </c>
      <c r="D452" t="inlineStr">
        <is>
          <t>STRÖMSUND</t>
        </is>
      </c>
      <c r="E452" t="inlineStr">
        <is>
          <t>SCA</t>
        </is>
      </c>
      <c r="F452" t="n">
        <v>2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</row>
    <row r="453">
      <c r="A453" t="inlineStr">
        <is>
          <t>A 63274-2018</t>
        </is>
      </c>
      <c r="B453" s="1" t="n">
        <v>43426</v>
      </c>
      <c r="C453" s="1" t="n">
        <v>45156</v>
      </c>
      <c r="D453" t="inlineStr">
        <is>
          <t>STRÖMSUND</t>
        </is>
      </c>
      <c r="E453" t="inlineStr">
        <is>
          <t>SCA</t>
        </is>
      </c>
      <c r="F453" t="n">
        <v>13.6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</row>
    <row r="454">
      <c r="A454" t="inlineStr">
        <is>
          <t>A 62946-2018</t>
        </is>
      </c>
      <c r="B454" s="1" t="n">
        <v>43426</v>
      </c>
      <c r="C454" s="1" t="n">
        <v>45156</v>
      </c>
      <c r="D454" t="inlineStr">
        <is>
          <t>STRÖMSUND</t>
        </is>
      </c>
      <c r="F454" t="n">
        <v>9.800000000000001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</row>
    <row r="455">
      <c r="A455" t="inlineStr">
        <is>
          <t>A 63275-2018</t>
        </is>
      </c>
      <c r="B455" s="1" t="n">
        <v>43426</v>
      </c>
      <c r="C455" s="1" t="n">
        <v>45156</v>
      </c>
      <c r="D455" t="inlineStr">
        <is>
          <t>STRÖMSUND</t>
        </is>
      </c>
      <c r="E455" t="inlineStr">
        <is>
          <t>SCA</t>
        </is>
      </c>
      <c r="F455" t="n">
        <v>22.7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</row>
    <row r="456">
      <c r="A456" t="inlineStr">
        <is>
          <t>A 63277-2018</t>
        </is>
      </c>
      <c r="B456" s="1" t="n">
        <v>43426</v>
      </c>
      <c r="C456" s="1" t="n">
        <v>45156</v>
      </c>
      <c r="D456" t="inlineStr">
        <is>
          <t>STRÖMSUND</t>
        </is>
      </c>
      <c r="E456" t="inlineStr">
        <is>
          <t>SCA</t>
        </is>
      </c>
      <c r="F456" t="n">
        <v>10.3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</row>
    <row r="457">
      <c r="A457" t="inlineStr">
        <is>
          <t>A 63276-2018</t>
        </is>
      </c>
      <c r="B457" s="1" t="n">
        <v>43426</v>
      </c>
      <c r="C457" s="1" t="n">
        <v>45156</v>
      </c>
      <c r="D457" t="inlineStr">
        <is>
          <t>STRÖMSUND</t>
        </is>
      </c>
      <c r="E457" t="inlineStr">
        <is>
          <t>SCA</t>
        </is>
      </c>
      <c r="F457" t="n">
        <v>10.1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</row>
    <row r="458">
      <c r="A458" t="inlineStr">
        <is>
          <t>A 63635-2018</t>
        </is>
      </c>
      <c r="B458" s="1" t="n">
        <v>43427</v>
      </c>
      <c r="C458" s="1" t="n">
        <v>45156</v>
      </c>
      <c r="D458" t="inlineStr">
        <is>
          <t>STRÖMSUND</t>
        </is>
      </c>
      <c r="F458" t="n">
        <v>9.4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</row>
    <row r="459">
      <c r="A459" t="inlineStr">
        <is>
          <t>A 66990-2018</t>
        </is>
      </c>
      <c r="B459" s="1" t="n">
        <v>43431</v>
      </c>
      <c r="C459" s="1" t="n">
        <v>45156</v>
      </c>
      <c r="D459" t="inlineStr">
        <is>
          <t>STRÖMSUND</t>
        </is>
      </c>
      <c r="F459" t="n">
        <v>2.8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</row>
    <row r="460">
      <c r="A460" t="inlineStr">
        <is>
          <t>A 64917-2018</t>
        </is>
      </c>
      <c r="B460" s="1" t="n">
        <v>43431</v>
      </c>
      <c r="C460" s="1" t="n">
        <v>45156</v>
      </c>
      <c r="D460" t="inlineStr">
        <is>
          <t>STRÖMSUND</t>
        </is>
      </c>
      <c r="E460" t="inlineStr">
        <is>
          <t>SCA</t>
        </is>
      </c>
      <c r="F460" t="n">
        <v>3.6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</row>
    <row r="461">
      <c r="A461" t="inlineStr">
        <is>
          <t>A 66982-2018</t>
        </is>
      </c>
      <c r="B461" s="1" t="n">
        <v>43431</v>
      </c>
      <c r="C461" s="1" t="n">
        <v>45156</v>
      </c>
      <c r="D461" t="inlineStr">
        <is>
          <t>STRÖMSUND</t>
        </is>
      </c>
      <c r="F461" t="n">
        <v>8.6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</row>
    <row r="462">
      <c r="A462" t="inlineStr">
        <is>
          <t>A 66929-2018</t>
        </is>
      </c>
      <c r="B462" s="1" t="n">
        <v>43431</v>
      </c>
      <c r="C462" s="1" t="n">
        <v>45156</v>
      </c>
      <c r="D462" t="inlineStr">
        <is>
          <t>STRÖMSUND</t>
        </is>
      </c>
      <c r="F462" t="n">
        <v>5.1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</row>
    <row r="463">
      <c r="A463" t="inlineStr">
        <is>
          <t>A 64918-2018</t>
        </is>
      </c>
      <c r="B463" s="1" t="n">
        <v>43431</v>
      </c>
      <c r="C463" s="1" t="n">
        <v>45156</v>
      </c>
      <c r="D463" t="inlineStr">
        <is>
          <t>STRÖMSUND</t>
        </is>
      </c>
      <c r="E463" t="inlineStr">
        <is>
          <t>SCA</t>
        </is>
      </c>
      <c r="F463" t="n">
        <v>5.8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</row>
    <row r="464">
      <c r="A464" t="inlineStr">
        <is>
          <t>A 64929-2018</t>
        </is>
      </c>
      <c r="B464" s="1" t="n">
        <v>43431</v>
      </c>
      <c r="C464" s="1" t="n">
        <v>45156</v>
      </c>
      <c r="D464" t="inlineStr">
        <is>
          <t>STRÖMSUND</t>
        </is>
      </c>
      <c r="F464" t="n">
        <v>2.8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</row>
    <row r="465">
      <c r="A465" t="inlineStr">
        <is>
          <t>A 65319-2018</t>
        </is>
      </c>
      <c r="B465" s="1" t="n">
        <v>43432</v>
      </c>
      <c r="C465" s="1" t="n">
        <v>45156</v>
      </c>
      <c r="D465" t="inlineStr">
        <is>
          <t>STRÖMSUND</t>
        </is>
      </c>
      <c r="F465" t="n">
        <v>2.2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</row>
    <row r="466">
      <c r="A466" t="inlineStr">
        <is>
          <t>A 65331-2018</t>
        </is>
      </c>
      <c r="B466" s="1" t="n">
        <v>43432</v>
      </c>
      <c r="C466" s="1" t="n">
        <v>45156</v>
      </c>
      <c r="D466" t="inlineStr">
        <is>
          <t>STRÖMSUND</t>
        </is>
      </c>
      <c r="F466" t="n">
        <v>26.3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</row>
    <row r="467">
      <c r="A467" t="inlineStr">
        <is>
          <t>A 66199-2018</t>
        </is>
      </c>
      <c r="B467" s="1" t="n">
        <v>43434</v>
      </c>
      <c r="C467" s="1" t="n">
        <v>45156</v>
      </c>
      <c r="D467" t="inlineStr">
        <is>
          <t>STRÖMSUND</t>
        </is>
      </c>
      <c r="F467" t="n">
        <v>0.9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</row>
    <row r="468">
      <c r="A468" t="inlineStr">
        <is>
          <t>A 66202-2018</t>
        </is>
      </c>
      <c r="B468" s="1" t="n">
        <v>43434</v>
      </c>
      <c r="C468" s="1" t="n">
        <v>45156</v>
      </c>
      <c r="D468" t="inlineStr">
        <is>
          <t>STRÖMSUND</t>
        </is>
      </c>
      <c r="E468" t="inlineStr">
        <is>
          <t>SCA</t>
        </is>
      </c>
      <c r="F468" t="n">
        <v>0.6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</row>
    <row r="469">
      <c r="A469" t="inlineStr">
        <is>
          <t>A 67163-2018</t>
        </is>
      </c>
      <c r="B469" s="1" t="n">
        <v>43438</v>
      </c>
      <c r="C469" s="1" t="n">
        <v>45156</v>
      </c>
      <c r="D469" t="inlineStr">
        <is>
          <t>STRÖMSUND</t>
        </is>
      </c>
      <c r="F469" t="n">
        <v>11.6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</row>
    <row r="470">
      <c r="A470" t="inlineStr">
        <is>
          <t>A 67197-2018</t>
        </is>
      </c>
      <c r="B470" s="1" t="n">
        <v>43438</v>
      </c>
      <c r="C470" s="1" t="n">
        <v>45156</v>
      </c>
      <c r="D470" t="inlineStr">
        <is>
          <t>STRÖMSUND</t>
        </is>
      </c>
      <c r="E470" t="inlineStr">
        <is>
          <t>SCA</t>
        </is>
      </c>
      <c r="F470" t="n">
        <v>5.7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</row>
    <row r="471">
      <c r="A471" t="inlineStr">
        <is>
          <t>A 67994-2018</t>
        </is>
      </c>
      <c r="B471" s="1" t="n">
        <v>43440</v>
      </c>
      <c r="C471" s="1" t="n">
        <v>45156</v>
      </c>
      <c r="D471" t="inlineStr">
        <is>
          <t>STRÖMSUND</t>
        </is>
      </c>
      <c r="F471" t="n">
        <v>1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</row>
    <row r="472">
      <c r="A472" t="inlineStr">
        <is>
          <t>A 69597-2018</t>
        </is>
      </c>
      <c r="B472" s="1" t="n">
        <v>43446</v>
      </c>
      <c r="C472" s="1" t="n">
        <v>45156</v>
      </c>
      <c r="D472" t="inlineStr">
        <is>
          <t>STRÖMSUND</t>
        </is>
      </c>
      <c r="F472" t="n">
        <v>29.9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</row>
    <row r="473">
      <c r="A473" t="inlineStr">
        <is>
          <t>A 69600-2018</t>
        </is>
      </c>
      <c r="B473" s="1" t="n">
        <v>43446</v>
      </c>
      <c r="C473" s="1" t="n">
        <v>45156</v>
      </c>
      <c r="D473" t="inlineStr">
        <is>
          <t>STRÖMSUND</t>
        </is>
      </c>
      <c r="E473" t="inlineStr">
        <is>
          <t>SCA</t>
        </is>
      </c>
      <c r="F473" t="n">
        <v>3.6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</row>
    <row r="474">
      <c r="A474" t="inlineStr">
        <is>
          <t>A 70313-2018</t>
        </is>
      </c>
      <c r="B474" s="1" t="n">
        <v>43446</v>
      </c>
      <c r="C474" s="1" t="n">
        <v>45156</v>
      </c>
      <c r="D474" t="inlineStr">
        <is>
          <t>STRÖMSUND</t>
        </is>
      </c>
      <c r="F474" t="n">
        <v>1.8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</row>
    <row r="475">
      <c r="A475" t="inlineStr">
        <is>
          <t>A 69598-2018</t>
        </is>
      </c>
      <c r="B475" s="1" t="n">
        <v>43446</v>
      </c>
      <c r="C475" s="1" t="n">
        <v>45156</v>
      </c>
      <c r="D475" t="inlineStr">
        <is>
          <t>STRÖMSUND</t>
        </is>
      </c>
      <c r="F475" t="n">
        <v>16.1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</row>
    <row r="476">
      <c r="A476" t="inlineStr">
        <is>
          <t>A 69965-2018</t>
        </is>
      </c>
      <c r="B476" s="1" t="n">
        <v>43447</v>
      </c>
      <c r="C476" s="1" t="n">
        <v>45156</v>
      </c>
      <c r="D476" t="inlineStr">
        <is>
          <t>STRÖMSUND</t>
        </is>
      </c>
      <c r="F476" t="n">
        <v>1.1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</row>
    <row r="477">
      <c r="A477" t="inlineStr">
        <is>
          <t>A 69788-2018</t>
        </is>
      </c>
      <c r="B477" s="1" t="n">
        <v>43447</v>
      </c>
      <c r="C477" s="1" t="n">
        <v>45156</v>
      </c>
      <c r="D477" t="inlineStr">
        <is>
          <t>STRÖMSUND</t>
        </is>
      </c>
      <c r="F477" t="n">
        <v>6.1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</row>
    <row r="478">
      <c r="A478" t="inlineStr">
        <is>
          <t>A 70245-2018</t>
        </is>
      </c>
      <c r="B478" s="1" t="n">
        <v>43448</v>
      </c>
      <c r="C478" s="1" t="n">
        <v>45156</v>
      </c>
      <c r="D478" t="inlineStr">
        <is>
          <t>STRÖMSUND</t>
        </is>
      </c>
      <c r="F478" t="n">
        <v>0.6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</row>
    <row r="479">
      <c r="A479" t="inlineStr">
        <is>
          <t>A 71163-2018</t>
        </is>
      </c>
      <c r="B479" s="1" t="n">
        <v>43452</v>
      </c>
      <c r="C479" s="1" t="n">
        <v>45156</v>
      </c>
      <c r="D479" t="inlineStr">
        <is>
          <t>STRÖMSUND</t>
        </is>
      </c>
      <c r="F479" t="n">
        <v>5.4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</row>
    <row r="480">
      <c r="A480" t="inlineStr">
        <is>
          <t>A 71162-2018</t>
        </is>
      </c>
      <c r="B480" s="1" t="n">
        <v>43452</v>
      </c>
      <c r="C480" s="1" t="n">
        <v>45156</v>
      </c>
      <c r="D480" t="inlineStr">
        <is>
          <t>STRÖMSUND</t>
        </is>
      </c>
      <c r="F480" t="n">
        <v>1.3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</row>
    <row r="481">
      <c r="A481" t="inlineStr">
        <is>
          <t>A 71149-2018</t>
        </is>
      </c>
      <c r="B481" s="1" t="n">
        <v>43452</v>
      </c>
      <c r="C481" s="1" t="n">
        <v>45156</v>
      </c>
      <c r="D481" t="inlineStr">
        <is>
          <t>STRÖMSUND</t>
        </is>
      </c>
      <c r="E481" t="inlineStr">
        <is>
          <t>SCA</t>
        </is>
      </c>
      <c r="F481" t="n">
        <v>1.3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</row>
    <row r="482">
      <c r="A482" t="inlineStr">
        <is>
          <t>A 608-2019</t>
        </is>
      </c>
      <c r="B482" s="1" t="n">
        <v>43455</v>
      </c>
      <c r="C482" s="1" t="n">
        <v>45156</v>
      </c>
      <c r="D482" t="inlineStr">
        <is>
          <t>STRÖMSUND</t>
        </is>
      </c>
      <c r="F482" t="n">
        <v>3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</row>
    <row r="483">
      <c r="A483" t="inlineStr">
        <is>
          <t>A 934-2019</t>
        </is>
      </c>
      <c r="B483" s="1" t="n">
        <v>43455</v>
      </c>
      <c r="C483" s="1" t="n">
        <v>45156</v>
      </c>
      <c r="D483" t="inlineStr">
        <is>
          <t>STRÖMSUND</t>
        </is>
      </c>
      <c r="F483" t="n">
        <v>3.2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</row>
    <row r="484">
      <c r="A484" t="inlineStr">
        <is>
          <t>A 72414-2018</t>
        </is>
      </c>
      <c r="B484" s="1" t="n">
        <v>43461</v>
      </c>
      <c r="C484" s="1" t="n">
        <v>45156</v>
      </c>
      <c r="D484" t="inlineStr">
        <is>
          <t>STRÖMSUND</t>
        </is>
      </c>
      <c r="F484" t="n">
        <v>2.6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</row>
    <row r="485">
      <c r="A485" t="inlineStr">
        <is>
          <t>A 72485-2018</t>
        </is>
      </c>
      <c r="B485" s="1" t="n">
        <v>43461</v>
      </c>
      <c r="C485" s="1" t="n">
        <v>45156</v>
      </c>
      <c r="D485" t="inlineStr">
        <is>
          <t>STRÖMSUND</t>
        </is>
      </c>
      <c r="F485" t="n">
        <v>4.6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</row>
    <row r="486">
      <c r="A486" t="inlineStr">
        <is>
          <t>A 2385-2019</t>
        </is>
      </c>
      <c r="B486" s="1" t="n">
        <v>43468</v>
      </c>
      <c r="C486" s="1" t="n">
        <v>45156</v>
      </c>
      <c r="D486" t="inlineStr">
        <is>
          <t>STRÖMSUND</t>
        </is>
      </c>
      <c r="F486" t="n">
        <v>4.3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</row>
    <row r="487">
      <c r="A487" t="inlineStr">
        <is>
          <t>A 699-2019</t>
        </is>
      </c>
      <c r="B487" s="1" t="n">
        <v>43469</v>
      </c>
      <c r="C487" s="1" t="n">
        <v>45156</v>
      </c>
      <c r="D487" t="inlineStr">
        <is>
          <t>STRÖMSUND</t>
        </is>
      </c>
      <c r="E487" t="inlineStr">
        <is>
          <t>SCA</t>
        </is>
      </c>
      <c r="F487" t="n">
        <v>2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</row>
    <row r="488">
      <c r="A488" t="inlineStr">
        <is>
          <t>A 555-2019</t>
        </is>
      </c>
      <c r="B488" s="1" t="n">
        <v>43469</v>
      </c>
      <c r="C488" s="1" t="n">
        <v>45156</v>
      </c>
      <c r="D488" t="inlineStr">
        <is>
          <t>STRÖMSUND</t>
        </is>
      </c>
      <c r="E488" t="inlineStr">
        <is>
          <t>Holmen skog AB</t>
        </is>
      </c>
      <c r="F488" t="n">
        <v>14.6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</row>
    <row r="489">
      <c r="A489" t="inlineStr">
        <is>
          <t>A 1130-2019</t>
        </is>
      </c>
      <c r="B489" s="1" t="n">
        <v>43472</v>
      </c>
      <c r="C489" s="1" t="n">
        <v>45156</v>
      </c>
      <c r="D489" t="inlineStr">
        <is>
          <t>STRÖMSUND</t>
        </is>
      </c>
      <c r="E489" t="inlineStr">
        <is>
          <t>SCA</t>
        </is>
      </c>
      <c r="F489" t="n">
        <v>2.1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</row>
    <row r="490">
      <c r="A490" t="inlineStr">
        <is>
          <t>A 3227-2019</t>
        </is>
      </c>
      <c r="B490" s="1" t="n">
        <v>43473</v>
      </c>
      <c r="C490" s="1" t="n">
        <v>45156</v>
      </c>
      <c r="D490" t="inlineStr">
        <is>
          <t>STRÖMSUND</t>
        </is>
      </c>
      <c r="F490" t="n">
        <v>21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</row>
    <row r="491">
      <c r="A491" t="inlineStr">
        <is>
          <t>A 3108-2019</t>
        </is>
      </c>
      <c r="B491" s="1" t="n">
        <v>43479</v>
      </c>
      <c r="C491" s="1" t="n">
        <v>45156</v>
      </c>
      <c r="D491" t="inlineStr">
        <is>
          <t>STRÖMSUND</t>
        </is>
      </c>
      <c r="E491" t="inlineStr">
        <is>
          <t>SCA</t>
        </is>
      </c>
      <c r="F491" t="n">
        <v>0.9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</row>
    <row r="492">
      <c r="A492" t="inlineStr">
        <is>
          <t>A 3527-2019</t>
        </is>
      </c>
      <c r="B492" s="1" t="n">
        <v>43481</v>
      </c>
      <c r="C492" s="1" t="n">
        <v>45156</v>
      </c>
      <c r="D492" t="inlineStr">
        <is>
          <t>STRÖMSUND</t>
        </is>
      </c>
      <c r="F492" t="n">
        <v>3.3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</row>
    <row r="493">
      <c r="A493" t="inlineStr">
        <is>
          <t>A 8267-2019</t>
        </is>
      </c>
      <c r="B493" s="1" t="n">
        <v>43501</v>
      </c>
      <c r="C493" s="1" t="n">
        <v>45156</v>
      </c>
      <c r="D493" t="inlineStr">
        <is>
          <t>STRÖMSUND</t>
        </is>
      </c>
      <c r="F493" t="n">
        <v>7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</row>
    <row r="494">
      <c r="A494" t="inlineStr">
        <is>
          <t>A 9728-2019</t>
        </is>
      </c>
      <c r="B494" s="1" t="n">
        <v>43508</v>
      </c>
      <c r="C494" s="1" t="n">
        <v>45156</v>
      </c>
      <c r="D494" t="inlineStr">
        <is>
          <t>STRÖMSUND</t>
        </is>
      </c>
      <c r="F494" t="n">
        <v>1.8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</row>
    <row r="495">
      <c r="A495" t="inlineStr">
        <is>
          <t>A 9625-2019</t>
        </is>
      </c>
      <c r="B495" s="1" t="n">
        <v>43508</v>
      </c>
      <c r="C495" s="1" t="n">
        <v>45156</v>
      </c>
      <c r="D495" t="inlineStr">
        <is>
          <t>STRÖMSUND</t>
        </is>
      </c>
      <c r="F495" t="n">
        <v>4.2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</row>
    <row r="496">
      <c r="A496" t="inlineStr">
        <is>
          <t>A 9632-2019</t>
        </is>
      </c>
      <c r="B496" s="1" t="n">
        <v>43508</v>
      </c>
      <c r="C496" s="1" t="n">
        <v>45156</v>
      </c>
      <c r="D496" t="inlineStr">
        <is>
          <t>STRÖMSUND</t>
        </is>
      </c>
      <c r="F496" t="n">
        <v>1.5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</row>
    <row r="497">
      <c r="A497" t="inlineStr">
        <is>
          <t>A 13230-2019</t>
        </is>
      </c>
      <c r="B497" s="1" t="n">
        <v>43528</v>
      </c>
      <c r="C497" s="1" t="n">
        <v>45156</v>
      </c>
      <c r="D497" t="inlineStr">
        <is>
          <t>STRÖMSUND</t>
        </is>
      </c>
      <c r="F497" t="n">
        <v>0.8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</row>
    <row r="498">
      <c r="A498" t="inlineStr">
        <is>
          <t>A 13291-2019</t>
        </is>
      </c>
      <c r="B498" s="1" t="n">
        <v>43528</v>
      </c>
      <c r="C498" s="1" t="n">
        <v>45156</v>
      </c>
      <c r="D498" t="inlineStr">
        <is>
          <t>STRÖMSUND</t>
        </is>
      </c>
      <c r="F498" t="n">
        <v>2.1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</row>
    <row r="499">
      <c r="A499" t="inlineStr">
        <is>
          <t>A 13913-2019</t>
        </is>
      </c>
      <c r="B499" s="1" t="n">
        <v>43531</v>
      </c>
      <c r="C499" s="1" t="n">
        <v>45156</v>
      </c>
      <c r="D499" t="inlineStr">
        <is>
          <t>STRÖMSUND</t>
        </is>
      </c>
      <c r="F499" t="n">
        <v>5.7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</row>
    <row r="500">
      <c r="A500" t="inlineStr">
        <is>
          <t>A 14765-2019</t>
        </is>
      </c>
      <c r="B500" s="1" t="n">
        <v>43536</v>
      </c>
      <c r="C500" s="1" t="n">
        <v>45156</v>
      </c>
      <c r="D500" t="inlineStr">
        <is>
          <t>STRÖMSUND</t>
        </is>
      </c>
      <c r="E500" t="inlineStr">
        <is>
          <t>Holmen skog AB</t>
        </is>
      </c>
      <c r="F500" t="n">
        <v>5.2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</row>
    <row r="501">
      <c r="A501" t="inlineStr">
        <is>
          <t>A 15015-2019</t>
        </is>
      </c>
      <c r="B501" s="1" t="n">
        <v>43537</v>
      </c>
      <c r="C501" s="1" t="n">
        <v>45156</v>
      </c>
      <c r="D501" t="inlineStr">
        <is>
          <t>STRÖMSUND</t>
        </is>
      </c>
      <c r="E501" t="inlineStr">
        <is>
          <t>SCA</t>
        </is>
      </c>
      <c r="F501" t="n">
        <v>22.4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</row>
    <row r="502">
      <c r="A502" t="inlineStr">
        <is>
          <t>A 15268-2019</t>
        </is>
      </c>
      <c r="B502" s="1" t="n">
        <v>43539</v>
      </c>
      <c r="C502" s="1" t="n">
        <v>45156</v>
      </c>
      <c r="D502" t="inlineStr">
        <is>
          <t>STRÖMSUND</t>
        </is>
      </c>
      <c r="F502" t="n">
        <v>0.3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</row>
    <row r="503">
      <c r="A503" t="inlineStr">
        <is>
          <t>A 15086-2019</t>
        </is>
      </c>
      <c r="B503" s="1" t="n">
        <v>43539</v>
      </c>
      <c r="C503" s="1" t="n">
        <v>45156</v>
      </c>
      <c r="D503" t="inlineStr">
        <is>
          <t>STRÖMSUND</t>
        </is>
      </c>
      <c r="E503" t="inlineStr">
        <is>
          <t>Holmen skog AB</t>
        </is>
      </c>
      <c r="F503" t="n">
        <v>3.5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</row>
    <row r="504">
      <c r="A504" t="inlineStr">
        <is>
          <t>A 14945-2019</t>
        </is>
      </c>
      <c r="B504" s="1" t="n">
        <v>43539</v>
      </c>
      <c r="C504" s="1" t="n">
        <v>45156</v>
      </c>
      <c r="D504" t="inlineStr">
        <is>
          <t>STRÖMSUND</t>
        </is>
      </c>
      <c r="E504" t="inlineStr">
        <is>
          <t>Holmen skog AB</t>
        </is>
      </c>
      <c r="F504" t="n">
        <v>3.2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</row>
    <row r="505">
      <c r="A505" t="inlineStr">
        <is>
          <t>A 15182-2019</t>
        </is>
      </c>
      <c r="B505" s="1" t="n">
        <v>43539</v>
      </c>
      <c r="C505" s="1" t="n">
        <v>45156</v>
      </c>
      <c r="D505" t="inlineStr">
        <is>
          <t>STRÖMSUND</t>
        </is>
      </c>
      <c r="F505" t="n">
        <v>2.1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</row>
    <row r="506">
      <c r="A506" t="inlineStr">
        <is>
          <t>A 15266-2019</t>
        </is>
      </c>
      <c r="B506" s="1" t="n">
        <v>43539</v>
      </c>
      <c r="C506" s="1" t="n">
        <v>45156</v>
      </c>
      <c r="D506" t="inlineStr">
        <is>
          <t>STRÖMSUND</t>
        </is>
      </c>
      <c r="F506" t="n">
        <v>1.9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</row>
    <row r="507">
      <c r="A507" t="inlineStr">
        <is>
          <t>A 15944-2019</t>
        </is>
      </c>
      <c r="B507" s="1" t="n">
        <v>43542</v>
      </c>
      <c r="C507" s="1" t="n">
        <v>45156</v>
      </c>
      <c r="D507" t="inlineStr">
        <is>
          <t>STRÖMSUND</t>
        </is>
      </c>
      <c r="F507" t="n">
        <v>6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</row>
    <row r="508">
      <c r="A508" t="inlineStr">
        <is>
          <t>A 16140-2019</t>
        </is>
      </c>
      <c r="B508" s="1" t="n">
        <v>43544</v>
      </c>
      <c r="C508" s="1" t="n">
        <v>45156</v>
      </c>
      <c r="D508" t="inlineStr">
        <is>
          <t>STRÖMSUND</t>
        </is>
      </c>
      <c r="F508" t="n">
        <v>0.4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</row>
    <row r="509">
      <c r="A509" t="inlineStr">
        <is>
          <t>A 16641-2019</t>
        </is>
      </c>
      <c r="B509" s="1" t="n">
        <v>43549</v>
      </c>
      <c r="C509" s="1" t="n">
        <v>45156</v>
      </c>
      <c r="D509" t="inlineStr">
        <is>
          <t>STRÖMSUND</t>
        </is>
      </c>
      <c r="F509" t="n">
        <v>3.1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</row>
    <row r="510">
      <c r="A510" t="inlineStr">
        <is>
          <t>A 17038-2019</t>
        </is>
      </c>
      <c r="B510" s="1" t="n">
        <v>43551</v>
      </c>
      <c r="C510" s="1" t="n">
        <v>45156</v>
      </c>
      <c r="D510" t="inlineStr">
        <is>
          <t>STRÖMSUND</t>
        </is>
      </c>
      <c r="F510" t="n">
        <v>17.6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</row>
    <row r="511">
      <c r="A511" t="inlineStr">
        <is>
          <t>A 17190-2019</t>
        </is>
      </c>
      <c r="B511" s="1" t="n">
        <v>43551</v>
      </c>
      <c r="C511" s="1" t="n">
        <v>45156</v>
      </c>
      <c r="D511" t="inlineStr">
        <is>
          <t>STRÖMSUND</t>
        </is>
      </c>
      <c r="F511" t="n">
        <v>4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</row>
    <row r="512">
      <c r="A512" t="inlineStr">
        <is>
          <t>A 17225-2019</t>
        </is>
      </c>
      <c r="B512" s="1" t="n">
        <v>43552</v>
      </c>
      <c r="C512" s="1" t="n">
        <v>45156</v>
      </c>
      <c r="D512" t="inlineStr">
        <is>
          <t>STRÖMSUND</t>
        </is>
      </c>
      <c r="F512" t="n">
        <v>7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</row>
    <row r="513">
      <c r="A513" t="inlineStr">
        <is>
          <t>A 18058-2019</t>
        </is>
      </c>
      <c r="B513" s="1" t="n">
        <v>43557</v>
      </c>
      <c r="C513" s="1" t="n">
        <v>45156</v>
      </c>
      <c r="D513" t="inlineStr">
        <is>
          <t>STRÖMSUND</t>
        </is>
      </c>
      <c r="F513" t="n">
        <v>0.7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</row>
    <row r="514">
      <c r="A514" t="inlineStr">
        <is>
          <t>A 18057-2019</t>
        </is>
      </c>
      <c r="B514" s="1" t="n">
        <v>43557</v>
      </c>
      <c r="C514" s="1" t="n">
        <v>45156</v>
      </c>
      <c r="D514" t="inlineStr">
        <is>
          <t>STRÖMSUND</t>
        </is>
      </c>
      <c r="F514" t="n">
        <v>1.3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</row>
    <row r="515">
      <c r="A515" t="inlineStr">
        <is>
          <t>A 20569-2019</t>
        </is>
      </c>
      <c r="B515" s="1" t="n">
        <v>43572</v>
      </c>
      <c r="C515" s="1" t="n">
        <v>45156</v>
      </c>
      <c r="D515" t="inlineStr">
        <is>
          <t>STRÖMSUND</t>
        </is>
      </c>
      <c r="F515" t="n">
        <v>1.2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</row>
    <row r="516">
      <c r="A516" t="inlineStr">
        <is>
          <t>A 21660-2019</t>
        </is>
      </c>
      <c r="B516" s="1" t="n">
        <v>43581</v>
      </c>
      <c r="C516" s="1" t="n">
        <v>45156</v>
      </c>
      <c r="D516" t="inlineStr">
        <is>
          <t>STRÖMSUND</t>
        </is>
      </c>
      <c r="F516" t="n">
        <v>1.7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</row>
    <row r="517">
      <c r="A517" t="inlineStr">
        <is>
          <t>A 21676-2019</t>
        </is>
      </c>
      <c r="B517" s="1" t="n">
        <v>43581</v>
      </c>
      <c r="C517" s="1" t="n">
        <v>45156</v>
      </c>
      <c r="D517" t="inlineStr">
        <is>
          <t>STRÖMSUND</t>
        </is>
      </c>
      <c r="F517" t="n">
        <v>1.2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</row>
    <row r="518">
      <c r="A518" t="inlineStr">
        <is>
          <t>A 21702-2019</t>
        </is>
      </c>
      <c r="B518" s="1" t="n">
        <v>43581</v>
      </c>
      <c r="C518" s="1" t="n">
        <v>45156</v>
      </c>
      <c r="D518" t="inlineStr">
        <is>
          <t>STRÖMSUND</t>
        </is>
      </c>
      <c r="F518" t="n">
        <v>1.6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</row>
    <row r="519">
      <c r="A519" t="inlineStr">
        <is>
          <t>A 21696-2019</t>
        </is>
      </c>
      <c r="B519" s="1" t="n">
        <v>43581</v>
      </c>
      <c r="C519" s="1" t="n">
        <v>45156</v>
      </c>
      <c r="D519" t="inlineStr">
        <is>
          <t>STRÖMSUND</t>
        </is>
      </c>
      <c r="F519" t="n">
        <v>1.5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</row>
    <row r="520">
      <c r="A520" t="inlineStr">
        <is>
          <t>A 21763-2019</t>
        </is>
      </c>
      <c r="B520" s="1" t="n">
        <v>43581</v>
      </c>
      <c r="C520" s="1" t="n">
        <v>45156</v>
      </c>
      <c r="D520" t="inlineStr">
        <is>
          <t>STRÖMSUND</t>
        </is>
      </c>
      <c r="F520" t="n">
        <v>12.7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</row>
    <row r="521">
      <c r="A521" t="inlineStr">
        <is>
          <t>A 22305-2019</t>
        </is>
      </c>
      <c r="B521" s="1" t="n">
        <v>43585</v>
      </c>
      <c r="C521" s="1" t="n">
        <v>45156</v>
      </c>
      <c r="D521" t="inlineStr">
        <is>
          <t>STRÖMSUND</t>
        </is>
      </c>
      <c r="E521" t="inlineStr">
        <is>
          <t>SCA</t>
        </is>
      </c>
      <c r="F521" t="n">
        <v>1.7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</row>
    <row r="522">
      <c r="A522" t="inlineStr">
        <is>
          <t>A 22293-2019</t>
        </is>
      </c>
      <c r="B522" s="1" t="n">
        <v>43585</v>
      </c>
      <c r="C522" s="1" t="n">
        <v>45156</v>
      </c>
      <c r="D522" t="inlineStr">
        <is>
          <t>STRÖMSUND</t>
        </is>
      </c>
      <c r="E522" t="inlineStr">
        <is>
          <t>SCA</t>
        </is>
      </c>
      <c r="F522" t="n">
        <v>4.1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</row>
    <row r="523">
      <c r="A523" t="inlineStr">
        <is>
          <t>A 22777-2019</t>
        </is>
      </c>
      <c r="B523" s="1" t="n">
        <v>43589</v>
      </c>
      <c r="C523" s="1" t="n">
        <v>45156</v>
      </c>
      <c r="D523" t="inlineStr">
        <is>
          <t>STRÖMSUND</t>
        </is>
      </c>
      <c r="E523" t="inlineStr">
        <is>
          <t>SCA</t>
        </is>
      </c>
      <c r="F523" t="n">
        <v>5.3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</row>
    <row r="524">
      <c r="A524" t="inlineStr">
        <is>
          <t>A 23040-2019</t>
        </is>
      </c>
      <c r="B524" s="1" t="n">
        <v>43591</v>
      </c>
      <c r="C524" s="1" t="n">
        <v>45156</v>
      </c>
      <c r="D524" t="inlineStr">
        <is>
          <t>STRÖMSUND</t>
        </is>
      </c>
      <c r="F524" t="n">
        <v>30.4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</row>
    <row r="525">
      <c r="A525" t="inlineStr">
        <is>
          <t>A 23481-2019</t>
        </is>
      </c>
      <c r="B525" s="1" t="n">
        <v>43593</v>
      </c>
      <c r="C525" s="1" t="n">
        <v>45156</v>
      </c>
      <c r="D525" t="inlineStr">
        <is>
          <t>STRÖMSUND</t>
        </is>
      </c>
      <c r="E525" t="inlineStr">
        <is>
          <t>SCA</t>
        </is>
      </c>
      <c r="F525" t="n">
        <v>2.4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</row>
    <row r="526">
      <c r="A526" t="inlineStr">
        <is>
          <t>A 23941-2019</t>
        </is>
      </c>
      <c r="B526" s="1" t="n">
        <v>43595</v>
      </c>
      <c r="C526" s="1" t="n">
        <v>45156</v>
      </c>
      <c r="D526" t="inlineStr">
        <is>
          <t>STRÖMSUND</t>
        </is>
      </c>
      <c r="E526" t="inlineStr">
        <is>
          <t>SCA</t>
        </is>
      </c>
      <c r="F526" t="n">
        <v>1.4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</row>
    <row r="527">
      <c r="A527" t="inlineStr">
        <is>
          <t>A 23945-2019</t>
        </is>
      </c>
      <c r="B527" s="1" t="n">
        <v>43596</v>
      </c>
      <c r="C527" s="1" t="n">
        <v>45156</v>
      </c>
      <c r="D527" t="inlineStr">
        <is>
          <t>STRÖMSUND</t>
        </is>
      </c>
      <c r="F527" t="n">
        <v>0.4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</row>
    <row r="528">
      <c r="A528" t="inlineStr">
        <is>
          <t>A 23958-2019</t>
        </is>
      </c>
      <c r="B528" s="1" t="n">
        <v>43597</v>
      </c>
      <c r="C528" s="1" t="n">
        <v>45156</v>
      </c>
      <c r="D528" t="inlineStr">
        <is>
          <t>STRÖMSUND</t>
        </is>
      </c>
      <c r="F528" t="n">
        <v>20.7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</row>
    <row r="529">
      <c r="A529" t="inlineStr">
        <is>
          <t>A 24162-2019</t>
        </is>
      </c>
      <c r="B529" s="1" t="n">
        <v>43598</v>
      </c>
      <c r="C529" s="1" t="n">
        <v>45156</v>
      </c>
      <c r="D529" t="inlineStr">
        <is>
          <t>STRÖMSUND</t>
        </is>
      </c>
      <c r="E529" t="inlineStr">
        <is>
          <t>SCA</t>
        </is>
      </c>
      <c r="F529" t="n">
        <v>18.9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</row>
    <row r="530">
      <c r="A530" t="inlineStr">
        <is>
          <t>A 24577-2019</t>
        </is>
      </c>
      <c r="B530" s="1" t="n">
        <v>43600</v>
      </c>
      <c r="C530" s="1" t="n">
        <v>45156</v>
      </c>
      <c r="D530" t="inlineStr">
        <is>
          <t>STRÖMSUND</t>
        </is>
      </c>
      <c r="E530" t="inlineStr">
        <is>
          <t>SCA</t>
        </is>
      </c>
      <c r="F530" t="n">
        <v>138.7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</row>
    <row r="531">
      <c r="A531" t="inlineStr">
        <is>
          <t>A 24787-2019</t>
        </is>
      </c>
      <c r="B531" s="1" t="n">
        <v>43601</v>
      </c>
      <c r="C531" s="1" t="n">
        <v>45156</v>
      </c>
      <c r="D531" t="inlineStr">
        <is>
          <t>STRÖMSUND</t>
        </is>
      </c>
      <c r="E531" t="inlineStr">
        <is>
          <t>SCA</t>
        </is>
      </c>
      <c r="F531" t="n">
        <v>6.5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</row>
    <row r="532">
      <c r="A532" t="inlineStr">
        <is>
          <t>A 25910-2019</t>
        </is>
      </c>
      <c r="B532" s="1" t="n">
        <v>43608</v>
      </c>
      <c r="C532" s="1" t="n">
        <v>45156</v>
      </c>
      <c r="D532" t="inlineStr">
        <is>
          <t>STRÖMSUND</t>
        </is>
      </c>
      <c r="E532" t="inlineStr">
        <is>
          <t>Kommuner</t>
        </is>
      </c>
      <c r="F532" t="n">
        <v>7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</row>
    <row r="533">
      <c r="A533" t="inlineStr">
        <is>
          <t>A 25918-2019</t>
        </is>
      </c>
      <c r="B533" s="1" t="n">
        <v>43608</v>
      </c>
      <c r="C533" s="1" t="n">
        <v>45156</v>
      </c>
      <c r="D533" t="inlineStr">
        <is>
          <t>STRÖMSUND</t>
        </is>
      </c>
      <c r="E533" t="inlineStr">
        <is>
          <t>Kommuner</t>
        </is>
      </c>
      <c r="F533" t="n">
        <v>1.4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</row>
    <row r="534">
      <c r="A534" t="inlineStr">
        <is>
          <t>A 25950-2019</t>
        </is>
      </c>
      <c r="B534" s="1" t="n">
        <v>43608</v>
      </c>
      <c r="C534" s="1" t="n">
        <v>45156</v>
      </c>
      <c r="D534" t="inlineStr">
        <is>
          <t>STRÖMSUND</t>
        </is>
      </c>
      <c r="E534" t="inlineStr">
        <is>
          <t>SCA</t>
        </is>
      </c>
      <c r="F534" t="n">
        <v>1.3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</row>
    <row r="535">
      <c r="A535" t="inlineStr">
        <is>
          <t>A 25984-2019</t>
        </is>
      </c>
      <c r="B535" s="1" t="n">
        <v>43608</v>
      </c>
      <c r="C535" s="1" t="n">
        <v>45156</v>
      </c>
      <c r="D535" t="inlineStr">
        <is>
          <t>STRÖMSUND</t>
        </is>
      </c>
      <c r="E535" t="inlineStr">
        <is>
          <t>SCA</t>
        </is>
      </c>
      <c r="F535" t="n">
        <v>2.2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</row>
    <row r="536">
      <c r="A536" t="inlineStr">
        <is>
          <t>A 25915-2019</t>
        </is>
      </c>
      <c r="B536" s="1" t="n">
        <v>43608</v>
      </c>
      <c r="C536" s="1" t="n">
        <v>45156</v>
      </c>
      <c r="D536" t="inlineStr">
        <is>
          <t>STRÖMSUND</t>
        </is>
      </c>
      <c r="E536" t="inlineStr">
        <is>
          <t>Kommuner</t>
        </is>
      </c>
      <c r="F536" t="n">
        <v>5.7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</row>
    <row r="537">
      <c r="A537" t="inlineStr">
        <is>
          <t>A 25925-2019</t>
        </is>
      </c>
      <c r="B537" s="1" t="n">
        <v>43608</v>
      </c>
      <c r="C537" s="1" t="n">
        <v>45156</v>
      </c>
      <c r="D537" t="inlineStr">
        <is>
          <t>STRÖMSUND</t>
        </is>
      </c>
      <c r="E537" t="inlineStr">
        <is>
          <t>Kommuner</t>
        </is>
      </c>
      <c r="F537" t="n">
        <v>12.6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</row>
    <row r="538">
      <c r="A538" t="inlineStr">
        <is>
          <t>A 25923-2019</t>
        </is>
      </c>
      <c r="B538" s="1" t="n">
        <v>43608</v>
      </c>
      <c r="C538" s="1" t="n">
        <v>45156</v>
      </c>
      <c r="D538" t="inlineStr">
        <is>
          <t>STRÖMSUND</t>
        </is>
      </c>
      <c r="E538" t="inlineStr">
        <is>
          <t>Kommuner</t>
        </is>
      </c>
      <c r="F538" t="n">
        <v>3.6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</row>
    <row r="539">
      <c r="A539" t="inlineStr">
        <is>
          <t>A 25921-2019</t>
        </is>
      </c>
      <c r="B539" s="1" t="n">
        <v>43608</v>
      </c>
      <c r="C539" s="1" t="n">
        <v>45156</v>
      </c>
      <c r="D539" t="inlineStr">
        <is>
          <t>STRÖMSUND</t>
        </is>
      </c>
      <c r="E539" t="inlineStr">
        <is>
          <t>Kommuner</t>
        </is>
      </c>
      <c r="F539" t="n">
        <v>23.9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</row>
    <row r="540">
      <c r="A540" t="inlineStr">
        <is>
          <t>A 26012-2019</t>
        </is>
      </c>
      <c r="B540" s="1" t="n">
        <v>43608</v>
      </c>
      <c r="C540" s="1" t="n">
        <v>45156</v>
      </c>
      <c r="D540" t="inlineStr">
        <is>
          <t>STRÖMSUND</t>
        </is>
      </c>
      <c r="E540" t="inlineStr">
        <is>
          <t>SCA</t>
        </is>
      </c>
      <c r="F540" t="n">
        <v>2.1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</row>
    <row r="541">
      <c r="A541" t="inlineStr">
        <is>
          <t>A 26252-2019</t>
        </is>
      </c>
      <c r="B541" s="1" t="n">
        <v>43609</v>
      </c>
      <c r="C541" s="1" t="n">
        <v>45156</v>
      </c>
      <c r="D541" t="inlineStr">
        <is>
          <t>STRÖMSUND</t>
        </is>
      </c>
      <c r="E541" t="inlineStr">
        <is>
          <t>SCA</t>
        </is>
      </c>
      <c r="F541" t="n">
        <v>10.5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</row>
    <row r="542">
      <c r="A542" t="inlineStr">
        <is>
          <t>A 26251-2019</t>
        </is>
      </c>
      <c r="B542" s="1" t="n">
        <v>43609</v>
      </c>
      <c r="C542" s="1" t="n">
        <v>45156</v>
      </c>
      <c r="D542" t="inlineStr">
        <is>
          <t>STRÖMSUND</t>
        </is>
      </c>
      <c r="E542" t="inlineStr">
        <is>
          <t>SCA</t>
        </is>
      </c>
      <c r="F542" t="n">
        <v>6.9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</row>
    <row r="543">
      <c r="A543" t="inlineStr">
        <is>
          <t>A 27536-2019</t>
        </is>
      </c>
      <c r="B543" s="1" t="n">
        <v>43612</v>
      </c>
      <c r="C543" s="1" t="n">
        <v>45156</v>
      </c>
      <c r="D543" t="inlineStr">
        <is>
          <t>STRÖMSUND</t>
        </is>
      </c>
      <c r="F543" t="n">
        <v>1.3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</row>
    <row r="544">
      <c r="A544" t="inlineStr">
        <is>
          <t>A 26937-2019</t>
        </is>
      </c>
      <c r="B544" s="1" t="n">
        <v>43613</v>
      </c>
      <c r="C544" s="1" t="n">
        <v>45156</v>
      </c>
      <c r="D544" t="inlineStr">
        <is>
          <t>STRÖMSUND</t>
        </is>
      </c>
      <c r="F544" t="n">
        <v>0.8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</row>
    <row r="545">
      <c r="A545" t="inlineStr">
        <is>
          <t>A 27249-2019</t>
        </is>
      </c>
      <c r="B545" s="1" t="n">
        <v>43614</v>
      </c>
      <c r="C545" s="1" t="n">
        <v>45156</v>
      </c>
      <c r="D545" t="inlineStr">
        <is>
          <t>STRÖMSUND</t>
        </is>
      </c>
      <c r="E545" t="inlineStr">
        <is>
          <t>SCA</t>
        </is>
      </c>
      <c r="F545" t="n">
        <v>3.3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</row>
    <row r="546">
      <c r="A546" t="inlineStr">
        <is>
          <t>A 27367-2019</t>
        </is>
      </c>
      <c r="B546" s="1" t="n">
        <v>43616</v>
      </c>
      <c r="C546" s="1" t="n">
        <v>45156</v>
      </c>
      <c r="D546" t="inlineStr">
        <is>
          <t>STRÖMSUND</t>
        </is>
      </c>
      <c r="F546" t="n">
        <v>0.2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</row>
    <row r="547">
      <c r="A547" t="inlineStr">
        <is>
          <t>A 27514-2019</t>
        </is>
      </c>
      <c r="B547" s="1" t="n">
        <v>43619</v>
      </c>
      <c r="C547" s="1" t="n">
        <v>45156</v>
      </c>
      <c r="D547" t="inlineStr">
        <is>
          <t>STRÖMSUND</t>
        </is>
      </c>
      <c r="F547" t="n">
        <v>3.6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</row>
    <row r="548">
      <c r="A548" t="inlineStr">
        <is>
          <t>A 27817-2019</t>
        </is>
      </c>
      <c r="B548" s="1" t="n">
        <v>43620</v>
      </c>
      <c r="C548" s="1" t="n">
        <v>45156</v>
      </c>
      <c r="D548" t="inlineStr">
        <is>
          <t>STRÖMSUND</t>
        </is>
      </c>
      <c r="F548" t="n">
        <v>0.7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</row>
    <row r="549">
      <c r="A549" t="inlineStr">
        <is>
          <t>A 28766-2019</t>
        </is>
      </c>
      <c r="B549" s="1" t="n">
        <v>43627</v>
      </c>
      <c r="C549" s="1" t="n">
        <v>45156</v>
      </c>
      <c r="D549" t="inlineStr">
        <is>
          <t>STRÖMSUND</t>
        </is>
      </c>
      <c r="F549" t="n">
        <v>19.8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</row>
    <row r="550">
      <c r="A550" t="inlineStr">
        <is>
          <t>A 28671-2019</t>
        </is>
      </c>
      <c r="B550" s="1" t="n">
        <v>43627</v>
      </c>
      <c r="C550" s="1" t="n">
        <v>45156</v>
      </c>
      <c r="D550" t="inlineStr">
        <is>
          <t>STRÖMSUND</t>
        </is>
      </c>
      <c r="F550" t="n">
        <v>21.3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</row>
    <row r="551">
      <c r="A551" t="inlineStr">
        <is>
          <t>A 29166-2019</t>
        </is>
      </c>
      <c r="B551" s="1" t="n">
        <v>43628</v>
      </c>
      <c r="C551" s="1" t="n">
        <v>45156</v>
      </c>
      <c r="D551" t="inlineStr">
        <is>
          <t>STRÖMSUND</t>
        </is>
      </c>
      <c r="E551" t="inlineStr">
        <is>
          <t>SCA</t>
        </is>
      </c>
      <c r="F551" t="n">
        <v>3.5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</row>
    <row r="552">
      <c r="A552" t="inlineStr">
        <is>
          <t>A 29359-2019</t>
        </is>
      </c>
      <c r="B552" s="1" t="n">
        <v>43629</v>
      </c>
      <c r="C552" s="1" t="n">
        <v>45156</v>
      </c>
      <c r="D552" t="inlineStr">
        <is>
          <t>STRÖMSUND</t>
        </is>
      </c>
      <c r="F552" t="n">
        <v>3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</row>
    <row r="553">
      <c r="A553" t="inlineStr">
        <is>
          <t>A 29378-2019</t>
        </is>
      </c>
      <c r="B553" s="1" t="n">
        <v>43629</v>
      </c>
      <c r="C553" s="1" t="n">
        <v>45156</v>
      </c>
      <c r="D553" t="inlineStr">
        <is>
          <t>STRÖMSUND</t>
        </is>
      </c>
      <c r="F553" t="n">
        <v>33.5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</row>
    <row r="554">
      <c r="A554" t="inlineStr">
        <is>
          <t>A 29740-2019</t>
        </is>
      </c>
      <c r="B554" s="1" t="n">
        <v>43630</v>
      </c>
      <c r="C554" s="1" t="n">
        <v>45156</v>
      </c>
      <c r="D554" t="inlineStr">
        <is>
          <t>STRÖMSUND</t>
        </is>
      </c>
      <c r="E554" t="inlineStr">
        <is>
          <t>SCA</t>
        </is>
      </c>
      <c r="F554" t="n">
        <v>62.8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</row>
    <row r="555">
      <c r="A555" t="inlineStr">
        <is>
          <t>A 30378-2019</t>
        </is>
      </c>
      <c r="B555" s="1" t="n">
        <v>43634</v>
      </c>
      <c r="C555" s="1" t="n">
        <v>45156</v>
      </c>
      <c r="D555" t="inlineStr">
        <is>
          <t>STRÖMSUND</t>
        </is>
      </c>
      <c r="E555" t="inlineStr">
        <is>
          <t>SCA</t>
        </is>
      </c>
      <c r="F555" t="n">
        <v>0.5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</row>
    <row r="556">
      <c r="A556" t="inlineStr">
        <is>
          <t>A 30139-2019</t>
        </is>
      </c>
      <c r="B556" s="1" t="n">
        <v>43634</v>
      </c>
      <c r="C556" s="1" t="n">
        <v>45156</v>
      </c>
      <c r="D556" t="inlineStr">
        <is>
          <t>STRÖMSUND</t>
        </is>
      </c>
      <c r="E556" t="inlineStr">
        <is>
          <t>Sveaskog</t>
        </is>
      </c>
      <c r="F556" t="n">
        <v>3.9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</row>
    <row r="557">
      <c r="A557" t="inlineStr">
        <is>
          <t>A 30915-2019</t>
        </is>
      </c>
      <c r="B557" s="1" t="n">
        <v>43636</v>
      </c>
      <c r="C557" s="1" t="n">
        <v>45156</v>
      </c>
      <c r="D557" t="inlineStr">
        <is>
          <t>STRÖMSUND</t>
        </is>
      </c>
      <c r="E557" t="inlineStr">
        <is>
          <t>SCA</t>
        </is>
      </c>
      <c r="F557" t="n">
        <v>3.1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</row>
    <row r="558">
      <c r="A558" t="inlineStr">
        <is>
          <t>A 32482-2019</t>
        </is>
      </c>
      <c r="B558" s="1" t="n">
        <v>43644</v>
      </c>
      <c r="C558" s="1" t="n">
        <v>45156</v>
      </c>
      <c r="D558" t="inlineStr">
        <is>
          <t>STRÖMSUND</t>
        </is>
      </c>
      <c r="E558" t="inlineStr">
        <is>
          <t>SCA</t>
        </is>
      </c>
      <c r="F558" t="n">
        <v>8.4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</row>
    <row r="559">
      <c r="A559" t="inlineStr">
        <is>
          <t>A 32739-2019</t>
        </is>
      </c>
      <c r="B559" s="1" t="n">
        <v>43647</v>
      </c>
      <c r="C559" s="1" t="n">
        <v>45156</v>
      </c>
      <c r="D559" t="inlineStr">
        <is>
          <t>STRÖMSUND</t>
        </is>
      </c>
      <c r="E559" t="inlineStr">
        <is>
          <t>SCA</t>
        </is>
      </c>
      <c r="F559" t="n">
        <v>174.6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</row>
    <row r="560">
      <c r="A560" t="inlineStr">
        <is>
          <t>A 32748-2019</t>
        </is>
      </c>
      <c r="B560" s="1" t="n">
        <v>43647</v>
      </c>
      <c r="C560" s="1" t="n">
        <v>45156</v>
      </c>
      <c r="D560" t="inlineStr">
        <is>
          <t>STRÖMSUND</t>
        </is>
      </c>
      <c r="E560" t="inlineStr">
        <is>
          <t>SCA</t>
        </is>
      </c>
      <c r="F560" t="n">
        <v>5.5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</row>
    <row r="561">
      <c r="A561" t="inlineStr">
        <is>
          <t>A 32973-2019</t>
        </is>
      </c>
      <c r="B561" s="1" t="n">
        <v>43648</v>
      </c>
      <c r="C561" s="1" t="n">
        <v>45156</v>
      </c>
      <c r="D561" t="inlineStr">
        <is>
          <t>STRÖMSUND</t>
        </is>
      </c>
      <c r="F561" t="n">
        <v>3.5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</row>
    <row r="562">
      <c r="A562" t="inlineStr">
        <is>
          <t>A 32975-2019</t>
        </is>
      </c>
      <c r="B562" s="1" t="n">
        <v>43648</v>
      </c>
      <c r="C562" s="1" t="n">
        <v>45156</v>
      </c>
      <c r="D562" t="inlineStr">
        <is>
          <t>STRÖMSUND</t>
        </is>
      </c>
      <c r="F562" t="n">
        <v>2.3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</row>
    <row r="563">
      <c r="A563" t="inlineStr">
        <is>
          <t>A 32971-2019</t>
        </is>
      </c>
      <c r="B563" s="1" t="n">
        <v>43648</v>
      </c>
      <c r="C563" s="1" t="n">
        <v>45156</v>
      </c>
      <c r="D563" t="inlineStr">
        <is>
          <t>STRÖMSUND</t>
        </is>
      </c>
      <c r="F563" t="n">
        <v>0.9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</row>
    <row r="564">
      <c r="A564" t="inlineStr">
        <is>
          <t>A 32974-2019</t>
        </is>
      </c>
      <c r="B564" s="1" t="n">
        <v>43648</v>
      </c>
      <c r="C564" s="1" t="n">
        <v>45156</v>
      </c>
      <c r="D564" t="inlineStr">
        <is>
          <t>STRÖMSUND</t>
        </is>
      </c>
      <c r="F564" t="n">
        <v>2.8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</row>
    <row r="565">
      <c r="A565" t="inlineStr">
        <is>
          <t>A 34758-2019</t>
        </is>
      </c>
      <c r="B565" s="1" t="n">
        <v>43649</v>
      </c>
      <c r="C565" s="1" t="n">
        <v>45156</v>
      </c>
      <c r="D565" t="inlineStr">
        <is>
          <t>STRÖMSUND</t>
        </is>
      </c>
      <c r="F565" t="n">
        <v>2.2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</row>
    <row r="566">
      <c r="A566" t="inlineStr">
        <is>
          <t>A 33552-2019</t>
        </is>
      </c>
      <c r="B566" s="1" t="n">
        <v>43651</v>
      </c>
      <c r="C566" s="1" t="n">
        <v>45156</v>
      </c>
      <c r="D566" t="inlineStr">
        <is>
          <t>STRÖMSUND</t>
        </is>
      </c>
      <c r="E566" t="inlineStr">
        <is>
          <t>Holmen skog AB</t>
        </is>
      </c>
      <c r="F566" t="n">
        <v>15.9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</row>
    <row r="567">
      <c r="A567" t="inlineStr">
        <is>
          <t>A 33701-2019</t>
        </is>
      </c>
      <c r="B567" s="1" t="n">
        <v>43651</v>
      </c>
      <c r="C567" s="1" t="n">
        <v>45156</v>
      </c>
      <c r="D567" t="inlineStr">
        <is>
          <t>STRÖMSUND</t>
        </is>
      </c>
      <c r="E567" t="inlineStr">
        <is>
          <t>Holmen skog AB</t>
        </is>
      </c>
      <c r="F567" t="n">
        <v>21.7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</row>
    <row r="568">
      <c r="A568" t="inlineStr">
        <is>
          <t>A 33538-2019</t>
        </is>
      </c>
      <c r="B568" s="1" t="n">
        <v>43651</v>
      </c>
      <c r="C568" s="1" t="n">
        <v>45156</v>
      </c>
      <c r="D568" t="inlineStr">
        <is>
          <t>STRÖMSUND</t>
        </is>
      </c>
      <c r="E568" t="inlineStr">
        <is>
          <t>Holmen skog AB</t>
        </is>
      </c>
      <c r="F568" t="n">
        <v>15.6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</row>
    <row r="569">
      <c r="A569" t="inlineStr">
        <is>
          <t>A 33825-2019</t>
        </is>
      </c>
      <c r="B569" s="1" t="n">
        <v>43651</v>
      </c>
      <c r="C569" s="1" t="n">
        <v>45156</v>
      </c>
      <c r="D569" t="inlineStr">
        <is>
          <t>STRÖMSUND</t>
        </is>
      </c>
      <c r="E569" t="inlineStr">
        <is>
          <t>SCA</t>
        </is>
      </c>
      <c r="F569" t="n">
        <v>15.6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</row>
    <row r="570">
      <c r="A570" t="inlineStr">
        <is>
          <t>A 34125-2019</t>
        </is>
      </c>
      <c r="B570" s="1" t="n">
        <v>43654</v>
      </c>
      <c r="C570" s="1" t="n">
        <v>45156</v>
      </c>
      <c r="D570" t="inlineStr">
        <is>
          <t>STRÖMSUND</t>
        </is>
      </c>
      <c r="E570" t="inlineStr">
        <is>
          <t>SCA</t>
        </is>
      </c>
      <c r="F570" t="n">
        <v>1.8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</row>
    <row r="571">
      <c r="A571" t="inlineStr">
        <is>
          <t>A 35674-2019</t>
        </is>
      </c>
      <c r="B571" s="1" t="n">
        <v>43655</v>
      </c>
      <c r="C571" s="1" t="n">
        <v>45156</v>
      </c>
      <c r="D571" t="inlineStr">
        <is>
          <t>STRÖMSUND</t>
        </is>
      </c>
      <c r="F571" t="n">
        <v>2.8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</row>
    <row r="572">
      <c r="A572" t="inlineStr">
        <is>
          <t>A 34152-2019</t>
        </is>
      </c>
      <c r="B572" s="1" t="n">
        <v>43655</v>
      </c>
      <c r="C572" s="1" t="n">
        <v>45156</v>
      </c>
      <c r="D572" t="inlineStr">
        <is>
          <t>STRÖMSUND</t>
        </is>
      </c>
      <c r="E572" t="inlineStr">
        <is>
          <t>Sveaskog</t>
        </is>
      </c>
      <c r="F572" t="n">
        <v>1.9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</row>
    <row r="573">
      <c r="A573" t="inlineStr">
        <is>
          <t>A 34233-2019</t>
        </is>
      </c>
      <c r="B573" s="1" t="n">
        <v>43655</v>
      </c>
      <c r="C573" s="1" t="n">
        <v>45156</v>
      </c>
      <c r="D573" t="inlineStr">
        <is>
          <t>STRÖMSUND</t>
        </is>
      </c>
      <c r="F573" t="n">
        <v>3.1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</row>
    <row r="574">
      <c r="A574" t="inlineStr">
        <is>
          <t>A 36193-2019</t>
        </is>
      </c>
      <c r="B574" s="1" t="n">
        <v>43657</v>
      </c>
      <c r="C574" s="1" t="n">
        <v>45156</v>
      </c>
      <c r="D574" t="inlineStr">
        <is>
          <t>STRÖMSUND</t>
        </is>
      </c>
      <c r="E574" t="inlineStr">
        <is>
          <t>Holmen skog AB</t>
        </is>
      </c>
      <c r="F574" t="n">
        <v>2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</row>
    <row r="575">
      <c r="A575" t="inlineStr">
        <is>
          <t>A 34794-2019</t>
        </is>
      </c>
      <c r="B575" s="1" t="n">
        <v>43658</v>
      </c>
      <c r="C575" s="1" t="n">
        <v>45156</v>
      </c>
      <c r="D575" t="inlineStr">
        <is>
          <t>STRÖMSUND</t>
        </is>
      </c>
      <c r="E575" t="inlineStr">
        <is>
          <t>Sveaskog</t>
        </is>
      </c>
      <c r="F575" t="n">
        <v>9.5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</row>
    <row r="576">
      <c r="A576" t="inlineStr">
        <is>
          <t>A 35323-2019</t>
        </is>
      </c>
      <c r="B576" s="1" t="n">
        <v>43662</v>
      </c>
      <c r="C576" s="1" t="n">
        <v>45156</v>
      </c>
      <c r="D576" t="inlineStr">
        <is>
          <t>STRÖMSUND</t>
        </is>
      </c>
      <c r="E576" t="inlineStr">
        <is>
          <t>SCA</t>
        </is>
      </c>
      <c r="F576" t="n">
        <v>9.300000000000001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</row>
    <row r="577">
      <c r="A577" t="inlineStr">
        <is>
          <t>A 35442-2019</t>
        </is>
      </c>
      <c r="B577" s="1" t="n">
        <v>43663</v>
      </c>
      <c r="C577" s="1" t="n">
        <v>45156</v>
      </c>
      <c r="D577" t="inlineStr">
        <is>
          <t>STRÖMSUND</t>
        </is>
      </c>
      <c r="E577" t="inlineStr">
        <is>
          <t>Holmen skog AB</t>
        </is>
      </c>
      <c r="F577" t="n">
        <v>5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</row>
    <row r="578">
      <c r="A578" t="inlineStr">
        <is>
          <t>A 35472-2019</t>
        </is>
      </c>
      <c r="B578" s="1" t="n">
        <v>43663</v>
      </c>
      <c r="C578" s="1" t="n">
        <v>45156</v>
      </c>
      <c r="D578" t="inlineStr">
        <is>
          <t>STRÖMSUND</t>
        </is>
      </c>
      <c r="E578" t="inlineStr">
        <is>
          <t>Holmen skog AB</t>
        </is>
      </c>
      <c r="F578" t="n">
        <v>1.3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</row>
    <row r="579">
      <c r="A579" t="inlineStr">
        <is>
          <t>A 35621-2019</t>
        </is>
      </c>
      <c r="B579" s="1" t="n">
        <v>43664</v>
      </c>
      <c r="C579" s="1" t="n">
        <v>45156</v>
      </c>
      <c r="D579" t="inlineStr">
        <is>
          <t>STRÖMSUND</t>
        </is>
      </c>
      <c r="F579" t="n">
        <v>35.5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</row>
    <row r="580">
      <c r="A580" t="inlineStr">
        <is>
          <t>A 37880-2019</t>
        </is>
      </c>
      <c r="B580" s="1" t="n">
        <v>43682</v>
      </c>
      <c r="C580" s="1" t="n">
        <v>45156</v>
      </c>
      <c r="D580" t="inlineStr">
        <is>
          <t>STRÖMSUND</t>
        </is>
      </c>
      <c r="F580" t="n">
        <v>3.9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</row>
    <row r="581">
      <c r="A581" t="inlineStr">
        <is>
          <t>A 37879-2019</t>
        </is>
      </c>
      <c r="B581" s="1" t="n">
        <v>43682</v>
      </c>
      <c r="C581" s="1" t="n">
        <v>45156</v>
      </c>
      <c r="D581" t="inlineStr">
        <is>
          <t>STRÖMSUND</t>
        </is>
      </c>
      <c r="E581" t="inlineStr">
        <is>
          <t>SCA</t>
        </is>
      </c>
      <c r="F581" t="n">
        <v>5.3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</row>
    <row r="582">
      <c r="A582" t="inlineStr">
        <is>
          <t>A 38122-2019</t>
        </is>
      </c>
      <c r="B582" s="1" t="n">
        <v>43683</v>
      </c>
      <c r="C582" s="1" t="n">
        <v>45156</v>
      </c>
      <c r="D582" t="inlineStr">
        <is>
          <t>STRÖMSUND</t>
        </is>
      </c>
      <c r="E582" t="inlineStr">
        <is>
          <t>SCA</t>
        </is>
      </c>
      <c r="F582" t="n">
        <v>2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</row>
    <row r="583">
      <c r="A583" t="inlineStr">
        <is>
          <t>A 38312-2019</t>
        </is>
      </c>
      <c r="B583" s="1" t="n">
        <v>43684</v>
      </c>
      <c r="C583" s="1" t="n">
        <v>45156</v>
      </c>
      <c r="D583" t="inlineStr">
        <is>
          <t>STRÖMSUND</t>
        </is>
      </c>
      <c r="E583" t="inlineStr">
        <is>
          <t>SCA</t>
        </is>
      </c>
      <c r="F583" t="n">
        <v>4.1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</row>
    <row r="584">
      <c r="A584" t="inlineStr">
        <is>
          <t>A 38577-2019</t>
        </is>
      </c>
      <c r="B584" s="1" t="n">
        <v>43685</v>
      </c>
      <c r="C584" s="1" t="n">
        <v>45156</v>
      </c>
      <c r="D584" t="inlineStr">
        <is>
          <t>STRÖMSUND</t>
        </is>
      </c>
      <c r="E584" t="inlineStr">
        <is>
          <t>SCA</t>
        </is>
      </c>
      <c r="F584" t="n">
        <v>3.9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</row>
    <row r="585">
      <c r="A585" t="inlineStr">
        <is>
          <t>A 38578-2019</t>
        </is>
      </c>
      <c r="B585" s="1" t="n">
        <v>43685</v>
      </c>
      <c r="C585" s="1" t="n">
        <v>45156</v>
      </c>
      <c r="D585" t="inlineStr">
        <is>
          <t>STRÖMSUND</t>
        </is>
      </c>
      <c r="E585" t="inlineStr">
        <is>
          <t>SCA</t>
        </is>
      </c>
      <c r="F585" t="n">
        <v>19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</row>
    <row r="586">
      <c r="A586" t="inlineStr">
        <is>
          <t>A 39129-2019</t>
        </is>
      </c>
      <c r="B586" s="1" t="n">
        <v>43689</v>
      </c>
      <c r="C586" s="1" t="n">
        <v>45156</v>
      </c>
      <c r="D586" t="inlineStr">
        <is>
          <t>STRÖMSUND</t>
        </is>
      </c>
      <c r="E586" t="inlineStr">
        <is>
          <t>SCA</t>
        </is>
      </c>
      <c r="F586" t="n">
        <v>67.2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</row>
    <row r="587">
      <c r="A587" t="inlineStr">
        <is>
          <t>A 39226-2019</t>
        </is>
      </c>
      <c r="B587" s="1" t="n">
        <v>43690</v>
      </c>
      <c r="C587" s="1" t="n">
        <v>45156</v>
      </c>
      <c r="D587" t="inlineStr">
        <is>
          <t>STRÖMSUND</t>
        </is>
      </c>
      <c r="F587" t="n">
        <v>3.3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</row>
    <row r="588">
      <c r="A588" t="inlineStr">
        <is>
          <t>A 39282-2019</t>
        </is>
      </c>
      <c r="B588" s="1" t="n">
        <v>43690</v>
      </c>
      <c r="C588" s="1" t="n">
        <v>45156</v>
      </c>
      <c r="D588" t="inlineStr">
        <is>
          <t>STRÖMSUND</t>
        </is>
      </c>
      <c r="E588" t="inlineStr">
        <is>
          <t>Holmen skog AB</t>
        </is>
      </c>
      <c r="F588" t="n">
        <v>21.2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</row>
    <row r="589">
      <c r="A589" t="inlineStr">
        <is>
          <t>A 40508-2019</t>
        </is>
      </c>
      <c r="B589" s="1" t="n">
        <v>43696</v>
      </c>
      <c r="C589" s="1" t="n">
        <v>45156</v>
      </c>
      <c r="D589" t="inlineStr">
        <is>
          <t>STRÖMSUND</t>
        </is>
      </c>
      <c r="F589" t="n">
        <v>3.3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</row>
    <row r="590">
      <c r="A590" t="inlineStr">
        <is>
          <t>A 40509-2019</t>
        </is>
      </c>
      <c r="B590" s="1" t="n">
        <v>43696</v>
      </c>
      <c r="C590" s="1" t="n">
        <v>45156</v>
      </c>
      <c r="D590" t="inlineStr">
        <is>
          <t>STRÖMSUND</t>
        </is>
      </c>
      <c r="F590" t="n">
        <v>16.4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</row>
    <row r="591">
      <c r="A591" t="inlineStr">
        <is>
          <t>A 40670-2019</t>
        </is>
      </c>
      <c r="B591" s="1" t="n">
        <v>43696</v>
      </c>
      <c r="C591" s="1" t="n">
        <v>45156</v>
      </c>
      <c r="D591" t="inlineStr">
        <is>
          <t>STRÖMSUND</t>
        </is>
      </c>
      <c r="E591" t="inlineStr">
        <is>
          <t>SCA</t>
        </is>
      </c>
      <c r="F591" t="n">
        <v>8.9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</row>
    <row r="592">
      <c r="A592" t="inlineStr">
        <is>
          <t>A 40661-2019</t>
        </is>
      </c>
      <c r="B592" s="1" t="n">
        <v>43696</v>
      </c>
      <c r="C592" s="1" t="n">
        <v>45156</v>
      </c>
      <c r="D592" t="inlineStr">
        <is>
          <t>STRÖMSUND</t>
        </is>
      </c>
      <c r="F592" t="n">
        <v>2.9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</row>
    <row r="593">
      <c r="A593" t="inlineStr">
        <is>
          <t>A 41007-2019</t>
        </is>
      </c>
      <c r="B593" s="1" t="n">
        <v>43697</v>
      </c>
      <c r="C593" s="1" t="n">
        <v>45156</v>
      </c>
      <c r="D593" t="inlineStr">
        <is>
          <t>STRÖMSUND</t>
        </is>
      </c>
      <c r="F593" t="n">
        <v>7.2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</row>
    <row r="594">
      <c r="A594" t="inlineStr">
        <is>
          <t>A 41042-2019</t>
        </is>
      </c>
      <c r="B594" s="1" t="n">
        <v>43697</v>
      </c>
      <c r="C594" s="1" t="n">
        <v>45156</v>
      </c>
      <c r="D594" t="inlineStr">
        <is>
          <t>STRÖMSUND</t>
        </is>
      </c>
      <c r="E594" t="inlineStr">
        <is>
          <t>SCA</t>
        </is>
      </c>
      <c r="F594" t="n">
        <v>58.2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</row>
    <row r="595">
      <c r="A595" t="inlineStr">
        <is>
          <t>A 42420-2019</t>
        </is>
      </c>
      <c r="B595" s="1" t="n">
        <v>43703</v>
      </c>
      <c r="C595" s="1" t="n">
        <v>45156</v>
      </c>
      <c r="D595" t="inlineStr">
        <is>
          <t>STRÖMSUND</t>
        </is>
      </c>
      <c r="F595" t="n">
        <v>8.4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</row>
    <row r="596">
      <c r="A596" t="inlineStr">
        <is>
          <t>A 43180-2019</t>
        </is>
      </c>
      <c r="B596" s="1" t="n">
        <v>43705</v>
      </c>
      <c r="C596" s="1" t="n">
        <v>45156</v>
      </c>
      <c r="D596" t="inlineStr">
        <is>
          <t>STRÖMSUND</t>
        </is>
      </c>
      <c r="E596" t="inlineStr">
        <is>
          <t>SCA</t>
        </is>
      </c>
      <c r="F596" t="n">
        <v>3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</row>
    <row r="597">
      <c r="A597" t="inlineStr">
        <is>
          <t>A 43793-2019</t>
        </is>
      </c>
      <c r="B597" s="1" t="n">
        <v>43707</v>
      </c>
      <c r="C597" s="1" t="n">
        <v>45156</v>
      </c>
      <c r="D597" t="inlineStr">
        <is>
          <t>STRÖMSUND</t>
        </is>
      </c>
      <c r="E597" t="inlineStr">
        <is>
          <t>Sveaskog</t>
        </is>
      </c>
      <c r="F597" t="n">
        <v>3.1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</row>
    <row r="598">
      <c r="A598" t="inlineStr">
        <is>
          <t>A 45171-2019</t>
        </is>
      </c>
      <c r="B598" s="1" t="n">
        <v>43707</v>
      </c>
      <c r="C598" s="1" t="n">
        <v>45156</v>
      </c>
      <c r="D598" t="inlineStr">
        <is>
          <t>STRÖMSUND</t>
        </is>
      </c>
      <c r="E598" t="inlineStr">
        <is>
          <t>SCA</t>
        </is>
      </c>
      <c r="F598" t="n">
        <v>3.4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</row>
    <row r="599">
      <c r="A599" t="inlineStr">
        <is>
          <t>A 43707-2019</t>
        </is>
      </c>
      <c r="B599" s="1" t="n">
        <v>43707</v>
      </c>
      <c r="C599" s="1" t="n">
        <v>45156</v>
      </c>
      <c r="D599" t="inlineStr">
        <is>
          <t>STRÖMSUND</t>
        </is>
      </c>
      <c r="E599" t="inlineStr">
        <is>
          <t>Sveaskog</t>
        </is>
      </c>
      <c r="F599" t="n">
        <v>0.4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</row>
    <row r="600">
      <c r="A600" t="inlineStr">
        <is>
          <t>A 43943-2019</t>
        </is>
      </c>
      <c r="B600" s="1" t="n">
        <v>43707</v>
      </c>
      <c r="C600" s="1" t="n">
        <v>45156</v>
      </c>
      <c r="D600" t="inlineStr">
        <is>
          <t>STRÖMSUND</t>
        </is>
      </c>
      <c r="E600" t="inlineStr">
        <is>
          <t>SCA</t>
        </is>
      </c>
      <c r="F600" t="n">
        <v>11.9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</row>
    <row r="601">
      <c r="A601" t="inlineStr">
        <is>
          <t>A 44010-2019</t>
        </is>
      </c>
      <c r="B601" s="1" t="n">
        <v>43709</v>
      </c>
      <c r="C601" s="1" t="n">
        <v>45156</v>
      </c>
      <c r="D601" t="inlineStr">
        <is>
          <t>STRÖMSUND</t>
        </is>
      </c>
      <c r="E601" t="inlineStr">
        <is>
          <t>SCA</t>
        </is>
      </c>
      <c r="F601" t="n">
        <v>5.5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</row>
    <row r="602">
      <c r="A602" t="inlineStr">
        <is>
          <t>A 44015-2019</t>
        </is>
      </c>
      <c r="B602" s="1" t="n">
        <v>43709</v>
      </c>
      <c r="C602" s="1" t="n">
        <v>45156</v>
      </c>
      <c r="D602" t="inlineStr">
        <is>
          <t>STRÖMSUND</t>
        </is>
      </c>
      <c r="E602" t="inlineStr">
        <is>
          <t>SCA</t>
        </is>
      </c>
      <c r="F602" t="n">
        <v>7.7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</row>
    <row r="603">
      <c r="A603" t="inlineStr">
        <is>
          <t>A 44535-2019</t>
        </is>
      </c>
      <c r="B603" s="1" t="n">
        <v>43711</v>
      </c>
      <c r="C603" s="1" t="n">
        <v>45156</v>
      </c>
      <c r="D603" t="inlineStr">
        <is>
          <t>STRÖMSUND</t>
        </is>
      </c>
      <c r="F603" t="n">
        <v>23.8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</row>
    <row r="604">
      <c r="A604" t="inlineStr">
        <is>
          <t>A 45737-2019</t>
        </is>
      </c>
      <c r="B604" s="1" t="n">
        <v>43711</v>
      </c>
      <c r="C604" s="1" t="n">
        <v>45156</v>
      </c>
      <c r="D604" t="inlineStr">
        <is>
          <t>STRÖMSUND</t>
        </is>
      </c>
      <c r="E604" t="inlineStr">
        <is>
          <t>Holmen skog AB</t>
        </is>
      </c>
      <c r="F604" t="n">
        <v>9.5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</row>
    <row r="605">
      <c r="A605" t="inlineStr">
        <is>
          <t>A 45773-2019</t>
        </is>
      </c>
      <c r="B605" s="1" t="n">
        <v>43711</v>
      </c>
      <c r="C605" s="1" t="n">
        <v>45156</v>
      </c>
      <c r="D605" t="inlineStr">
        <is>
          <t>STRÖMSUND</t>
        </is>
      </c>
      <c r="F605" t="n">
        <v>3.2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</row>
    <row r="606">
      <c r="A606" t="inlineStr">
        <is>
          <t>A 44605-2019</t>
        </is>
      </c>
      <c r="B606" s="1" t="n">
        <v>43711</v>
      </c>
      <c r="C606" s="1" t="n">
        <v>45156</v>
      </c>
      <c r="D606" t="inlineStr">
        <is>
          <t>STRÖMSUND</t>
        </is>
      </c>
      <c r="E606" t="inlineStr">
        <is>
          <t>SCA</t>
        </is>
      </c>
      <c r="F606" t="n">
        <v>3.9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</row>
    <row r="607">
      <c r="A607" t="inlineStr">
        <is>
          <t>A 44604-2019</t>
        </is>
      </c>
      <c r="B607" s="1" t="n">
        <v>43711</v>
      </c>
      <c r="C607" s="1" t="n">
        <v>45156</v>
      </c>
      <c r="D607" t="inlineStr">
        <is>
          <t>STRÖMSUND</t>
        </is>
      </c>
      <c r="E607" t="inlineStr">
        <is>
          <t>SCA</t>
        </is>
      </c>
      <c r="F607" t="n">
        <v>2.3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</row>
    <row r="608">
      <c r="A608" t="inlineStr">
        <is>
          <t>A 45776-2019</t>
        </is>
      </c>
      <c r="B608" s="1" t="n">
        <v>43711</v>
      </c>
      <c r="C608" s="1" t="n">
        <v>45156</v>
      </c>
      <c r="D608" t="inlineStr">
        <is>
          <t>STRÖMSUND</t>
        </is>
      </c>
      <c r="F608" t="n">
        <v>3.6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</row>
    <row r="609">
      <c r="A609" t="inlineStr">
        <is>
          <t>A 44774-2019</t>
        </is>
      </c>
      <c r="B609" s="1" t="n">
        <v>43712</v>
      </c>
      <c r="C609" s="1" t="n">
        <v>45156</v>
      </c>
      <c r="D609" t="inlineStr">
        <is>
          <t>STRÖMSUND</t>
        </is>
      </c>
      <c r="F609" t="n">
        <v>4.6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</row>
    <row r="610">
      <c r="A610" t="inlineStr">
        <is>
          <t>A 44882-2019</t>
        </is>
      </c>
      <c r="B610" s="1" t="n">
        <v>43712</v>
      </c>
      <c r="C610" s="1" t="n">
        <v>45156</v>
      </c>
      <c r="D610" t="inlineStr">
        <is>
          <t>STRÖMSUND</t>
        </is>
      </c>
      <c r="E610" t="inlineStr">
        <is>
          <t>SCA</t>
        </is>
      </c>
      <c r="F610" t="n">
        <v>3.5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</row>
    <row r="611">
      <c r="A611" t="inlineStr">
        <is>
          <t>A 44809-2019</t>
        </is>
      </c>
      <c r="B611" s="1" t="n">
        <v>43712</v>
      </c>
      <c r="C611" s="1" t="n">
        <v>45156</v>
      </c>
      <c r="D611" t="inlineStr">
        <is>
          <t>STRÖMSUND</t>
        </is>
      </c>
      <c r="E611" t="inlineStr">
        <is>
          <t>Kommuner</t>
        </is>
      </c>
      <c r="F611" t="n">
        <v>13.4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</row>
    <row r="612">
      <c r="A612" t="inlineStr">
        <is>
          <t>A 44956-2019</t>
        </is>
      </c>
      <c r="B612" s="1" t="n">
        <v>43713</v>
      </c>
      <c r="C612" s="1" t="n">
        <v>45156</v>
      </c>
      <c r="D612" t="inlineStr">
        <is>
          <t>STRÖMSUND</t>
        </is>
      </c>
      <c r="F612" t="n">
        <v>2.4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</row>
    <row r="613">
      <c r="A613" t="inlineStr">
        <is>
          <t>A 45165-2019</t>
        </is>
      </c>
      <c r="B613" s="1" t="n">
        <v>43713</v>
      </c>
      <c r="C613" s="1" t="n">
        <v>45156</v>
      </c>
      <c r="D613" t="inlineStr">
        <is>
          <t>STRÖMSUND</t>
        </is>
      </c>
      <c r="E613" t="inlineStr">
        <is>
          <t>Holmen skog AB</t>
        </is>
      </c>
      <c r="F613" t="n">
        <v>25.4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</row>
    <row r="614">
      <c r="A614" t="inlineStr">
        <is>
          <t>A 45362-2019</t>
        </is>
      </c>
      <c r="B614" s="1" t="n">
        <v>43714</v>
      </c>
      <c r="C614" s="1" t="n">
        <v>45156</v>
      </c>
      <c r="D614" t="inlineStr">
        <is>
          <t>STRÖMSUND</t>
        </is>
      </c>
      <c r="F614" t="n">
        <v>4.2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</row>
    <row r="615">
      <c r="A615" t="inlineStr">
        <is>
          <t>A 45835-2019</t>
        </is>
      </c>
      <c r="B615" s="1" t="n">
        <v>43717</v>
      </c>
      <c r="C615" s="1" t="n">
        <v>45156</v>
      </c>
      <c r="D615" t="inlineStr">
        <is>
          <t>STRÖMSUND</t>
        </is>
      </c>
      <c r="E615" t="inlineStr">
        <is>
          <t>Holmen skog AB</t>
        </is>
      </c>
      <c r="F615" t="n">
        <v>5.9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</row>
    <row r="616">
      <c r="A616" t="inlineStr">
        <is>
          <t>A 45918-2019</t>
        </is>
      </c>
      <c r="B616" s="1" t="n">
        <v>43717</v>
      </c>
      <c r="C616" s="1" t="n">
        <v>45156</v>
      </c>
      <c r="D616" t="inlineStr">
        <is>
          <t>STRÖMSUND</t>
        </is>
      </c>
      <c r="F616" t="n">
        <v>1.5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</row>
    <row r="617">
      <c r="A617" t="inlineStr">
        <is>
          <t>A 45649-2019</t>
        </is>
      </c>
      <c r="B617" s="1" t="n">
        <v>43717</v>
      </c>
      <c r="C617" s="1" t="n">
        <v>45156</v>
      </c>
      <c r="D617" t="inlineStr">
        <is>
          <t>STRÖMSUND</t>
        </is>
      </c>
      <c r="E617" t="inlineStr">
        <is>
          <t>Holmen skog AB</t>
        </is>
      </c>
      <c r="F617" t="n">
        <v>24.2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</row>
    <row r="618">
      <c r="A618" t="inlineStr">
        <is>
          <t>A 45917-2019</t>
        </is>
      </c>
      <c r="B618" s="1" t="n">
        <v>43717</v>
      </c>
      <c r="C618" s="1" t="n">
        <v>45156</v>
      </c>
      <c r="D618" t="inlineStr">
        <is>
          <t>STRÖMSUND</t>
        </is>
      </c>
      <c r="F618" t="n">
        <v>1.5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</row>
    <row r="619">
      <c r="A619" t="inlineStr">
        <is>
          <t>A 45963-2019</t>
        </is>
      </c>
      <c r="B619" s="1" t="n">
        <v>43718</v>
      </c>
      <c r="C619" s="1" t="n">
        <v>45156</v>
      </c>
      <c r="D619" t="inlineStr">
        <is>
          <t>STRÖMSUND</t>
        </is>
      </c>
      <c r="E619" t="inlineStr">
        <is>
          <t>Holmen skog AB</t>
        </is>
      </c>
      <c r="F619" t="n">
        <v>11.8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</row>
    <row r="620">
      <c r="A620" t="inlineStr">
        <is>
          <t>A 47410-2019</t>
        </is>
      </c>
      <c r="B620" s="1" t="n">
        <v>43723</v>
      </c>
      <c r="C620" s="1" t="n">
        <v>45156</v>
      </c>
      <c r="D620" t="inlineStr">
        <is>
          <t>STRÖMSUND</t>
        </is>
      </c>
      <c r="F620" t="n">
        <v>5.4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</row>
    <row r="621">
      <c r="A621" t="inlineStr">
        <is>
          <t>A 47811-2019</t>
        </is>
      </c>
      <c r="B621" s="1" t="n">
        <v>43724</v>
      </c>
      <c r="C621" s="1" t="n">
        <v>45156</v>
      </c>
      <c r="D621" t="inlineStr">
        <is>
          <t>STRÖMSUND</t>
        </is>
      </c>
      <c r="E621" t="inlineStr">
        <is>
          <t>SCA</t>
        </is>
      </c>
      <c r="F621" t="n">
        <v>14.6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</row>
    <row r="622">
      <c r="A622" t="inlineStr">
        <is>
          <t>A 48052-2019</t>
        </is>
      </c>
      <c r="B622" s="1" t="n">
        <v>43725</v>
      </c>
      <c r="C622" s="1" t="n">
        <v>45156</v>
      </c>
      <c r="D622" t="inlineStr">
        <is>
          <t>STRÖMSUND</t>
        </is>
      </c>
      <c r="F622" t="n">
        <v>4.8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</row>
    <row r="623">
      <c r="A623" t="inlineStr">
        <is>
          <t>A 48578-2019</t>
        </is>
      </c>
      <c r="B623" s="1" t="n">
        <v>43727</v>
      </c>
      <c r="C623" s="1" t="n">
        <v>45156</v>
      </c>
      <c r="D623" t="inlineStr">
        <is>
          <t>STRÖMSUND</t>
        </is>
      </c>
      <c r="F623" t="n">
        <v>20.8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</row>
    <row r="624">
      <c r="A624" t="inlineStr">
        <is>
          <t>A 48620-2019</t>
        </is>
      </c>
      <c r="B624" s="1" t="n">
        <v>43727</v>
      </c>
      <c r="C624" s="1" t="n">
        <v>45156</v>
      </c>
      <c r="D624" t="inlineStr">
        <is>
          <t>STRÖMSUND</t>
        </is>
      </c>
      <c r="F624" t="n">
        <v>2.4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</row>
    <row r="625">
      <c r="A625" t="inlineStr">
        <is>
          <t>A 48565-2019</t>
        </is>
      </c>
      <c r="B625" s="1" t="n">
        <v>43727</v>
      </c>
      <c r="C625" s="1" t="n">
        <v>45156</v>
      </c>
      <c r="D625" t="inlineStr">
        <is>
          <t>STRÖMSUND</t>
        </is>
      </c>
      <c r="F625" t="n">
        <v>2.8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</row>
    <row r="626">
      <c r="A626" t="inlineStr">
        <is>
          <t>A 48573-2019</t>
        </is>
      </c>
      <c r="B626" s="1" t="n">
        <v>43727</v>
      </c>
      <c r="C626" s="1" t="n">
        <v>45156</v>
      </c>
      <c r="D626" t="inlineStr">
        <is>
          <t>STRÖMSUND</t>
        </is>
      </c>
      <c r="F626" t="n">
        <v>7.5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</row>
    <row r="627">
      <c r="A627" t="inlineStr">
        <is>
          <t>A 48965-2019</t>
        </is>
      </c>
      <c r="B627" s="1" t="n">
        <v>43728</v>
      </c>
      <c r="C627" s="1" t="n">
        <v>45156</v>
      </c>
      <c r="D627" t="inlineStr">
        <is>
          <t>STRÖMSUND</t>
        </is>
      </c>
      <c r="E627" t="inlineStr">
        <is>
          <t>SCA</t>
        </is>
      </c>
      <c r="F627" t="n">
        <v>2.2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</row>
    <row r="628">
      <c r="A628" t="inlineStr">
        <is>
          <t>A 48951-2019</t>
        </is>
      </c>
      <c r="B628" s="1" t="n">
        <v>43728</v>
      </c>
      <c r="C628" s="1" t="n">
        <v>45156</v>
      </c>
      <c r="D628" t="inlineStr">
        <is>
          <t>STRÖMSUND</t>
        </is>
      </c>
      <c r="E628" t="inlineStr">
        <is>
          <t>SCA</t>
        </is>
      </c>
      <c r="F628" t="n">
        <v>1.3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</row>
    <row r="629">
      <c r="A629" t="inlineStr">
        <is>
          <t>A 49291-2019</t>
        </is>
      </c>
      <c r="B629" s="1" t="n">
        <v>43731</v>
      </c>
      <c r="C629" s="1" t="n">
        <v>45156</v>
      </c>
      <c r="D629" t="inlineStr">
        <is>
          <t>STRÖMSUND</t>
        </is>
      </c>
      <c r="F629" t="n">
        <v>20.7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</row>
    <row r="630">
      <c r="A630" t="inlineStr">
        <is>
          <t>A 49316-2019</t>
        </is>
      </c>
      <c r="B630" s="1" t="n">
        <v>43731</v>
      </c>
      <c r="C630" s="1" t="n">
        <v>45156</v>
      </c>
      <c r="D630" t="inlineStr">
        <is>
          <t>STRÖMSUND</t>
        </is>
      </c>
      <c r="F630" t="n">
        <v>1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</row>
    <row r="631">
      <c r="A631" t="inlineStr">
        <is>
          <t>A 50001-2019</t>
        </is>
      </c>
      <c r="B631" s="1" t="n">
        <v>43733</v>
      </c>
      <c r="C631" s="1" t="n">
        <v>45156</v>
      </c>
      <c r="D631" t="inlineStr">
        <is>
          <t>STRÖMSUND</t>
        </is>
      </c>
      <c r="E631" t="inlineStr">
        <is>
          <t>SCA</t>
        </is>
      </c>
      <c r="F631" t="n">
        <v>5.3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</row>
    <row r="632">
      <c r="A632" t="inlineStr">
        <is>
          <t>A 50302-2019</t>
        </is>
      </c>
      <c r="B632" s="1" t="n">
        <v>43734</v>
      </c>
      <c r="C632" s="1" t="n">
        <v>45156</v>
      </c>
      <c r="D632" t="inlineStr">
        <is>
          <t>STRÖMSUND</t>
        </is>
      </c>
      <c r="E632" t="inlineStr">
        <is>
          <t>SCA</t>
        </is>
      </c>
      <c r="F632" t="n">
        <v>1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</row>
    <row r="633">
      <c r="A633" t="inlineStr">
        <is>
          <t>A 50305-2019</t>
        </is>
      </c>
      <c r="B633" s="1" t="n">
        <v>43734</v>
      </c>
      <c r="C633" s="1" t="n">
        <v>45156</v>
      </c>
      <c r="D633" t="inlineStr">
        <is>
          <t>STRÖMSUND</t>
        </is>
      </c>
      <c r="E633" t="inlineStr">
        <is>
          <t>SCA</t>
        </is>
      </c>
      <c r="F633" t="n">
        <v>0.6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</row>
    <row r="634">
      <c r="A634" t="inlineStr">
        <is>
          <t>A 51008-2019</t>
        </is>
      </c>
      <c r="B634" s="1" t="n">
        <v>43738</v>
      </c>
      <c r="C634" s="1" t="n">
        <v>45156</v>
      </c>
      <c r="D634" t="inlineStr">
        <is>
          <t>STRÖMSUND</t>
        </is>
      </c>
      <c r="E634" t="inlineStr">
        <is>
          <t>SCA</t>
        </is>
      </c>
      <c r="F634" t="n">
        <v>4.8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</row>
    <row r="635">
      <c r="A635" t="inlineStr">
        <is>
          <t>A 51015-2019</t>
        </is>
      </c>
      <c r="B635" s="1" t="n">
        <v>43739</v>
      </c>
      <c r="C635" s="1" t="n">
        <v>45156</v>
      </c>
      <c r="D635" t="inlineStr">
        <is>
          <t>STRÖMSUND</t>
        </is>
      </c>
      <c r="F635" t="n">
        <v>2.1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</row>
    <row r="636">
      <c r="A636" t="inlineStr">
        <is>
          <t>A 51183-2019</t>
        </is>
      </c>
      <c r="B636" s="1" t="n">
        <v>43739</v>
      </c>
      <c r="C636" s="1" t="n">
        <v>45156</v>
      </c>
      <c r="D636" t="inlineStr">
        <is>
          <t>STRÖMSUND</t>
        </is>
      </c>
      <c r="E636" t="inlineStr">
        <is>
          <t>Sveaskog</t>
        </is>
      </c>
      <c r="F636" t="n">
        <v>6.9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</row>
    <row r="637">
      <c r="A637" t="inlineStr">
        <is>
          <t>A 51678-2019</t>
        </is>
      </c>
      <c r="B637" s="1" t="n">
        <v>43740</v>
      </c>
      <c r="C637" s="1" t="n">
        <v>45156</v>
      </c>
      <c r="D637" t="inlineStr">
        <is>
          <t>STRÖMSUND</t>
        </is>
      </c>
      <c r="E637" t="inlineStr">
        <is>
          <t>SCA</t>
        </is>
      </c>
      <c r="F637" t="n">
        <v>2.7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</row>
    <row r="638">
      <c r="A638" t="inlineStr">
        <is>
          <t>A 51951-2019</t>
        </is>
      </c>
      <c r="B638" s="1" t="n">
        <v>43741</v>
      </c>
      <c r="C638" s="1" t="n">
        <v>45156</v>
      </c>
      <c r="D638" t="inlineStr">
        <is>
          <t>STRÖMSUND</t>
        </is>
      </c>
      <c r="E638" t="inlineStr">
        <is>
          <t>SCA</t>
        </is>
      </c>
      <c r="F638" t="n">
        <v>2.9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</row>
    <row r="639">
      <c r="A639" t="inlineStr">
        <is>
          <t>A 52258-2019</t>
        </is>
      </c>
      <c r="B639" s="1" t="n">
        <v>43742</v>
      </c>
      <c r="C639" s="1" t="n">
        <v>45156</v>
      </c>
      <c r="D639" t="inlineStr">
        <is>
          <t>STRÖMSUND</t>
        </is>
      </c>
      <c r="E639" t="inlineStr">
        <is>
          <t>SCA</t>
        </is>
      </c>
      <c r="F639" t="n">
        <v>5.3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</row>
    <row r="640">
      <c r="A640" t="inlineStr">
        <is>
          <t>A 52384-2019</t>
        </is>
      </c>
      <c r="B640" s="1" t="n">
        <v>43745</v>
      </c>
      <c r="C640" s="1" t="n">
        <v>45156</v>
      </c>
      <c r="D640" t="inlineStr">
        <is>
          <t>STRÖMSUND</t>
        </is>
      </c>
      <c r="F640" t="n">
        <v>3.7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</row>
    <row r="641">
      <c r="A641" t="inlineStr">
        <is>
          <t>A 53886-2019</t>
        </is>
      </c>
      <c r="B641" s="1" t="n">
        <v>43745</v>
      </c>
      <c r="C641" s="1" t="n">
        <v>45156</v>
      </c>
      <c r="D641" t="inlineStr">
        <is>
          <t>STRÖMSUND</t>
        </is>
      </c>
      <c r="F641" t="n">
        <v>15.2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</row>
    <row r="642">
      <c r="A642" t="inlineStr">
        <is>
          <t>A 53874-2019</t>
        </is>
      </c>
      <c r="B642" s="1" t="n">
        <v>43745</v>
      </c>
      <c r="C642" s="1" t="n">
        <v>45156</v>
      </c>
      <c r="D642" t="inlineStr">
        <is>
          <t>STRÖMSUND</t>
        </is>
      </c>
      <c r="F642" t="n">
        <v>10.1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</row>
    <row r="643">
      <c r="A643" t="inlineStr">
        <is>
          <t>A 53483-2019</t>
        </is>
      </c>
      <c r="B643" s="1" t="n">
        <v>43748</v>
      </c>
      <c r="C643" s="1" t="n">
        <v>45156</v>
      </c>
      <c r="D643" t="inlineStr">
        <is>
          <t>STRÖMSUND</t>
        </is>
      </c>
      <c r="E643" t="inlineStr">
        <is>
          <t>SCA</t>
        </is>
      </c>
      <c r="F643" t="n">
        <v>4.8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</row>
    <row r="644">
      <c r="A644" t="inlineStr">
        <is>
          <t>A 53895-2019</t>
        </is>
      </c>
      <c r="B644" s="1" t="n">
        <v>43748</v>
      </c>
      <c r="C644" s="1" t="n">
        <v>45156</v>
      </c>
      <c r="D644" t="inlineStr">
        <is>
          <t>STRÖMSUND</t>
        </is>
      </c>
      <c r="F644" t="n">
        <v>2.8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</row>
    <row r="645">
      <c r="A645" t="inlineStr">
        <is>
          <t>A 53898-2019</t>
        </is>
      </c>
      <c r="B645" s="1" t="n">
        <v>43748</v>
      </c>
      <c r="C645" s="1" t="n">
        <v>45156</v>
      </c>
      <c r="D645" t="inlineStr">
        <is>
          <t>STRÖMSUND</t>
        </is>
      </c>
      <c r="F645" t="n">
        <v>4.2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</row>
    <row r="646">
      <c r="A646" t="inlineStr">
        <is>
          <t>A 53482-2019</t>
        </is>
      </c>
      <c r="B646" s="1" t="n">
        <v>43748</v>
      </c>
      <c r="C646" s="1" t="n">
        <v>45156</v>
      </c>
      <c r="D646" t="inlineStr">
        <is>
          <t>STRÖMSUND</t>
        </is>
      </c>
      <c r="E646" t="inlineStr">
        <is>
          <t>SCA</t>
        </is>
      </c>
      <c r="F646" t="n">
        <v>2.9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</row>
    <row r="647">
      <c r="A647" t="inlineStr">
        <is>
          <t>A 54235-2019</t>
        </is>
      </c>
      <c r="B647" s="1" t="n">
        <v>43748</v>
      </c>
      <c r="C647" s="1" t="n">
        <v>45156</v>
      </c>
      <c r="D647" t="inlineStr">
        <is>
          <t>STRÖMSUND</t>
        </is>
      </c>
      <c r="F647" t="n">
        <v>0.9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</row>
    <row r="648">
      <c r="A648" t="inlineStr">
        <is>
          <t>A 57227-2019</t>
        </is>
      </c>
      <c r="B648" s="1" t="n">
        <v>43748</v>
      </c>
      <c r="C648" s="1" t="n">
        <v>45156</v>
      </c>
      <c r="D648" t="inlineStr">
        <is>
          <t>STRÖMSUND</t>
        </is>
      </c>
      <c r="F648" t="n">
        <v>1.1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</row>
    <row r="649">
      <c r="A649" t="inlineStr">
        <is>
          <t>A 54672-2019</t>
        </is>
      </c>
      <c r="B649" s="1" t="n">
        <v>43754</v>
      </c>
      <c r="C649" s="1" t="n">
        <v>45156</v>
      </c>
      <c r="D649" t="inlineStr">
        <is>
          <t>STRÖMSUND</t>
        </is>
      </c>
      <c r="E649" t="inlineStr">
        <is>
          <t>SCA</t>
        </is>
      </c>
      <c r="F649" t="n">
        <v>15.7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</row>
    <row r="650">
      <c r="A650" t="inlineStr">
        <is>
          <t>A 55028-2019</t>
        </is>
      </c>
      <c r="B650" s="1" t="n">
        <v>43755</v>
      </c>
      <c r="C650" s="1" t="n">
        <v>45156</v>
      </c>
      <c r="D650" t="inlineStr">
        <is>
          <t>STRÖMSUND</t>
        </is>
      </c>
      <c r="E650" t="inlineStr">
        <is>
          <t>SCA</t>
        </is>
      </c>
      <c r="F650" t="n">
        <v>1.5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</row>
    <row r="651">
      <c r="A651" t="inlineStr">
        <is>
          <t>A 56155-2019</t>
        </is>
      </c>
      <c r="B651" s="1" t="n">
        <v>43756</v>
      </c>
      <c r="C651" s="1" t="n">
        <v>45156</v>
      </c>
      <c r="D651" t="inlineStr">
        <is>
          <t>STRÖMSUND</t>
        </is>
      </c>
      <c r="F651" t="n">
        <v>4.7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</row>
    <row r="652">
      <c r="A652" t="inlineStr">
        <is>
          <t>A 23225-2020</t>
        </is>
      </c>
      <c r="B652" s="1" t="n">
        <v>43756</v>
      </c>
      <c r="C652" s="1" t="n">
        <v>45156</v>
      </c>
      <c r="D652" t="inlineStr">
        <is>
          <t>STRÖMSUND</t>
        </is>
      </c>
      <c r="F652" t="n">
        <v>4.8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</row>
    <row r="653">
      <c r="A653" t="inlineStr">
        <is>
          <t>A 55725-2019</t>
        </is>
      </c>
      <c r="B653" s="1" t="n">
        <v>43760</v>
      </c>
      <c r="C653" s="1" t="n">
        <v>45156</v>
      </c>
      <c r="D653" t="inlineStr">
        <is>
          <t>STRÖMSUND</t>
        </is>
      </c>
      <c r="E653" t="inlineStr">
        <is>
          <t>SCA</t>
        </is>
      </c>
      <c r="F653" t="n">
        <v>2.9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</row>
    <row r="654">
      <c r="A654" t="inlineStr">
        <is>
          <t>A 55675-2019</t>
        </is>
      </c>
      <c r="B654" s="1" t="n">
        <v>43760</v>
      </c>
      <c r="C654" s="1" t="n">
        <v>45156</v>
      </c>
      <c r="D654" t="inlineStr">
        <is>
          <t>STRÖMSUND</t>
        </is>
      </c>
      <c r="F654" t="n">
        <v>0.6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</row>
    <row r="655">
      <c r="A655" t="inlineStr">
        <is>
          <t>A 55663-2019</t>
        </is>
      </c>
      <c r="B655" s="1" t="n">
        <v>43760</v>
      </c>
      <c r="C655" s="1" t="n">
        <v>45156</v>
      </c>
      <c r="D655" t="inlineStr">
        <is>
          <t>STRÖMSUND</t>
        </is>
      </c>
      <c r="E655" t="inlineStr">
        <is>
          <t>Holmen skog AB</t>
        </is>
      </c>
      <c r="F655" t="n">
        <v>2.6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</row>
    <row r="656">
      <c r="A656" t="inlineStr">
        <is>
          <t>A 55728-2019</t>
        </is>
      </c>
      <c r="B656" s="1" t="n">
        <v>43760</v>
      </c>
      <c r="C656" s="1" t="n">
        <v>45156</v>
      </c>
      <c r="D656" t="inlineStr">
        <is>
          <t>STRÖMSUND</t>
        </is>
      </c>
      <c r="F656" t="n">
        <v>0.6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</row>
    <row r="657">
      <c r="A657" t="inlineStr">
        <is>
          <t>A 56799-2019</t>
        </is>
      </c>
      <c r="B657" s="1" t="n">
        <v>43763</v>
      </c>
      <c r="C657" s="1" t="n">
        <v>45156</v>
      </c>
      <c r="D657" t="inlineStr">
        <is>
          <t>STRÖMSUND</t>
        </is>
      </c>
      <c r="E657" t="inlineStr">
        <is>
          <t>SCA</t>
        </is>
      </c>
      <c r="F657" t="n">
        <v>4.7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</row>
    <row r="658">
      <c r="A658" t="inlineStr">
        <is>
          <t>A 56798-2019</t>
        </is>
      </c>
      <c r="B658" s="1" t="n">
        <v>43763</v>
      </c>
      <c r="C658" s="1" t="n">
        <v>45156</v>
      </c>
      <c r="D658" t="inlineStr">
        <is>
          <t>STRÖMSUND</t>
        </is>
      </c>
      <c r="E658" t="inlineStr">
        <is>
          <t>SCA</t>
        </is>
      </c>
      <c r="F658" t="n">
        <v>5.1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</row>
    <row r="659">
      <c r="A659" t="inlineStr">
        <is>
          <t>A 56809-2019</t>
        </is>
      </c>
      <c r="B659" s="1" t="n">
        <v>43763</v>
      </c>
      <c r="C659" s="1" t="n">
        <v>45156</v>
      </c>
      <c r="D659" t="inlineStr">
        <is>
          <t>STRÖMSUND</t>
        </is>
      </c>
      <c r="E659" t="inlineStr">
        <is>
          <t>SCA</t>
        </is>
      </c>
      <c r="F659" t="n">
        <v>0.9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</row>
    <row r="660">
      <c r="A660" t="inlineStr">
        <is>
          <t>A 56800-2019</t>
        </is>
      </c>
      <c r="B660" s="1" t="n">
        <v>43763</v>
      </c>
      <c r="C660" s="1" t="n">
        <v>45156</v>
      </c>
      <c r="D660" t="inlineStr">
        <is>
          <t>STRÖMSUND</t>
        </is>
      </c>
      <c r="E660" t="inlineStr">
        <is>
          <t>SCA</t>
        </is>
      </c>
      <c r="F660" t="n">
        <v>0.8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</row>
    <row r="661">
      <c r="A661" t="inlineStr">
        <is>
          <t>A 56797-2019</t>
        </is>
      </c>
      <c r="B661" s="1" t="n">
        <v>43763</v>
      </c>
      <c r="C661" s="1" t="n">
        <v>45156</v>
      </c>
      <c r="D661" t="inlineStr">
        <is>
          <t>STRÖMSUND</t>
        </is>
      </c>
      <c r="E661" t="inlineStr">
        <is>
          <t>SCA</t>
        </is>
      </c>
      <c r="F661" t="n">
        <v>3.3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</row>
    <row r="662">
      <c r="A662" t="inlineStr">
        <is>
          <t>A 56801-2019</t>
        </is>
      </c>
      <c r="B662" s="1" t="n">
        <v>43763</v>
      </c>
      <c r="C662" s="1" t="n">
        <v>45156</v>
      </c>
      <c r="D662" t="inlineStr">
        <is>
          <t>STRÖMSUND</t>
        </is>
      </c>
      <c r="E662" t="inlineStr">
        <is>
          <t>SCA</t>
        </is>
      </c>
      <c r="F662" t="n">
        <v>2.7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</row>
    <row r="663">
      <c r="A663" t="inlineStr">
        <is>
          <t>A 56808-2019</t>
        </is>
      </c>
      <c r="B663" s="1" t="n">
        <v>43763</v>
      </c>
      <c r="C663" s="1" t="n">
        <v>45156</v>
      </c>
      <c r="D663" t="inlineStr">
        <is>
          <t>STRÖMSUND</t>
        </is>
      </c>
      <c r="E663" t="inlineStr">
        <is>
          <t>SCA</t>
        </is>
      </c>
      <c r="F663" t="n">
        <v>3.8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</row>
    <row r="664">
      <c r="A664" t="inlineStr">
        <is>
          <t>A 57546-2019</t>
        </is>
      </c>
      <c r="B664" s="1" t="n">
        <v>43767</v>
      </c>
      <c r="C664" s="1" t="n">
        <v>45156</v>
      </c>
      <c r="D664" t="inlineStr">
        <is>
          <t>STRÖMSUND</t>
        </is>
      </c>
      <c r="E664" t="inlineStr">
        <is>
          <t>SCA</t>
        </is>
      </c>
      <c r="F664" t="n">
        <v>1.6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</row>
    <row r="665">
      <c r="A665" t="inlineStr">
        <is>
          <t>A 58662-2019</t>
        </is>
      </c>
      <c r="B665" s="1" t="n">
        <v>43767</v>
      </c>
      <c r="C665" s="1" t="n">
        <v>45156</v>
      </c>
      <c r="D665" t="inlineStr">
        <is>
          <t>STRÖMSUND</t>
        </is>
      </c>
      <c r="F665" t="n">
        <v>18.4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</row>
    <row r="666">
      <c r="A666" t="inlineStr">
        <is>
          <t>A 57547-2019</t>
        </is>
      </c>
      <c r="B666" s="1" t="n">
        <v>43767</v>
      </c>
      <c r="C666" s="1" t="n">
        <v>45156</v>
      </c>
      <c r="D666" t="inlineStr">
        <is>
          <t>STRÖMSUND</t>
        </is>
      </c>
      <c r="E666" t="inlineStr">
        <is>
          <t>SCA</t>
        </is>
      </c>
      <c r="F666" t="n">
        <v>1.1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</row>
    <row r="667">
      <c r="A667" t="inlineStr">
        <is>
          <t>A 57552-2019</t>
        </is>
      </c>
      <c r="B667" s="1" t="n">
        <v>43767</v>
      </c>
      <c r="C667" s="1" t="n">
        <v>45156</v>
      </c>
      <c r="D667" t="inlineStr">
        <is>
          <t>STRÖMSUND</t>
        </is>
      </c>
      <c r="F667" t="n">
        <v>1.4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</row>
    <row r="668">
      <c r="A668" t="inlineStr">
        <is>
          <t>A 57872-2019</t>
        </is>
      </c>
      <c r="B668" s="1" t="n">
        <v>43768</v>
      </c>
      <c r="C668" s="1" t="n">
        <v>45156</v>
      </c>
      <c r="D668" t="inlineStr">
        <is>
          <t>STRÖMSUND</t>
        </is>
      </c>
      <c r="F668" t="n">
        <v>47.2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</row>
    <row r="669">
      <c r="A669" t="inlineStr">
        <is>
          <t>A 57873-2019</t>
        </is>
      </c>
      <c r="B669" s="1" t="n">
        <v>43768</v>
      </c>
      <c r="C669" s="1" t="n">
        <v>45156</v>
      </c>
      <c r="D669" t="inlineStr">
        <is>
          <t>STRÖMSUND</t>
        </is>
      </c>
      <c r="F669" t="n">
        <v>2.5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</row>
    <row r="670">
      <c r="A670" t="inlineStr">
        <is>
          <t>A 58844-2019</t>
        </is>
      </c>
      <c r="B670" s="1" t="n">
        <v>43768</v>
      </c>
      <c r="C670" s="1" t="n">
        <v>45156</v>
      </c>
      <c r="D670" t="inlineStr">
        <is>
          <t>STRÖMSUND</t>
        </is>
      </c>
      <c r="F670" t="n">
        <v>4.8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</row>
    <row r="671">
      <c r="A671" t="inlineStr">
        <is>
          <t>A 58851-2019</t>
        </is>
      </c>
      <c r="B671" s="1" t="n">
        <v>43768</v>
      </c>
      <c r="C671" s="1" t="n">
        <v>45156</v>
      </c>
      <c r="D671" t="inlineStr">
        <is>
          <t>STRÖMSUND</t>
        </is>
      </c>
      <c r="F671" t="n">
        <v>17.6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</row>
    <row r="672">
      <c r="A672" t="inlineStr">
        <is>
          <t>A 58172-2019</t>
        </is>
      </c>
      <c r="B672" s="1" t="n">
        <v>43769</v>
      </c>
      <c r="C672" s="1" t="n">
        <v>45156</v>
      </c>
      <c r="D672" t="inlineStr">
        <is>
          <t>STRÖMSUND</t>
        </is>
      </c>
      <c r="E672" t="inlineStr">
        <is>
          <t>SCA</t>
        </is>
      </c>
      <c r="F672" t="n">
        <v>1.2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</row>
    <row r="673">
      <c r="A673" t="inlineStr">
        <is>
          <t>A 59425-2019</t>
        </is>
      </c>
      <c r="B673" s="1" t="n">
        <v>43775</v>
      </c>
      <c r="C673" s="1" t="n">
        <v>45156</v>
      </c>
      <c r="D673" t="inlineStr">
        <is>
          <t>STRÖMSUND</t>
        </is>
      </c>
      <c r="E673" t="inlineStr">
        <is>
          <t>SCA</t>
        </is>
      </c>
      <c r="F673" t="n">
        <v>1.9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</row>
    <row r="674">
      <c r="A674" t="inlineStr">
        <is>
          <t>A 59456-2019</t>
        </is>
      </c>
      <c r="B674" s="1" t="n">
        <v>43776</v>
      </c>
      <c r="C674" s="1" t="n">
        <v>45156</v>
      </c>
      <c r="D674" t="inlineStr">
        <is>
          <t>STRÖMSUND</t>
        </is>
      </c>
      <c r="F674" t="n">
        <v>2.1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</row>
    <row r="675">
      <c r="A675" t="inlineStr">
        <is>
          <t>A 60112-2019</t>
        </is>
      </c>
      <c r="B675" s="1" t="n">
        <v>43777</v>
      </c>
      <c r="C675" s="1" t="n">
        <v>45156</v>
      </c>
      <c r="D675" t="inlineStr">
        <is>
          <t>STRÖMSUND</t>
        </is>
      </c>
      <c r="E675" t="inlineStr">
        <is>
          <t>SCA</t>
        </is>
      </c>
      <c r="F675" t="n">
        <v>5.7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</row>
    <row r="676">
      <c r="A676" t="inlineStr">
        <is>
          <t>A 61411-2019</t>
        </is>
      </c>
      <c r="B676" s="1" t="n">
        <v>43780</v>
      </c>
      <c r="C676" s="1" t="n">
        <v>45156</v>
      </c>
      <c r="D676" t="inlineStr">
        <is>
          <t>STRÖMSUND</t>
        </is>
      </c>
      <c r="F676" t="n">
        <v>2.3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</row>
    <row r="677">
      <c r="A677" t="inlineStr">
        <is>
          <t>A 61703-2019</t>
        </is>
      </c>
      <c r="B677" s="1" t="n">
        <v>43780</v>
      </c>
      <c r="C677" s="1" t="n">
        <v>45156</v>
      </c>
      <c r="D677" t="inlineStr">
        <is>
          <t>STRÖMSUND</t>
        </is>
      </c>
      <c r="F677" t="n">
        <v>4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</row>
    <row r="678">
      <c r="A678" t="inlineStr">
        <is>
          <t>A 61705-2019</t>
        </is>
      </c>
      <c r="B678" s="1" t="n">
        <v>43780</v>
      </c>
      <c r="C678" s="1" t="n">
        <v>45156</v>
      </c>
      <c r="D678" t="inlineStr">
        <is>
          <t>STRÖMSUND</t>
        </is>
      </c>
      <c r="F678" t="n">
        <v>6.4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</row>
    <row r="679">
      <c r="A679" t="inlineStr">
        <is>
          <t>A 60536-2019</t>
        </is>
      </c>
      <c r="B679" s="1" t="n">
        <v>43781</v>
      </c>
      <c r="C679" s="1" t="n">
        <v>45156</v>
      </c>
      <c r="D679" t="inlineStr">
        <is>
          <t>STRÖMSUND</t>
        </is>
      </c>
      <c r="F679" t="n">
        <v>0.2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</row>
    <row r="680">
      <c r="A680" t="inlineStr">
        <is>
          <t>A 60569-2019</t>
        </is>
      </c>
      <c r="B680" s="1" t="n">
        <v>43781</v>
      </c>
      <c r="C680" s="1" t="n">
        <v>45156</v>
      </c>
      <c r="D680" t="inlineStr">
        <is>
          <t>STRÖMSUND</t>
        </is>
      </c>
      <c r="F680" t="n">
        <v>1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</row>
    <row r="681">
      <c r="A681" t="inlineStr">
        <is>
          <t>A 60955-2019</t>
        </is>
      </c>
      <c r="B681" s="1" t="n">
        <v>43782</v>
      </c>
      <c r="C681" s="1" t="n">
        <v>45156</v>
      </c>
      <c r="D681" t="inlineStr">
        <is>
          <t>STRÖMSUND</t>
        </is>
      </c>
      <c r="E681" t="inlineStr">
        <is>
          <t>Holmen skog AB</t>
        </is>
      </c>
      <c r="F681" t="n">
        <v>6.6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</row>
    <row r="682">
      <c r="A682" t="inlineStr">
        <is>
          <t>A 61122-2019</t>
        </is>
      </c>
      <c r="B682" s="1" t="n">
        <v>43782</v>
      </c>
      <c r="C682" s="1" t="n">
        <v>45156</v>
      </c>
      <c r="D682" t="inlineStr">
        <is>
          <t>STRÖMSUND</t>
        </is>
      </c>
      <c r="E682" t="inlineStr">
        <is>
          <t>Holmen skog AB</t>
        </is>
      </c>
      <c r="F682" t="n">
        <v>0.9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</row>
    <row r="683">
      <c r="A683" t="inlineStr">
        <is>
          <t>A 62256-2019</t>
        </is>
      </c>
      <c r="B683" s="1" t="n">
        <v>43782</v>
      </c>
      <c r="C683" s="1" t="n">
        <v>45156</v>
      </c>
      <c r="D683" t="inlineStr">
        <is>
          <t>STRÖMSUND</t>
        </is>
      </c>
      <c r="F683" t="n">
        <v>1.6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</row>
    <row r="684">
      <c r="A684" t="inlineStr">
        <is>
          <t>A 61690-2019</t>
        </is>
      </c>
      <c r="B684" s="1" t="n">
        <v>43784</v>
      </c>
      <c r="C684" s="1" t="n">
        <v>45156</v>
      </c>
      <c r="D684" t="inlineStr">
        <is>
          <t>STRÖMSUND</t>
        </is>
      </c>
      <c r="F684" t="n">
        <v>6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</row>
    <row r="685">
      <c r="A685" t="inlineStr">
        <is>
          <t>A 61778-2019</t>
        </is>
      </c>
      <c r="B685" s="1" t="n">
        <v>43784</v>
      </c>
      <c r="C685" s="1" t="n">
        <v>45156</v>
      </c>
      <c r="D685" t="inlineStr">
        <is>
          <t>STRÖMSUND</t>
        </is>
      </c>
      <c r="F685" t="n">
        <v>1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</row>
    <row r="686">
      <c r="A686" t="inlineStr">
        <is>
          <t>A 61830-2019</t>
        </is>
      </c>
      <c r="B686" s="1" t="n">
        <v>43786</v>
      </c>
      <c r="C686" s="1" t="n">
        <v>45156</v>
      </c>
      <c r="D686" t="inlineStr">
        <is>
          <t>STRÖMSUND</t>
        </is>
      </c>
      <c r="F686" t="n">
        <v>8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</row>
    <row r="687">
      <c r="A687" t="inlineStr">
        <is>
          <t>A 61835-2019</t>
        </is>
      </c>
      <c r="B687" s="1" t="n">
        <v>43786</v>
      </c>
      <c r="C687" s="1" t="n">
        <v>45156</v>
      </c>
      <c r="D687" t="inlineStr">
        <is>
          <t>STRÖMSUND</t>
        </is>
      </c>
      <c r="F687" t="n">
        <v>6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</row>
    <row r="688">
      <c r="A688" t="inlineStr">
        <is>
          <t>A 61832-2019</t>
        </is>
      </c>
      <c r="B688" s="1" t="n">
        <v>43786</v>
      </c>
      <c r="C688" s="1" t="n">
        <v>45156</v>
      </c>
      <c r="D688" t="inlineStr">
        <is>
          <t>STRÖMSUND</t>
        </is>
      </c>
      <c r="F688" t="n">
        <v>19.9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</row>
    <row r="689">
      <c r="A689" t="inlineStr">
        <is>
          <t>A 61836-2019</t>
        </is>
      </c>
      <c r="B689" s="1" t="n">
        <v>43786</v>
      </c>
      <c r="C689" s="1" t="n">
        <v>45156</v>
      </c>
      <c r="D689" t="inlineStr">
        <is>
          <t>STRÖMSUND</t>
        </is>
      </c>
      <c r="F689" t="n">
        <v>3.1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</row>
    <row r="690">
      <c r="A690" t="inlineStr">
        <is>
          <t>A 61833-2019</t>
        </is>
      </c>
      <c r="B690" s="1" t="n">
        <v>43786</v>
      </c>
      <c r="C690" s="1" t="n">
        <v>45156</v>
      </c>
      <c r="D690" t="inlineStr">
        <is>
          <t>STRÖMSUND</t>
        </is>
      </c>
      <c r="F690" t="n">
        <v>11.5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</row>
    <row r="691">
      <c r="A691" t="inlineStr">
        <is>
          <t>A 61838-2019</t>
        </is>
      </c>
      <c r="B691" s="1" t="n">
        <v>43786</v>
      </c>
      <c r="C691" s="1" t="n">
        <v>45156</v>
      </c>
      <c r="D691" t="inlineStr">
        <is>
          <t>STRÖMSUND</t>
        </is>
      </c>
      <c r="F691" t="n">
        <v>0.8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</row>
    <row r="692">
      <c r="A692" t="inlineStr">
        <is>
          <t>A 61829-2019</t>
        </is>
      </c>
      <c r="B692" s="1" t="n">
        <v>43786</v>
      </c>
      <c r="C692" s="1" t="n">
        <v>45156</v>
      </c>
      <c r="D692" t="inlineStr">
        <is>
          <t>STRÖMSUND</t>
        </is>
      </c>
      <c r="F692" t="n">
        <v>4.3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</row>
    <row r="693">
      <c r="A693" t="inlineStr">
        <is>
          <t>A 61834-2019</t>
        </is>
      </c>
      <c r="B693" s="1" t="n">
        <v>43786</v>
      </c>
      <c r="C693" s="1" t="n">
        <v>45156</v>
      </c>
      <c r="D693" t="inlineStr">
        <is>
          <t>STRÖMSUND</t>
        </is>
      </c>
      <c r="F693" t="n">
        <v>6.7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</row>
    <row r="694">
      <c r="A694" t="inlineStr">
        <is>
          <t>A 62492-2019</t>
        </is>
      </c>
      <c r="B694" s="1" t="n">
        <v>43788</v>
      </c>
      <c r="C694" s="1" t="n">
        <v>45156</v>
      </c>
      <c r="D694" t="inlineStr">
        <is>
          <t>STRÖMSUND</t>
        </is>
      </c>
      <c r="E694" t="inlineStr">
        <is>
          <t>SCA</t>
        </is>
      </c>
      <c r="F694" t="n">
        <v>6.3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</row>
    <row r="695">
      <c r="A695" t="inlineStr">
        <is>
          <t>A 62511-2019</t>
        </is>
      </c>
      <c r="B695" s="1" t="n">
        <v>43789</v>
      </c>
      <c r="C695" s="1" t="n">
        <v>45156</v>
      </c>
      <c r="D695" t="inlineStr">
        <is>
          <t>STRÖMSUND</t>
        </is>
      </c>
      <c r="E695" t="inlineStr">
        <is>
          <t>Sveaskog</t>
        </is>
      </c>
      <c r="F695" t="n">
        <v>0.8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</row>
    <row r="696">
      <c r="A696" t="inlineStr">
        <is>
          <t>A 63715-2019</t>
        </is>
      </c>
      <c r="B696" s="1" t="n">
        <v>43789</v>
      </c>
      <c r="C696" s="1" t="n">
        <v>45156</v>
      </c>
      <c r="D696" t="inlineStr">
        <is>
          <t>STRÖMSUND</t>
        </is>
      </c>
      <c r="F696" t="n">
        <v>5.8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</row>
    <row r="697">
      <c r="A697" t="inlineStr">
        <is>
          <t>A 63918-2019</t>
        </is>
      </c>
      <c r="B697" s="1" t="n">
        <v>43790</v>
      </c>
      <c r="C697" s="1" t="n">
        <v>45156</v>
      </c>
      <c r="D697" t="inlineStr">
        <is>
          <t>STRÖMSUND</t>
        </is>
      </c>
      <c r="F697" t="n">
        <v>1.5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</row>
    <row r="698">
      <c r="A698" t="inlineStr">
        <is>
          <t>A 63927-2019</t>
        </is>
      </c>
      <c r="B698" s="1" t="n">
        <v>43790</v>
      </c>
      <c r="C698" s="1" t="n">
        <v>45156</v>
      </c>
      <c r="D698" t="inlineStr">
        <is>
          <t>STRÖMSUND</t>
        </is>
      </c>
      <c r="F698" t="n">
        <v>1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</row>
    <row r="699">
      <c r="A699" t="inlineStr">
        <is>
          <t>A 63426-2019</t>
        </is>
      </c>
      <c r="B699" s="1" t="n">
        <v>43794</v>
      </c>
      <c r="C699" s="1" t="n">
        <v>45156</v>
      </c>
      <c r="D699" t="inlineStr">
        <is>
          <t>STRÖMSUND</t>
        </is>
      </c>
      <c r="F699" t="n">
        <v>1.2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</row>
    <row r="700">
      <c r="A700" t="inlineStr">
        <is>
          <t>A 63429-2019</t>
        </is>
      </c>
      <c r="B700" s="1" t="n">
        <v>43794</v>
      </c>
      <c r="C700" s="1" t="n">
        <v>45156</v>
      </c>
      <c r="D700" t="inlineStr">
        <is>
          <t>STRÖMSUND</t>
        </is>
      </c>
      <c r="F700" t="n">
        <v>11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</row>
    <row r="701">
      <c r="A701" t="inlineStr">
        <is>
          <t>A 63444-2019</t>
        </is>
      </c>
      <c r="B701" s="1" t="n">
        <v>43794</v>
      </c>
      <c r="C701" s="1" t="n">
        <v>45156</v>
      </c>
      <c r="D701" t="inlineStr">
        <is>
          <t>STRÖMSUND</t>
        </is>
      </c>
      <c r="F701" t="n">
        <v>5.6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</row>
    <row r="702">
      <c r="A702" t="inlineStr">
        <is>
          <t>A 63443-2019</t>
        </is>
      </c>
      <c r="B702" s="1" t="n">
        <v>43794</v>
      </c>
      <c r="C702" s="1" t="n">
        <v>45156</v>
      </c>
      <c r="D702" t="inlineStr">
        <is>
          <t>STRÖMSUND</t>
        </is>
      </c>
      <c r="F702" t="n">
        <v>13.8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</row>
    <row r="703">
      <c r="A703" t="inlineStr">
        <is>
          <t>A 65390-2019</t>
        </is>
      </c>
      <c r="B703" s="1" t="n">
        <v>43797</v>
      </c>
      <c r="C703" s="1" t="n">
        <v>45156</v>
      </c>
      <c r="D703" t="inlineStr">
        <is>
          <t>STRÖMSUND</t>
        </is>
      </c>
      <c r="F703" t="n">
        <v>0.9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</row>
    <row r="704">
      <c r="A704" t="inlineStr">
        <is>
          <t>A 64463-2019</t>
        </is>
      </c>
      <c r="B704" s="1" t="n">
        <v>43797</v>
      </c>
      <c r="C704" s="1" t="n">
        <v>45156</v>
      </c>
      <c r="D704" t="inlineStr">
        <is>
          <t>STRÖMSUND</t>
        </is>
      </c>
      <c r="E704" t="inlineStr">
        <is>
          <t>SCA</t>
        </is>
      </c>
      <c r="F704" t="n">
        <v>4.1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</row>
    <row r="705">
      <c r="A705" t="inlineStr">
        <is>
          <t>A 65415-2019</t>
        </is>
      </c>
      <c r="B705" s="1" t="n">
        <v>43797</v>
      </c>
      <c r="C705" s="1" t="n">
        <v>45156</v>
      </c>
      <c r="D705" t="inlineStr">
        <is>
          <t>STRÖMSUND</t>
        </is>
      </c>
      <c r="F705" t="n">
        <v>1.2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</row>
    <row r="706">
      <c r="A706" t="inlineStr">
        <is>
          <t>A 66574-2019</t>
        </is>
      </c>
      <c r="B706" s="1" t="n">
        <v>43803</v>
      </c>
      <c r="C706" s="1" t="n">
        <v>45156</v>
      </c>
      <c r="D706" t="inlineStr">
        <is>
          <t>STRÖMSUND</t>
        </is>
      </c>
      <c r="F706" t="n">
        <v>0.7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</row>
    <row r="707">
      <c r="A707" t="inlineStr">
        <is>
          <t>A 65781-2019</t>
        </is>
      </c>
      <c r="B707" s="1" t="n">
        <v>43804</v>
      </c>
      <c r="C707" s="1" t="n">
        <v>45156</v>
      </c>
      <c r="D707" t="inlineStr">
        <is>
          <t>STRÖMSUND</t>
        </is>
      </c>
      <c r="F707" t="n">
        <v>4.3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</row>
    <row r="708">
      <c r="A708" t="inlineStr">
        <is>
          <t>A 67064-2019</t>
        </is>
      </c>
      <c r="B708" s="1" t="n">
        <v>43805</v>
      </c>
      <c r="C708" s="1" t="n">
        <v>45156</v>
      </c>
      <c r="D708" t="inlineStr">
        <is>
          <t>STRÖMSUND</t>
        </is>
      </c>
      <c r="F708" t="n">
        <v>0.8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</row>
    <row r="709">
      <c r="A709" t="inlineStr">
        <is>
          <t>A 66349-2019</t>
        </is>
      </c>
      <c r="B709" s="1" t="n">
        <v>43808</v>
      </c>
      <c r="C709" s="1" t="n">
        <v>45156</v>
      </c>
      <c r="D709" t="inlineStr">
        <is>
          <t>STRÖMSUND</t>
        </is>
      </c>
      <c r="E709" t="inlineStr">
        <is>
          <t>Sveaskog</t>
        </is>
      </c>
      <c r="F709" t="n">
        <v>3.7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</row>
    <row r="710">
      <c r="A710" t="inlineStr">
        <is>
          <t>A 67820-2019</t>
        </is>
      </c>
      <c r="B710" s="1" t="n">
        <v>43815</v>
      </c>
      <c r="C710" s="1" t="n">
        <v>45156</v>
      </c>
      <c r="D710" t="inlineStr">
        <is>
          <t>STRÖMSUND</t>
        </is>
      </c>
      <c r="E710" t="inlineStr">
        <is>
          <t>SCA</t>
        </is>
      </c>
      <c r="F710" t="n">
        <v>28.7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</row>
    <row r="711">
      <c r="A711" t="inlineStr">
        <is>
          <t>A 67914-2019</t>
        </is>
      </c>
      <c r="B711" s="1" t="n">
        <v>43816</v>
      </c>
      <c r="C711" s="1" t="n">
        <v>45156</v>
      </c>
      <c r="D711" t="inlineStr">
        <is>
          <t>STRÖMSUND</t>
        </is>
      </c>
      <c r="E711" t="inlineStr">
        <is>
          <t>Holmen skog AB</t>
        </is>
      </c>
      <c r="F711" t="n">
        <v>27.7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</row>
    <row r="712">
      <c r="A712" t="inlineStr">
        <is>
          <t>A 68080-2019</t>
        </is>
      </c>
      <c r="B712" s="1" t="n">
        <v>43816</v>
      </c>
      <c r="C712" s="1" t="n">
        <v>45156</v>
      </c>
      <c r="D712" t="inlineStr">
        <is>
          <t>STRÖMSUND</t>
        </is>
      </c>
      <c r="E712" t="inlineStr">
        <is>
          <t>SCA</t>
        </is>
      </c>
      <c r="F712" t="n">
        <v>3.1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</row>
    <row r="713">
      <c r="A713" t="inlineStr">
        <is>
          <t>A 68335-2019</t>
        </is>
      </c>
      <c r="B713" s="1" t="n">
        <v>43818</v>
      </c>
      <c r="C713" s="1" t="n">
        <v>45156</v>
      </c>
      <c r="D713" t="inlineStr">
        <is>
          <t>STRÖMSUND</t>
        </is>
      </c>
      <c r="F713" t="n">
        <v>3.4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</row>
    <row r="714">
      <c r="A714" t="inlineStr">
        <is>
          <t>A 68607-2019</t>
        </is>
      </c>
      <c r="B714" s="1" t="n">
        <v>43818</v>
      </c>
      <c r="C714" s="1" t="n">
        <v>45156</v>
      </c>
      <c r="D714" t="inlineStr">
        <is>
          <t>STRÖMSUND</t>
        </is>
      </c>
      <c r="F714" t="n">
        <v>2.5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</row>
    <row r="715">
      <c r="A715" t="inlineStr">
        <is>
          <t>A 861-2020</t>
        </is>
      </c>
      <c r="B715" s="1" t="n">
        <v>43838</v>
      </c>
      <c r="C715" s="1" t="n">
        <v>45156</v>
      </c>
      <c r="D715" t="inlineStr">
        <is>
          <t>STRÖMSUND</t>
        </is>
      </c>
      <c r="F715" t="n">
        <v>0.6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</row>
    <row r="716">
      <c r="A716" t="inlineStr">
        <is>
          <t>A 1034-2020</t>
        </is>
      </c>
      <c r="B716" s="1" t="n">
        <v>43839</v>
      </c>
      <c r="C716" s="1" t="n">
        <v>45156</v>
      </c>
      <c r="D716" t="inlineStr">
        <is>
          <t>STRÖMSUND</t>
        </is>
      </c>
      <c r="F716" t="n">
        <v>1.7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</row>
    <row r="717">
      <c r="A717" t="inlineStr">
        <is>
          <t>A 1134-2020</t>
        </is>
      </c>
      <c r="B717" s="1" t="n">
        <v>43840</v>
      </c>
      <c r="C717" s="1" t="n">
        <v>45156</v>
      </c>
      <c r="D717" t="inlineStr">
        <is>
          <t>STRÖMSUND</t>
        </is>
      </c>
      <c r="F717" t="n">
        <v>9.800000000000001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</row>
    <row r="718">
      <c r="A718" t="inlineStr">
        <is>
          <t>A 1238-2020</t>
        </is>
      </c>
      <c r="B718" s="1" t="n">
        <v>43840</v>
      </c>
      <c r="C718" s="1" t="n">
        <v>45156</v>
      </c>
      <c r="D718" t="inlineStr">
        <is>
          <t>STRÖMSUND</t>
        </is>
      </c>
      <c r="F718" t="n">
        <v>20.3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</row>
    <row r="719">
      <c r="A719" t="inlineStr">
        <is>
          <t>A 1201-2020</t>
        </is>
      </c>
      <c r="B719" s="1" t="n">
        <v>43840</v>
      </c>
      <c r="C719" s="1" t="n">
        <v>45156</v>
      </c>
      <c r="D719" t="inlineStr">
        <is>
          <t>STRÖMSUND</t>
        </is>
      </c>
      <c r="F719" t="n">
        <v>39.5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</row>
    <row r="720">
      <c r="A720" t="inlineStr">
        <is>
          <t>A 2184-2020</t>
        </is>
      </c>
      <c r="B720" s="1" t="n">
        <v>43846</v>
      </c>
      <c r="C720" s="1" t="n">
        <v>45156</v>
      </c>
      <c r="D720" t="inlineStr">
        <is>
          <t>STRÖMSUND</t>
        </is>
      </c>
      <c r="E720" t="inlineStr">
        <is>
          <t>Holmen skog AB</t>
        </is>
      </c>
      <c r="F720" t="n">
        <v>0.8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</row>
    <row r="721">
      <c r="A721" t="inlineStr">
        <is>
          <t>A 2250-2020</t>
        </is>
      </c>
      <c r="B721" s="1" t="n">
        <v>43846</v>
      </c>
      <c r="C721" s="1" t="n">
        <v>45156</v>
      </c>
      <c r="D721" t="inlineStr">
        <is>
          <t>STRÖMSUND</t>
        </is>
      </c>
      <c r="F721" t="n">
        <v>0.1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</row>
    <row r="722">
      <c r="A722" t="inlineStr">
        <is>
          <t>A 2503-2020</t>
        </is>
      </c>
      <c r="B722" s="1" t="n">
        <v>43847</v>
      </c>
      <c r="C722" s="1" t="n">
        <v>45156</v>
      </c>
      <c r="D722" t="inlineStr">
        <is>
          <t>STRÖMSUND</t>
        </is>
      </c>
      <c r="F722" t="n">
        <v>61.1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</row>
    <row r="723">
      <c r="A723" t="inlineStr">
        <is>
          <t>A 5127-2020</t>
        </is>
      </c>
      <c r="B723" s="1" t="n">
        <v>43850</v>
      </c>
      <c r="C723" s="1" t="n">
        <v>45156</v>
      </c>
      <c r="D723" t="inlineStr">
        <is>
          <t>STRÖMSUND</t>
        </is>
      </c>
      <c r="F723" t="n">
        <v>15.4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</row>
    <row r="724">
      <c r="A724" t="inlineStr">
        <is>
          <t>A 2705-2020</t>
        </is>
      </c>
      <c r="B724" s="1" t="n">
        <v>43850</v>
      </c>
      <c r="C724" s="1" t="n">
        <v>45156</v>
      </c>
      <c r="D724" t="inlineStr">
        <is>
          <t>STRÖMSUND</t>
        </is>
      </c>
      <c r="F724" t="n">
        <v>11.2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</row>
    <row r="725">
      <c r="A725" t="inlineStr">
        <is>
          <t>A 2911-2020</t>
        </is>
      </c>
      <c r="B725" s="1" t="n">
        <v>43850</v>
      </c>
      <c r="C725" s="1" t="n">
        <v>45156</v>
      </c>
      <c r="D725" t="inlineStr">
        <is>
          <t>STRÖMSUND</t>
        </is>
      </c>
      <c r="F725" t="n">
        <v>6.4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</row>
    <row r="726">
      <c r="A726" t="inlineStr">
        <is>
          <t>A 5147-2020</t>
        </is>
      </c>
      <c r="B726" s="1" t="n">
        <v>43850</v>
      </c>
      <c r="C726" s="1" t="n">
        <v>45156</v>
      </c>
      <c r="D726" t="inlineStr">
        <is>
          <t>STRÖMSUND</t>
        </is>
      </c>
      <c r="F726" t="n">
        <v>10.8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</row>
    <row r="727">
      <c r="A727" t="inlineStr">
        <is>
          <t>A 5119-2020</t>
        </is>
      </c>
      <c r="B727" s="1" t="n">
        <v>43850</v>
      </c>
      <c r="C727" s="1" t="n">
        <v>45156</v>
      </c>
      <c r="D727" t="inlineStr">
        <is>
          <t>STRÖMSUND</t>
        </is>
      </c>
      <c r="F727" t="n">
        <v>0.7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</row>
    <row r="728">
      <c r="A728" t="inlineStr">
        <is>
          <t>A 2987-2020</t>
        </is>
      </c>
      <c r="B728" s="1" t="n">
        <v>43850</v>
      </c>
      <c r="C728" s="1" t="n">
        <v>45156</v>
      </c>
      <c r="D728" t="inlineStr">
        <is>
          <t>STRÖMSUND</t>
        </is>
      </c>
      <c r="F728" t="n">
        <v>7.3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</row>
    <row r="729">
      <c r="A729" t="inlineStr">
        <is>
          <t>A 5131-2020</t>
        </is>
      </c>
      <c r="B729" s="1" t="n">
        <v>43850</v>
      </c>
      <c r="C729" s="1" t="n">
        <v>45156</v>
      </c>
      <c r="D729" t="inlineStr">
        <is>
          <t>STRÖMSUND</t>
        </is>
      </c>
      <c r="F729" t="n">
        <v>17.9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</row>
    <row r="730">
      <c r="A730" t="inlineStr">
        <is>
          <t>A 4654-2020</t>
        </is>
      </c>
      <c r="B730" s="1" t="n">
        <v>43851</v>
      </c>
      <c r="C730" s="1" t="n">
        <v>45156</v>
      </c>
      <c r="D730" t="inlineStr">
        <is>
          <t>STRÖMSUND</t>
        </is>
      </c>
      <c r="F730" t="n">
        <v>4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</row>
    <row r="731">
      <c r="A731" t="inlineStr">
        <is>
          <t>A 4898-2020</t>
        </is>
      </c>
      <c r="B731" s="1" t="n">
        <v>43852</v>
      </c>
      <c r="C731" s="1" t="n">
        <v>45156</v>
      </c>
      <c r="D731" t="inlineStr">
        <is>
          <t>STRÖMSUND</t>
        </is>
      </c>
      <c r="F731" t="n">
        <v>6.7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</row>
    <row r="732">
      <c r="A732" t="inlineStr">
        <is>
          <t>A 3574-2020</t>
        </is>
      </c>
      <c r="B732" s="1" t="n">
        <v>43853</v>
      </c>
      <c r="C732" s="1" t="n">
        <v>45156</v>
      </c>
      <c r="D732" t="inlineStr">
        <is>
          <t>STRÖMSUND</t>
        </is>
      </c>
      <c r="F732" t="n">
        <v>8.4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</row>
    <row r="733">
      <c r="A733" t="inlineStr">
        <is>
          <t>A 3895-2020</t>
        </is>
      </c>
      <c r="B733" s="1" t="n">
        <v>43854</v>
      </c>
      <c r="C733" s="1" t="n">
        <v>45156</v>
      </c>
      <c r="D733" t="inlineStr">
        <is>
          <t>STRÖMSUND</t>
        </is>
      </c>
      <c r="F733" t="n">
        <v>0.5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</row>
    <row r="734">
      <c r="A734" t="inlineStr">
        <is>
          <t>A 3862-2020</t>
        </is>
      </c>
      <c r="B734" s="1" t="n">
        <v>43854</v>
      </c>
      <c r="C734" s="1" t="n">
        <v>45156</v>
      </c>
      <c r="D734" t="inlineStr">
        <is>
          <t>STRÖMSUND</t>
        </is>
      </c>
      <c r="F734" t="n">
        <v>4.3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</row>
    <row r="735">
      <c r="A735" t="inlineStr">
        <is>
          <t>A 3988-2020</t>
        </is>
      </c>
      <c r="B735" s="1" t="n">
        <v>43856</v>
      </c>
      <c r="C735" s="1" t="n">
        <v>45156</v>
      </c>
      <c r="D735" t="inlineStr">
        <is>
          <t>STRÖMSUND</t>
        </is>
      </c>
      <c r="F735" t="n">
        <v>12.4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</row>
    <row r="736">
      <c r="A736" t="inlineStr">
        <is>
          <t>A 4905-2020</t>
        </is>
      </c>
      <c r="B736" s="1" t="n">
        <v>43859</v>
      </c>
      <c r="C736" s="1" t="n">
        <v>45156</v>
      </c>
      <c r="D736" t="inlineStr">
        <is>
          <t>STRÖMSUND</t>
        </is>
      </c>
      <c r="F736" t="n">
        <v>22.3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</row>
    <row r="737">
      <c r="A737" t="inlineStr">
        <is>
          <t>A 5915-2020</t>
        </is>
      </c>
      <c r="B737" s="1" t="n">
        <v>43861</v>
      </c>
      <c r="C737" s="1" t="n">
        <v>45156</v>
      </c>
      <c r="D737" t="inlineStr">
        <is>
          <t>STRÖMSUND</t>
        </is>
      </c>
      <c r="F737" t="n">
        <v>10.3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</row>
    <row r="738">
      <c r="A738" t="inlineStr">
        <is>
          <t>A 7630-2020</t>
        </is>
      </c>
      <c r="B738" s="1" t="n">
        <v>43871</v>
      </c>
      <c r="C738" s="1" t="n">
        <v>45156</v>
      </c>
      <c r="D738" t="inlineStr">
        <is>
          <t>STRÖMSUND</t>
        </is>
      </c>
      <c r="F738" t="n">
        <v>3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</row>
    <row r="739">
      <c r="A739" t="inlineStr">
        <is>
          <t>A 7192-2020</t>
        </is>
      </c>
      <c r="B739" s="1" t="n">
        <v>43871</v>
      </c>
      <c r="C739" s="1" t="n">
        <v>45156</v>
      </c>
      <c r="D739" t="inlineStr">
        <is>
          <t>STRÖMSUND</t>
        </is>
      </c>
      <c r="F739" t="n">
        <v>11.4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</row>
    <row r="740">
      <c r="A740" t="inlineStr">
        <is>
          <t>A 7963-2020</t>
        </is>
      </c>
      <c r="B740" s="1" t="n">
        <v>43872</v>
      </c>
      <c r="C740" s="1" t="n">
        <v>45156</v>
      </c>
      <c r="D740" t="inlineStr">
        <is>
          <t>STRÖMSUND</t>
        </is>
      </c>
      <c r="F740" t="n">
        <v>0.5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</row>
    <row r="741">
      <c r="A741" t="inlineStr">
        <is>
          <t>A 7974-2020</t>
        </is>
      </c>
      <c r="B741" s="1" t="n">
        <v>43873</v>
      </c>
      <c r="C741" s="1" t="n">
        <v>45156</v>
      </c>
      <c r="D741" t="inlineStr">
        <is>
          <t>STRÖMSUND</t>
        </is>
      </c>
      <c r="F741" t="n">
        <v>24.1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</row>
    <row r="742">
      <c r="A742" t="inlineStr">
        <is>
          <t>A 8775-2020</t>
        </is>
      </c>
      <c r="B742" s="1" t="n">
        <v>43878</v>
      </c>
      <c r="C742" s="1" t="n">
        <v>45156</v>
      </c>
      <c r="D742" t="inlineStr">
        <is>
          <t>STRÖMSUND</t>
        </is>
      </c>
      <c r="F742" t="n">
        <v>4.2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</row>
    <row r="743">
      <c r="A743" t="inlineStr">
        <is>
          <t>A 10057-2020</t>
        </is>
      </c>
      <c r="B743" s="1" t="n">
        <v>43882</v>
      </c>
      <c r="C743" s="1" t="n">
        <v>45156</v>
      </c>
      <c r="D743" t="inlineStr">
        <is>
          <t>STRÖMSUND</t>
        </is>
      </c>
      <c r="F743" t="n">
        <v>10.4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</row>
    <row r="744">
      <c r="A744" t="inlineStr">
        <is>
          <t>A 12609-2020</t>
        </is>
      </c>
      <c r="B744" s="1" t="n">
        <v>43899</v>
      </c>
      <c r="C744" s="1" t="n">
        <v>45156</v>
      </c>
      <c r="D744" t="inlineStr">
        <is>
          <t>STRÖMSUND</t>
        </is>
      </c>
      <c r="E744" t="inlineStr">
        <is>
          <t>Kyrkan</t>
        </is>
      </c>
      <c r="F744" t="n">
        <v>1.6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</row>
    <row r="745">
      <c r="A745" t="inlineStr">
        <is>
          <t>A 14259-2020</t>
        </is>
      </c>
      <c r="B745" s="1" t="n">
        <v>43901</v>
      </c>
      <c r="C745" s="1" t="n">
        <v>45156</v>
      </c>
      <c r="D745" t="inlineStr">
        <is>
          <t>STRÖMSUND</t>
        </is>
      </c>
      <c r="F745" t="n">
        <v>17.8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</row>
    <row r="746">
      <c r="A746" t="inlineStr">
        <is>
          <t>A 13241-2020</t>
        </is>
      </c>
      <c r="B746" s="1" t="n">
        <v>43901</v>
      </c>
      <c r="C746" s="1" t="n">
        <v>45156</v>
      </c>
      <c r="D746" t="inlineStr">
        <is>
          <t>STRÖMSUND</t>
        </is>
      </c>
      <c r="F746" t="n">
        <v>4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</row>
    <row r="747">
      <c r="A747" t="inlineStr">
        <is>
          <t>A 13233-2020</t>
        </is>
      </c>
      <c r="B747" s="1" t="n">
        <v>43901</v>
      </c>
      <c r="C747" s="1" t="n">
        <v>45156</v>
      </c>
      <c r="D747" t="inlineStr">
        <is>
          <t>STRÖMSUND</t>
        </is>
      </c>
      <c r="F747" t="n">
        <v>6.9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</row>
    <row r="748">
      <c r="A748" t="inlineStr">
        <is>
          <t>A 14904-2020</t>
        </is>
      </c>
      <c r="B748" s="1" t="n">
        <v>43906</v>
      </c>
      <c r="C748" s="1" t="n">
        <v>45156</v>
      </c>
      <c r="D748" t="inlineStr">
        <is>
          <t>STRÖMSUND</t>
        </is>
      </c>
      <c r="F748" t="n">
        <v>7.5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</row>
    <row r="749">
      <c r="A749" t="inlineStr">
        <is>
          <t>A 16335-2020</t>
        </is>
      </c>
      <c r="B749" s="1" t="n">
        <v>43917</v>
      </c>
      <c r="C749" s="1" t="n">
        <v>45156</v>
      </c>
      <c r="D749" t="inlineStr">
        <is>
          <t>STRÖMSUND</t>
        </is>
      </c>
      <c r="E749" t="inlineStr">
        <is>
          <t>Kyrkan</t>
        </is>
      </c>
      <c r="F749" t="n">
        <v>2.6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</row>
    <row r="750">
      <c r="A750" t="inlineStr">
        <is>
          <t>A 17063-2020</t>
        </is>
      </c>
      <c r="B750" s="1" t="n">
        <v>43921</v>
      </c>
      <c r="C750" s="1" t="n">
        <v>45156</v>
      </c>
      <c r="D750" t="inlineStr">
        <is>
          <t>STRÖMSUND</t>
        </is>
      </c>
      <c r="F750" t="n">
        <v>3.4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</row>
    <row r="751">
      <c r="A751" t="inlineStr">
        <is>
          <t>A 18931-2020</t>
        </is>
      </c>
      <c r="B751" s="1" t="n">
        <v>43929</v>
      </c>
      <c r="C751" s="1" t="n">
        <v>45156</v>
      </c>
      <c r="D751" t="inlineStr">
        <is>
          <t>STRÖMSUND</t>
        </is>
      </c>
      <c r="F751" t="n">
        <v>6.3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</row>
    <row r="752">
      <c r="A752" t="inlineStr">
        <is>
          <t>A 18731-2020</t>
        </is>
      </c>
      <c r="B752" s="1" t="n">
        <v>43930</v>
      </c>
      <c r="C752" s="1" t="n">
        <v>45156</v>
      </c>
      <c r="D752" t="inlineStr">
        <is>
          <t>STRÖMSUND</t>
        </is>
      </c>
      <c r="F752" t="n">
        <v>0.9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</row>
    <row r="753">
      <c r="A753" t="inlineStr">
        <is>
          <t>A 18780-2020</t>
        </is>
      </c>
      <c r="B753" s="1" t="n">
        <v>43930</v>
      </c>
      <c r="C753" s="1" t="n">
        <v>45156</v>
      </c>
      <c r="D753" t="inlineStr">
        <is>
          <t>STRÖMSUND</t>
        </is>
      </c>
      <c r="E753" t="inlineStr">
        <is>
          <t>SCA</t>
        </is>
      </c>
      <c r="F753" t="n">
        <v>4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</row>
    <row r="754">
      <c r="A754" t="inlineStr">
        <is>
          <t>A 19089-2020</t>
        </is>
      </c>
      <c r="B754" s="1" t="n">
        <v>43935</v>
      </c>
      <c r="C754" s="1" t="n">
        <v>45156</v>
      </c>
      <c r="D754" t="inlineStr">
        <is>
          <t>STRÖMSUND</t>
        </is>
      </c>
      <c r="F754" t="n">
        <v>15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</row>
    <row r="755">
      <c r="A755" t="inlineStr">
        <is>
          <t>A 19842-2020</t>
        </is>
      </c>
      <c r="B755" s="1" t="n">
        <v>43942</v>
      </c>
      <c r="C755" s="1" t="n">
        <v>45156</v>
      </c>
      <c r="D755" t="inlineStr">
        <is>
          <t>STRÖMSUND</t>
        </is>
      </c>
      <c r="F755" t="n">
        <v>20.3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</row>
    <row r="756">
      <c r="A756" t="inlineStr">
        <is>
          <t>A 20816-2020</t>
        </is>
      </c>
      <c r="B756" s="1" t="n">
        <v>43949</v>
      </c>
      <c r="C756" s="1" t="n">
        <v>45156</v>
      </c>
      <c r="D756" t="inlineStr">
        <is>
          <t>STRÖMSUND</t>
        </is>
      </c>
      <c r="E756" t="inlineStr">
        <is>
          <t>SCA</t>
        </is>
      </c>
      <c r="F756" t="n">
        <v>4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</row>
    <row r="757">
      <c r="A757" t="inlineStr">
        <is>
          <t>A 21939-2020</t>
        </is>
      </c>
      <c r="B757" s="1" t="n">
        <v>43955</v>
      </c>
      <c r="C757" s="1" t="n">
        <v>45156</v>
      </c>
      <c r="D757" t="inlineStr">
        <is>
          <t>STRÖMSUND</t>
        </is>
      </c>
      <c r="F757" t="n">
        <v>4.5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</row>
    <row r="758">
      <c r="A758" t="inlineStr">
        <is>
          <t>A 21771-2020</t>
        </is>
      </c>
      <c r="B758" s="1" t="n">
        <v>43957</v>
      </c>
      <c r="C758" s="1" t="n">
        <v>45156</v>
      </c>
      <c r="D758" t="inlineStr">
        <is>
          <t>STRÖMSUND</t>
        </is>
      </c>
      <c r="E758" t="inlineStr">
        <is>
          <t>SCA</t>
        </is>
      </c>
      <c r="F758" t="n">
        <v>2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</row>
    <row r="759">
      <c r="A759" t="inlineStr">
        <is>
          <t>A 21773-2020</t>
        </is>
      </c>
      <c r="B759" s="1" t="n">
        <v>43957</v>
      </c>
      <c r="C759" s="1" t="n">
        <v>45156</v>
      </c>
      <c r="D759" t="inlineStr">
        <is>
          <t>STRÖMSUND</t>
        </is>
      </c>
      <c r="E759" t="inlineStr">
        <is>
          <t>SCA</t>
        </is>
      </c>
      <c r="F759" t="n">
        <v>0.9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</row>
    <row r="760">
      <c r="A760" t="inlineStr">
        <is>
          <t>A 21971-2020</t>
        </is>
      </c>
      <c r="B760" s="1" t="n">
        <v>43958</v>
      </c>
      <c r="C760" s="1" t="n">
        <v>45156</v>
      </c>
      <c r="D760" t="inlineStr">
        <is>
          <t>STRÖMSUND</t>
        </is>
      </c>
      <c r="E760" t="inlineStr">
        <is>
          <t>SCA</t>
        </is>
      </c>
      <c r="F760" t="n">
        <v>8.800000000000001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</row>
    <row r="761">
      <c r="A761" t="inlineStr">
        <is>
          <t>A 22092-2020</t>
        </is>
      </c>
      <c r="B761" s="1" t="n">
        <v>43959</v>
      </c>
      <c r="C761" s="1" t="n">
        <v>45156</v>
      </c>
      <c r="D761" t="inlineStr">
        <is>
          <t>STRÖMSUND</t>
        </is>
      </c>
      <c r="E761" t="inlineStr">
        <is>
          <t>SCA</t>
        </is>
      </c>
      <c r="F761" t="n">
        <v>4.3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</row>
    <row r="762">
      <c r="A762" t="inlineStr">
        <is>
          <t>A 22699-2020</t>
        </is>
      </c>
      <c r="B762" s="1" t="n">
        <v>43963</v>
      </c>
      <c r="C762" s="1" t="n">
        <v>45156</v>
      </c>
      <c r="D762" t="inlineStr">
        <is>
          <t>STRÖMSUND</t>
        </is>
      </c>
      <c r="E762" t="inlineStr">
        <is>
          <t>SCA</t>
        </is>
      </c>
      <c r="F762" t="n">
        <v>7.7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</row>
    <row r="763">
      <c r="A763" t="inlineStr">
        <is>
          <t>A 22906-2020</t>
        </is>
      </c>
      <c r="B763" s="1" t="n">
        <v>43964</v>
      </c>
      <c r="C763" s="1" t="n">
        <v>45156</v>
      </c>
      <c r="D763" t="inlineStr">
        <is>
          <t>STRÖMSUND</t>
        </is>
      </c>
      <c r="E763" t="inlineStr">
        <is>
          <t>SCA</t>
        </is>
      </c>
      <c r="F763" t="n">
        <v>15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</row>
    <row r="764">
      <c r="A764" t="inlineStr">
        <is>
          <t>A 22904-2020</t>
        </is>
      </c>
      <c r="B764" s="1" t="n">
        <v>43964</v>
      </c>
      <c r="C764" s="1" t="n">
        <v>45156</v>
      </c>
      <c r="D764" t="inlineStr">
        <is>
          <t>STRÖMSUND</t>
        </is>
      </c>
      <c r="E764" t="inlineStr">
        <is>
          <t>SCA</t>
        </is>
      </c>
      <c r="F764" t="n">
        <v>3.2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</row>
    <row r="765">
      <c r="A765" t="inlineStr">
        <is>
          <t>A 22905-2020</t>
        </is>
      </c>
      <c r="B765" s="1" t="n">
        <v>43964</v>
      </c>
      <c r="C765" s="1" t="n">
        <v>45156</v>
      </c>
      <c r="D765" t="inlineStr">
        <is>
          <t>STRÖMSUND</t>
        </is>
      </c>
      <c r="E765" t="inlineStr">
        <is>
          <t>SCA</t>
        </is>
      </c>
      <c r="F765" t="n">
        <v>5.3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</row>
    <row r="766">
      <c r="A766" t="inlineStr">
        <is>
          <t>A 23355-2020</t>
        </is>
      </c>
      <c r="B766" s="1" t="n">
        <v>43966</v>
      </c>
      <c r="C766" s="1" t="n">
        <v>45156</v>
      </c>
      <c r="D766" t="inlineStr">
        <is>
          <t>STRÖMSUND</t>
        </is>
      </c>
      <c r="E766" t="inlineStr">
        <is>
          <t>SCA</t>
        </is>
      </c>
      <c r="F766" t="n">
        <v>10.2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</row>
    <row r="767">
      <c r="A767" t="inlineStr">
        <is>
          <t>A 23412-2020</t>
        </is>
      </c>
      <c r="B767" s="1" t="n">
        <v>43969</v>
      </c>
      <c r="C767" s="1" t="n">
        <v>45156</v>
      </c>
      <c r="D767" t="inlineStr">
        <is>
          <t>STRÖMSUND</t>
        </is>
      </c>
      <c r="E767" t="inlineStr">
        <is>
          <t>Holmen skog AB</t>
        </is>
      </c>
      <c r="F767" t="n">
        <v>1.6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</row>
    <row r="768">
      <c r="A768" t="inlineStr">
        <is>
          <t>A 23647-2020</t>
        </is>
      </c>
      <c r="B768" s="1" t="n">
        <v>43969</v>
      </c>
      <c r="C768" s="1" t="n">
        <v>45156</v>
      </c>
      <c r="D768" t="inlineStr">
        <is>
          <t>STRÖMSUND</t>
        </is>
      </c>
      <c r="E768" t="inlineStr">
        <is>
          <t>SCA</t>
        </is>
      </c>
      <c r="F768" t="n">
        <v>6.1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</row>
    <row r="769">
      <c r="A769" t="inlineStr">
        <is>
          <t>A 23836-2020</t>
        </is>
      </c>
      <c r="B769" s="1" t="n">
        <v>43970</v>
      </c>
      <c r="C769" s="1" t="n">
        <v>45156</v>
      </c>
      <c r="D769" t="inlineStr">
        <is>
          <t>STRÖMSUND</t>
        </is>
      </c>
      <c r="E769" t="inlineStr">
        <is>
          <t>SCA</t>
        </is>
      </c>
      <c r="F769" t="n">
        <v>9.6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</row>
    <row r="770">
      <c r="A770" t="inlineStr">
        <is>
          <t>A 24335-2020</t>
        </is>
      </c>
      <c r="B770" s="1" t="n">
        <v>43971</v>
      </c>
      <c r="C770" s="1" t="n">
        <v>45156</v>
      </c>
      <c r="D770" t="inlineStr">
        <is>
          <t>STRÖMSUND</t>
        </is>
      </c>
      <c r="F770" t="n">
        <v>14.3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</row>
    <row r="771">
      <c r="A771" t="inlineStr">
        <is>
          <t>A 24054-2020</t>
        </is>
      </c>
      <c r="B771" s="1" t="n">
        <v>43971</v>
      </c>
      <c r="C771" s="1" t="n">
        <v>45156</v>
      </c>
      <c r="D771" t="inlineStr">
        <is>
          <t>STRÖMSUND</t>
        </is>
      </c>
      <c r="E771" t="inlineStr">
        <is>
          <t>SCA</t>
        </is>
      </c>
      <c r="F771" t="n">
        <v>3.8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</row>
    <row r="772">
      <c r="A772" t="inlineStr">
        <is>
          <t>A 24064-2020</t>
        </is>
      </c>
      <c r="B772" s="1" t="n">
        <v>43971</v>
      </c>
      <c r="C772" s="1" t="n">
        <v>45156</v>
      </c>
      <c r="D772" t="inlineStr">
        <is>
          <t>STRÖMSUND</t>
        </is>
      </c>
      <c r="E772" t="inlineStr">
        <is>
          <t>SCA</t>
        </is>
      </c>
      <c r="F772" t="n">
        <v>15.3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</row>
    <row r="773">
      <c r="A773" t="inlineStr">
        <is>
          <t>A 24117-2020</t>
        </is>
      </c>
      <c r="B773" s="1" t="n">
        <v>43973</v>
      </c>
      <c r="C773" s="1" t="n">
        <v>45156</v>
      </c>
      <c r="D773" t="inlineStr">
        <is>
          <t>STRÖMSUND</t>
        </is>
      </c>
      <c r="E773" t="inlineStr">
        <is>
          <t>Holmen skog AB</t>
        </is>
      </c>
      <c r="F773" t="n">
        <v>0.7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</row>
    <row r="774">
      <c r="A774" t="inlineStr">
        <is>
          <t>A 24414-2020</t>
        </is>
      </c>
      <c r="B774" s="1" t="n">
        <v>43976</v>
      </c>
      <c r="C774" s="1" t="n">
        <v>45156</v>
      </c>
      <c r="D774" t="inlineStr">
        <is>
          <t>STRÖMSUND</t>
        </is>
      </c>
      <c r="E774" t="inlineStr">
        <is>
          <t>SCA</t>
        </is>
      </c>
      <c r="F774" t="n">
        <v>4.9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</row>
    <row r="775">
      <c r="A775" t="inlineStr">
        <is>
          <t>A 24413-2020</t>
        </is>
      </c>
      <c r="B775" s="1" t="n">
        <v>43976</v>
      </c>
      <c r="C775" s="1" t="n">
        <v>45156</v>
      </c>
      <c r="D775" t="inlineStr">
        <is>
          <t>STRÖMSUND</t>
        </is>
      </c>
      <c r="E775" t="inlineStr">
        <is>
          <t>SCA</t>
        </is>
      </c>
      <c r="F775" t="n">
        <v>1.9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</row>
    <row r="776">
      <c r="A776" t="inlineStr">
        <is>
          <t>A 24384-2020</t>
        </is>
      </c>
      <c r="B776" s="1" t="n">
        <v>43976</v>
      </c>
      <c r="C776" s="1" t="n">
        <v>45156</v>
      </c>
      <c r="D776" t="inlineStr">
        <is>
          <t>STRÖMSUND</t>
        </is>
      </c>
      <c r="F776" t="n">
        <v>1.1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</row>
    <row r="777">
      <c r="A777" t="inlineStr">
        <is>
          <t>A 24379-2020</t>
        </is>
      </c>
      <c r="B777" s="1" t="n">
        <v>43976</v>
      </c>
      <c r="C777" s="1" t="n">
        <v>45156</v>
      </c>
      <c r="D777" t="inlineStr">
        <is>
          <t>STRÖMSUND</t>
        </is>
      </c>
      <c r="E777" t="inlineStr">
        <is>
          <t>Holmen skog AB</t>
        </is>
      </c>
      <c r="F777" t="n">
        <v>1.4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</row>
    <row r="778">
      <c r="A778" t="inlineStr">
        <is>
          <t>A 24415-2020</t>
        </is>
      </c>
      <c r="B778" s="1" t="n">
        <v>43976</v>
      </c>
      <c r="C778" s="1" t="n">
        <v>45156</v>
      </c>
      <c r="D778" t="inlineStr">
        <is>
          <t>STRÖMSUND</t>
        </is>
      </c>
      <c r="E778" t="inlineStr">
        <is>
          <t>SCA</t>
        </is>
      </c>
      <c r="F778" t="n">
        <v>9.699999999999999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</row>
    <row r="779">
      <c r="A779" t="inlineStr">
        <is>
          <t>A 25109-2020</t>
        </is>
      </c>
      <c r="B779" s="1" t="n">
        <v>43979</v>
      </c>
      <c r="C779" s="1" t="n">
        <v>45156</v>
      </c>
      <c r="D779" t="inlineStr">
        <is>
          <t>STRÖMSUND</t>
        </is>
      </c>
      <c r="E779" t="inlineStr">
        <is>
          <t>SCA</t>
        </is>
      </c>
      <c r="F779" t="n">
        <v>10.7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</row>
    <row r="780">
      <c r="A780" t="inlineStr">
        <is>
          <t>A 25107-2020</t>
        </is>
      </c>
      <c r="B780" s="1" t="n">
        <v>43979</v>
      </c>
      <c r="C780" s="1" t="n">
        <v>45156</v>
      </c>
      <c r="D780" t="inlineStr">
        <is>
          <t>STRÖMSUND</t>
        </is>
      </c>
      <c r="E780" t="inlineStr">
        <is>
          <t>SCA</t>
        </is>
      </c>
      <c r="F780" t="n">
        <v>0.2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</row>
    <row r="781">
      <c r="A781" t="inlineStr">
        <is>
          <t>A 25376-2020</t>
        </is>
      </c>
      <c r="B781" s="1" t="n">
        <v>43980</v>
      </c>
      <c r="C781" s="1" t="n">
        <v>45156</v>
      </c>
      <c r="D781" t="inlineStr">
        <is>
          <t>STRÖMSUND</t>
        </is>
      </c>
      <c r="E781" t="inlineStr">
        <is>
          <t>SCA</t>
        </is>
      </c>
      <c r="F781" t="n">
        <v>7.1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</row>
    <row r="782">
      <c r="A782" t="inlineStr">
        <is>
          <t>A 25390-2020</t>
        </is>
      </c>
      <c r="B782" s="1" t="n">
        <v>43980</v>
      </c>
      <c r="C782" s="1" t="n">
        <v>45156</v>
      </c>
      <c r="D782" t="inlineStr">
        <is>
          <t>STRÖMSUND</t>
        </is>
      </c>
      <c r="E782" t="inlineStr">
        <is>
          <t>SCA</t>
        </is>
      </c>
      <c r="F782" t="n">
        <v>8.199999999999999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</row>
    <row r="783">
      <c r="A783" t="inlineStr">
        <is>
          <t>A 25396-2020</t>
        </is>
      </c>
      <c r="B783" s="1" t="n">
        <v>43980</v>
      </c>
      <c r="C783" s="1" t="n">
        <v>45156</v>
      </c>
      <c r="D783" t="inlineStr">
        <is>
          <t>STRÖMSUND</t>
        </is>
      </c>
      <c r="E783" t="inlineStr">
        <is>
          <t>SCA</t>
        </is>
      </c>
      <c r="F783" t="n">
        <v>2.3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</row>
    <row r="784">
      <c r="A784" t="inlineStr">
        <is>
          <t>A 25381-2020</t>
        </is>
      </c>
      <c r="B784" s="1" t="n">
        <v>43980</v>
      </c>
      <c r="C784" s="1" t="n">
        <v>45156</v>
      </c>
      <c r="D784" t="inlineStr">
        <is>
          <t>STRÖMSUND</t>
        </is>
      </c>
      <c r="E784" t="inlineStr">
        <is>
          <t>SCA</t>
        </is>
      </c>
      <c r="F784" t="n">
        <v>3.6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</row>
    <row r="785">
      <c r="A785" t="inlineStr">
        <is>
          <t>A 25392-2020</t>
        </is>
      </c>
      <c r="B785" s="1" t="n">
        <v>43980</v>
      </c>
      <c r="C785" s="1" t="n">
        <v>45156</v>
      </c>
      <c r="D785" t="inlineStr">
        <is>
          <t>STRÖMSUND</t>
        </is>
      </c>
      <c r="E785" t="inlineStr">
        <is>
          <t>SCA</t>
        </is>
      </c>
      <c r="F785" t="n">
        <v>2.9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</row>
    <row r="786">
      <c r="A786" t="inlineStr">
        <is>
          <t>A 25375-2020</t>
        </is>
      </c>
      <c r="B786" s="1" t="n">
        <v>43980</v>
      </c>
      <c r="C786" s="1" t="n">
        <v>45156</v>
      </c>
      <c r="D786" t="inlineStr">
        <is>
          <t>STRÖMSUND</t>
        </is>
      </c>
      <c r="E786" t="inlineStr">
        <is>
          <t>SCA</t>
        </is>
      </c>
      <c r="F786" t="n">
        <v>5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</row>
    <row r="787">
      <c r="A787" t="inlineStr">
        <is>
          <t>A 25388-2020</t>
        </is>
      </c>
      <c r="B787" s="1" t="n">
        <v>43980</v>
      </c>
      <c r="C787" s="1" t="n">
        <v>45156</v>
      </c>
      <c r="D787" t="inlineStr">
        <is>
          <t>STRÖMSUND</t>
        </is>
      </c>
      <c r="E787" t="inlineStr">
        <is>
          <t>SCA</t>
        </is>
      </c>
      <c r="F787" t="n">
        <v>1.3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</row>
    <row r="788">
      <c r="A788" t="inlineStr">
        <is>
          <t>A 25398-2020</t>
        </is>
      </c>
      <c r="B788" s="1" t="n">
        <v>43980</v>
      </c>
      <c r="C788" s="1" t="n">
        <v>45156</v>
      </c>
      <c r="D788" t="inlineStr">
        <is>
          <t>STRÖMSUND</t>
        </is>
      </c>
      <c r="E788" t="inlineStr">
        <is>
          <t>SCA</t>
        </is>
      </c>
      <c r="F788" t="n">
        <v>2.4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</row>
    <row r="789">
      <c r="A789" t="inlineStr">
        <is>
          <t>A 25680-2020</t>
        </is>
      </c>
      <c r="B789" s="1" t="n">
        <v>43983</v>
      </c>
      <c r="C789" s="1" t="n">
        <v>45156</v>
      </c>
      <c r="D789" t="inlineStr">
        <is>
          <t>STRÖMSUND</t>
        </is>
      </c>
      <c r="E789" t="inlineStr">
        <is>
          <t>SCA</t>
        </is>
      </c>
      <c r="F789" t="n">
        <v>1.1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</row>
    <row r="790">
      <c r="A790" t="inlineStr">
        <is>
          <t>A 25892-2020</t>
        </is>
      </c>
      <c r="B790" s="1" t="n">
        <v>43984</v>
      </c>
      <c r="C790" s="1" t="n">
        <v>45156</v>
      </c>
      <c r="D790" t="inlineStr">
        <is>
          <t>STRÖMSUND</t>
        </is>
      </c>
      <c r="F790" t="n">
        <v>3.5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</row>
    <row r="791">
      <c r="A791" t="inlineStr">
        <is>
          <t>A 25913-2020</t>
        </is>
      </c>
      <c r="B791" s="1" t="n">
        <v>43984</v>
      </c>
      <c r="C791" s="1" t="n">
        <v>45156</v>
      </c>
      <c r="D791" t="inlineStr">
        <is>
          <t>STRÖMSUND</t>
        </is>
      </c>
      <c r="E791" t="inlineStr">
        <is>
          <t>SCA</t>
        </is>
      </c>
      <c r="F791" t="n">
        <v>6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</row>
    <row r="792">
      <c r="A792" t="inlineStr">
        <is>
          <t>A 25997-2020</t>
        </is>
      </c>
      <c r="B792" s="1" t="n">
        <v>43985</v>
      </c>
      <c r="C792" s="1" t="n">
        <v>45156</v>
      </c>
      <c r="D792" t="inlineStr">
        <is>
          <t>STRÖMSUND</t>
        </is>
      </c>
      <c r="F792" t="n">
        <v>2.4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</row>
    <row r="793">
      <c r="A793" t="inlineStr">
        <is>
          <t>A 26190-2020</t>
        </is>
      </c>
      <c r="B793" s="1" t="n">
        <v>43985</v>
      </c>
      <c r="C793" s="1" t="n">
        <v>45156</v>
      </c>
      <c r="D793" t="inlineStr">
        <is>
          <t>STRÖMSUND</t>
        </is>
      </c>
      <c r="E793" t="inlineStr">
        <is>
          <t>SCA</t>
        </is>
      </c>
      <c r="F793" t="n">
        <v>0.7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</row>
    <row r="794">
      <c r="A794" t="inlineStr">
        <is>
          <t>A 26629-2020</t>
        </is>
      </c>
      <c r="B794" s="1" t="n">
        <v>43987</v>
      </c>
      <c r="C794" s="1" t="n">
        <v>45156</v>
      </c>
      <c r="D794" t="inlineStr">
        <is>
          <t>STRÖMSUND</t>
        </is>
      </c>
      <c r="E794" t="inlineStr">
        <is>
          <t>SCA</t>
        </is>
      </c>
      <c r="F794" t="n">
        <v>1.2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</row>
    <row r="795">
      <c r="A795" t="inlineStr">
        <is>
          <t>A 26669-2020</t>
        </is>
      </c>
      <c r="B795" s="1" t="n">
        <v>43989</v>
      </c>
      <c r="C795" s="1" t="n">
        <v>45156</v>
      </c>
      <c r="D795" t="inlineStr">
        <is>
          <t>STRÖMSUND</t>
        </is>
      </c>
      <c r="F795" t="n">
        <v>8.699999999999999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</row>
    <row r="796">
      <c r="A796" t="inlineStr">
        <is>
          <t>A 26670-2020</t>
        </is>
      </c>
      <c r="B796" s="1" t="n">
        <v>43989</v>
      </c>
      <c r="C796" s="1" t="n">
        <v>45156</v>
      </c>
      <c r="D796" t="inlineStr">
        <is>
          <t>STRÖMSUND</t>
        </is>
      </c>
      <c r="F796" t="n">
        <v>2.3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</row>
    <row r="797">
      <c r="A797" t="inlineStr">
        <is>
          <t>A 27202-2020</t>
        </is>
      </c>
      <c r="B797" s="1" t="n">
        <v>43991</v>
      </c>
      <c r="C797" s="1" t="n">
        <v>45156</v>
      </c>
      <c r="D797" t="inlineStr">
        <is>
          <t>STRÖMSUND</t>
        </is>
      </c>
      <c r="E797" t="inlineStr">
        <is>
          <t>SCA</t>
        </is>
      </c>
      <c r="F797" t="n">
        <v>2.2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</row>
    <row r="798">
      <c r="A798" t="inlineStr">
        <is>
          <t>A 27415-2020</t>
        </is>
      </c>
      <c r="B798" s="1" t="n">
        <v>43992</v>
      </c>
      <c r="C798" s="1" t="n">
        <v>45156</v>
      </c>
      <c r="D798" t="inlineStr">
        <is>
          <t>STRÖMSUND</t>
        </is>
      </c>
      <c r="E798" t="inlineStr">
        <is>
          <t>SCA</t>
        </is>
      </c>
      <c r="F798" t="n">
        <v>2.4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</row>
    <row r="799">
      <c r="A799" t="inlineStr">
        <is>
          <t>A 27709-2020</t>
        </is>
      </c>
      <c r="B799" s="1" t="n">
        <v>43994</v>
      </c>
      <c r="C799" s="1" t="n">
        <v>45156</v>
      </c>
      <c r="D799" t="inlineStr">
        <is>
          <t>STRÖMSUND</t>
        </is>
      </c>
      <c r="F799" t="n">
        <v>2.9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</row>
    <row r="800">
      <c r="A800" t="inlineStr">
        <is>
          <t>A 28196-2020</t>
        </is>
      </c>
      <c r="B800" s="1" t="n">
        <v>43997</v>
      </c>
      <c r="C800" s="1" t="n">
        <v>45156</v>
      </c>
      <c r="D800" t="inlineStr">
        <is>
          <t>STRÖMSUND</t>
        </is>
      </c>
      <c r="E800" t="inlineStr">
        <is>
          <t>SCA</t>
        </is>
      </c>
      <c r="F800" t="n">
        <v>7.7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</row>
    <row r="801">
      <c r="A801" t="inlineStr">
        <is>
          <t>A 29046-2020</t>
        </is>
      </c>
      <c r="B801" s="1" t="n">
        <v>44000</v>
      </c>
      <c r="C801" s="1" t="n">
        <v>45156</v>
      </c>
      <c r="D801" t="inlineStr">
        <is>
          <t>STRÖMSUND</t>
        </is>
      </c>
      <c r="E801" t="inlineStr">
        <is>
          <t>SCA</t>
        </is>
      </c>
      <c r="F801" t="n">
        <v>1.5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</row>
    <row r="802">
      <c r="A802" t="inlineStr">
        <is>
          <t>A 30804-2020</t>
        </is>
      </c>
      <c r="B802" s="1" t="n">
        <v>44010</v>
      </c>
      <c r="C802" s="1" t="n">
        <v>45156</v>
      </c>
      <c r="D802" t="inlineStr">
        <is>
          <t>STRÖMSUND</t>
        </is>
      </c>
      <c r="E802" t="inlineStr">
        <is>
          <t>SCA</t>
        </is>
      </c>
      <c r="F802" t="n">
        <v>1.8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</row>
    <row r="803">
      <c r="A803" t="inlineStr">
        <is>
          <t>A 31077-2020</t>
        </is>
      </c>
      <c r="B803" s="1" t="n">
        <v>44011</v>
      </c>
      <c r="C803" s="1" t="n">
        <v>45156</v>
      </c>
      <c r="D803" t="inlineStr">
        <is>
          <t>STRÖMSUND</t>
        </is>
      </c>
      <c r="E803" t="inlineStr">
        <is>
          <t>SCA</t>
        </is>
      </c>
      <c r="F803" t="n">
        <v>33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</row>
    <row r="804">
      <c r="A804" t="inlineStr">
        <is>
          <t>A 30981-2020</t>
        </is>
      </c>
      <c r="B804" s="1" t="n">
        <v>44011</v>
      </c>
      <c r="C804" s="1" t="n">
        <v>45156</v>
      </c>
      <c r="D804" t="inlineStr">
        <is>
          <t>STRÖMSUND</t>
        </is>
      </c>
      <c r="F804" t="n">
        <v>6.7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</row>
    <row r="805">
      <c r="A805" t="inlineStr">
        <is>
          <t>A 31321-2020</t>
        </is>
      </c>
      <c r="B805" s="1" t="n">
        <v>44012</v>
      </c>
      <c r="C805" s="1" t="n">
        <v>45156</v>
      </c>
      <c r="D805" t="inlineStr">
        <is>
          <t>STRÖMSUND</t>
        </is>
      </c>
      <c r="E805" t="inlineStr">
        <is>
          <t>SCA</t>
        </is>
      </c>
      <c r="F805" t="n">
        <v>5.8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</row>
    <row r="806">
      <c r="A806" t="inlineStr">
        <is>
          <t>A 31337-2020</t>
        </is>
      </c>
      <c r="B806" s="1" t="n">
        <v>44012</v>
      </c>
      <c r="C806" s="1" t="n">
        <v>45156</v>
      </c>
      <c r="D806" t="inlineStr">
        <is>
          <t>STRÖMSUND</t>
        </is>
      </c>
      <c r="E806" t="inlineStr">
        <is>
          <t>SCA</t>
        </is>
      </c>
      <c r="F806" t="n">
        <v>3.5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</row>
    <row r="807">
      <c r="A807" t="inlineStr">
        <is>
          <t>A 31447-2020</t>
        </is>
      </c>
      <c r="B807" s="1" t="n">
        <v>44013</v>
      </c>
      <c r="C807" s="1" t="n">
        <v>45156</v>
      </c>
      <c r="D807" t="inlineStr">
        <is>
          <t>STRÖMSUND</t>
        </is>
      </c>
      <c r="F807" t="n">
        <v>22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</row>
    <row r="808">
      <c r="A808" t="inlineStr">
        <is>
          <t>A 31465-2020</t>
        </is>
      </c>
      <c r="B808" s="1" t="n">
        <v>44013</v>
      </c>
      <c r="C808" s="1" t="n">
        <v>45156</v>
      </c>
      <c r="D808" t="inlineStr">
        <is>
          <t>STRÖMSUND</t>
        </is>
      </c>
      <c r="F808" t="n">
        <v>0.2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</row>
    <row r="809">
      <c r="A809" t="inlineStr">
        <is>
          <t>A 31634-2020</t>
        </is>
      </c>
      <c r="B809" s="1" t="n">
        <v>44013</v>
      </c>
      <c r="C809" s="1" t="n">
        <v>45156</v>
      </c>
      <c r="D809" t="inlineStr">
        <is>
          <t>STRÖMSUND</t>
        </is>
      </c>
      <c r="E809" t="inlineStr">
        <is>
          <t>SCA</t>
        </is>
      </c>
      <c r="F809" t="n">
        <v>2.3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</row>
    <row r="810">
      <c r="A810" t="inlineStr">
        <is>
          <t>A 31658-2020</t>
        </is>
      </c>
      <c r="B810" s="1" t="n">
        <v>44013</v>
      </c>
      <c r="C810" s="1" t="n">
        <v>45156</v>
      </c>
      <c r="D810" t="inlineStr">
        <is>
          <t>STRÖMSUND</t>
        </is>
      </c>
      <c r="E810" t="inlineStr">
        <is>
          <t>SCA</t>
        </is>
      </c>
      <c r="F810" t="n">
        <v>3.6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</row>
    <row r="811">
      <c r="A811" t="inlineStr">
        <is>
          <t>A 31638-2020</t>
        </is>
      </c>
      <c r="B811" s="1" t="n">
        <v>44013</v>
      </c>
      <c r="C811" s="1" t="n">
        <v>45156</v>
      </c>
      <c r="D811" t="inlineStr">
        <is>
          <t>STRÖMSUND</t>
        </is>
      </c>
      <c r="E811" t="inlineStr">
        <is>
          <t>SCA</t>
        </is>
      </c>
      <c r="F811" t="n">
        <v>25.9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</row>
    <row r="812">
      <c r="A812" t="inlineStr">
        <is>
          <t>A 31663-2020</t>
        </is>
      </c>
      <c r="B812" s="1" t="n">
        <v>44013</v>
      </c>
      <c r="C812" s="1" t="n">
        <v>45156</v>
      </c>
      <c r="D812" t="inlineStr">
        <is>
          <t>STRÖMSUND</t>
        </is>
      </c>
      <c r="E812" t="inlineStr">
        <is>
          <t>SCA</t>
        </is>
      </c>
      <c r="F812" t="n">
        <v>1.3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</row>
    <row r="813">
      <c r="A813" t="inlineStr">
        <is>
          <t>A 31639-2020</t>
        </is>
      </c>
      <c r="B813" s="1" t="n">
        <v>44013</v>
      </c>
      <c r="C813" s="1" t="n">
        <v>45156</v>
      </c>
      <c r="D813" t="inlineStr">
        <is>
          <t>STRÖMSUND</t>
        </is>
      </c>
      <c r="E813" t="inlineStr">
        <is>
          <t>SCA</t>
        </is>
      </c>
      <c r="F813" t="n">
        <v>25.6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</row>
    <row r="814">
      <c r="A814" t="inlineStr">
        <is>
          <t>A 31991-2020</t>
        </is>
      </c>
      <c r="B814" s="1" t="n">
        <v>44014</v>
      </c>
      <c r="C814" s="1" t="n">
        <v>45156</v>
      </c>
      <c r="D814" t="inlineStr">
        <is>
          <t>STRÖMSUND</t>
        </is>
      </c>
      <c r="E814" t="inlineStr">
        <is>
          <t>SCA</t>
        </is>
      </c>
      <c r="F814" t="n">
        <v>2.5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</row>
    <row r="815">
      <c r="A815" t="inlineStr">
        <is>
          <t>A 32316-2020</t>
        </is>
      </c>
      <c r="B815" s="1" t="n">
        <v>44015</v>
      </c>
      <c r="C815" s="1" t="n">
        <v>45156</v>
      </c>
      <c r="D815" t="inlineStr">
        <is>
          <t>STRÖMSUND</t>
        </is>
      </c>
      <c r="E815" t="inlineStr">
        <is>
          <t>SCA</t>
        </is>
      </c>
      <c r="F815" t="n">
        <v>0.8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</row>
    <row r="816">
      <c r="A816" t="inlineStr">
        <is>
          <t>A 32307-2020</t>
        </is>
      </c>
      <c r="B816" s="1" t="n">
        <v>44015</v>
      </c>
      <c r="C816" s="1" t="n">
        <v>45156</v>
      </c>
      <c r="D816" t="inlineStr">
        <is>
          <t>STRÖMSUND</t>
        </is>
      </c>
      <c r="E816" t="inlineStr">
        <is>
          <t>SCA</t>
        </is>
      </c>
      <c r="F816" t="n">
        <v>6.6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</row>
    <row r="817">
      <c r="A817" t="inlineStr">
        <is>
          <t>A 32199-2020</t>
        </is>
      </c>
      <c r="B817" s="1" t="n">
        <v>44015</v>
      </c>
      <c r="C817" s="1" t="n">
        <v>45156</v>
      </c>
      <c r="D817" t="inlineStr">
        <is>
          <t>STRÖMSUND</t>
        </is>
      </c>
      <c r="F817" t="n">
        <v>3.4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</row>
    <row r="818">
      <c r="A818" t="inlineStr">
        <is>
          <t>A 32315-2020</t>
        </is>
      </c>
      <c r="B818" s="1" t="n">
        <v>44015</v>
      </c>
      <c r="C818" s="1" t="n">
        <v>45156</v>
      </c>
      <c r="D818" t="inlineStr">
        <is>
          <t>STRÖMSUND</t>
        </is>
      </c>
      <c r="E818" t="inlineStr">
        <is>
          <t>SCA</t>
        </is>
      </c>
      <c r="F818" t="n">
        <v>4.7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</row>
    <row r="819">
      <c r="A819" t="inlineStr">
        <is>
          <t>A 32326-2020</t>
        </is>
      </c>
      <c r="B819" s="1" t="n">
        <v>44015</v>
      </c>
      <c r="C819" s="1" t="n">
        <v>45156</v>
      </c>
      <c r="D819" t="inlineStr">
        <is>
          <t>STRÖMSUND</t>
        </is>
      </c>
      <c r="E819" t="inlineStr">
        <is>
          <t>SCA</t>
        </is>
      </c>
      <c r="F819" t="n">
        <v>2.8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</row>
    <row r="820">
      <c r="A820" t="inlineStr">
        <is>
          <t>A 32783-2020</t>
        </is>
      </c>
      <c r="B820" s="1" t="n">
        <v>44019</v>
      </c>
      <c r="C820" s="1" t="n">
        <v>45156</v>
      </c>
      <c r="D820" t="inlineStr">
        <is>
          <t>STRÖMSUND</t>
        </is>
      </c>
      <c r="E820" t="inlineStr">
        <is>
          <t>SCA</t>
        </is>
      </c>
      <c r="F820" t="n">
        <v>2.8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</row>
    <row r="821">
      <c r="A821" t="inlineStr">
        <is>
          <t>A 32763-2020</t>
        </is>
      </c>
      <c r="B821" s="1" t="n">
        <v>44019</v>
      </c>
      <c r="C821" s="1" t="n">
        <v>45156</v>
      </c>
      <c r="D821" t="inlineStr">
        <is>
          <t>STRÖMSUND</t>
        </is>
      </c>
      <c r="E821" t="inlineStr">
        <is>
          <t>SCA</t>
        </is>
      </c>
      <c r="F821" t="n">
        <v>2.1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</row>
    <row r="822">
      <c r="A822" t="inlineStr">
        <is>
          <t>A 33135-2020</t>
        </is>
      </c>
      <c r="B822" s="1" t="n">
        <v>44019</v>
      </c>
      <c r="C822" s="1" t="n">
        <v>45156</v>
      </c>
      <c r="D822" t="inlineStr">
        <is>
          <t>STRÖMSUND</t>
        </is>
      </c>
      <c r="F822" t="n">
        <v>0.4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</row>
    <row r="823">
      <c r="A823" t="inlineStr">
        <is>
          <t>A 33007-2020</t>
        </is>
      </c>
      <c r="B823" s="1" t="n">
        <v>44020</v>
      </c>
      <c r="C823" s="1" t="n">
        <v>45156</v>
      </c>
      <c r="D823" t="inlineStr">
        <is>
          <t>STRÖMSUND</t>
        </is>
      </c>
      <c r="E823" t="inlineStr">
        <is>
          <t>SCA</t>
        </is>
      </c>
      <c r="F823" t="n">
        <v>4.9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</row>
    <row r="824">
      <c r="A824" t="inlineStr">
        <is>
          <t>A 33006-2020</t>
        </is>
      </c>
      <c r="B824" s="1" t="n">
        <v>44020</v>
      </c>
      <c r="C824" s="1" t="n">
        <v>45156</v>
      </c>
      <c r="D824" t="inlineStr">
        <is>
          <t>STRÖMSUND</t>
        </is>
      </c>
      <c r="E824" t="inlineStr">
        <is>
          <t>SCA</t>
        </is>
      </c>
      <c r="F824" t="n">
        <v>3.2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</row>
    <row r="825">
      <c r="A825" t="inlineStr">
        <is>
          <t>A 33017-2020</t>
        </is>
      </c>
      <c r="B825" s="1" t="n">
        <v>44020</v>
      </c>
      <c r="C825" s="1" t="n">
        <v>45156</v>
      </c>
      <c r="D825" t="inlineStr">
        <is>
          <t>STRÖMSUND</t>
        </is>
      </c>
      <c r="E825" t="inlineStr">
        <is>
          <t>Sveaskog</t>
        </is>
      </c>
      <c r="F825" t="n">
        <v>20.8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</row>
    <row r="826">
      <c r="A826" t="inlineStr">
        <is>
          <t>A 33205-2020</t>
        </is>
      </c>
      <c r="B826" s="1" t="n">
        <v>44021</v>
      </c>
      <c r="C826" s="1" t="n">
        <v>45156</v>
      </c>
      <c r="D826" t="inlineStr">
        <is>
          <t>STRÖMSUND</t>
        </is>
      </c>
      <c r="E826" t="inlineStr">
        <is>
          <t>SCA</t>
        </is>
      </c>
      <c r="F826" t="n">
        <v>0.5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</row>
    <row r="827">
      <c r="A827" t="inlineStr">
        <is>
          <t>A 33207-2020</t>
        </is>
      </c>
      <c r="B827" s="1" t="n">
        <v>44021</v>
      </c>
      <c r="C827" s="1" t="n">
        <v>45156</v>
      </c>
      <c r="D827" t="inlineStr">
        <is>
          <t>STRÖMSUND</t>
        </is>
      </c>
      <c r="E827" t="inlineStr">
        <is>
          <t>SCA</t>
        </is>
      </c>
      <c r="F827" t="n">
        <v>7.2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</row>
    <row r="828">
      <c r="A828" t="inlineStr">
        <is>
          <t>A 33446-2020</t>
        </is>
      </c>
      <c r="B828" s="1" t="n">
        <v>44022</v>
      </c>
      <c r="C828" s="1" t="n">
        <v>45156</v>
      </c>
      <c r="D828" t="inlineStr">
        <is>
          <t>STRÖMSUND</t>
        </is>
      </c>
      <c r="E828" t="inlineStr">
        <is>
          <t>SCA</t>
        </is>
      </c>
      <c r="F828" t="n">
        <v>3.2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</row>
    <row r="829">
      <c r="A829" t="inlineStr">
        <is>
          <t>A 33460-2020</t>
        </is>
      </c>
      <c r="B829" s="1" t="n">
        <v>44022</v>
      </c>
      <c r="C829" s="1" t="n">
        <v>45156</v>
      </c>
      <c r="D829" t="inlineStr">
        <is>
          <t>STRÖMSUND</t>
        </is>
      </c>
      <c r="E829" t="inlineStr">
        <is>
          <t>SCA</t>
        </is>
      </c>
      <c r="F829" t="n">
        <v>10.5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</row>
    <row r="830">
      <c r="A830" t="inlineStr">
        <is>
          <t>A 33439-2020</t>
        </is>
      </c>
      <c r="B830" s="1" t="n">
        <v>44022</v>
      </c>
      <c r="C830" s="1" t="n">
        <v>45156</v>
      </c>
      <c r="D830" t="inlineStr">
        <is>
          <t>STRÖMSUND</t>
        </is>
      </c>
      <c r="E830" t="inlineStr">
        <is>
          <t>SCA</t>
        </is>
      </c>
      <c r="F830" t="n">
        <v>3.3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</row>
    <row r="831">
      <c r="A831" t="inlineStr">
        <is>
          <t>A 33617-2020</t>
        </is>
      </c>
      <c r="B831" s="1" t="n">
        <v>44025</v>
      </c>
      <c r="C831" s="1" t="n">
        <v>45156</v>
      </c>
      <c r="D831" t="inlineStr">
        <is>
          <t>STRÖMSUND</t>
        </is>
      </c>
      <c r="E831" t="inlineStr">
        <is>
          <t>SCA</t>
        </is>
      </c>
      <c r="F831" t="n">
        <v>135.3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</row>
    <row r="832">
      <c r="A832" t="inlineStr">
        <is>
          <t>A 33632-2020</t>
        </is>
      </c>
      <c r="B832" s="1" t="n">
        <v>44025</v>
      </c>
      <c r="C832" s="1" t="n">
        <v>45156</v>
      </c>
      <c r="D832" t="inlineStr">
        <is>
          <t>STRÖMSUND</t>
        </is>
      </c>
      <c r="E832" t="inlineStr">
        <is>
          <t>SCA</t>
        </is>
      </c>
      <c r="F832" t="n">
        <v>1.4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</row>
    <row r="833">
      <c r="A833" t="inlineStr">
        <is>
          <t>A 33635-2020</t>
        </is>
      </c>
      <c r="B833" s="1" t="n">
        <v>44025</v>
      </c>
      <c r="C833" s="1" t="n">
        <v>45156</v>
      </c>
      <c r="D833" t="inlineStr">
        <is>
          <t>STRÖMSUND</t>
        </is>
      </c>
      <c r="E833" t="inlineStr">
        <is>
          <t>SCA</t>
        </is>
      </c>
      <c r="F833" t="n">
        <v>4.9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</row>
    <row r="834">
      <c r="A834" t="inlineStr">
        <is>
          <t>A 34077-2020</t>
        </is>
      </c>
      <c r="B834" s="1" t="n">
        <v>44028</v>
      </c>
      <c r="C834" s="1" t="n">
        <v>45156</v>
      </c>
      <c r="D834" t="inlineStr">
        <is>
          <t>STRÖMSUND</t>
        </is>
      </c>
      <c r="E834" t="inlineStr">
        <is>
          <t>SCA</t>
        </is>
      </c>
      <c r="F834" t="n">
        <v>9.1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</row>
    <row r="835">
      <c r="A835" t="inlineStr">
        <is>
          <t>A 34082-2020</t>
        </is>
      </c>
      <c r="B835" s="1" t="n">
        <v>44028</v>
      </c>
      <c r="C835" s="1" t="n">
        <v>45156</v>
      </c>
      <c r="D835" t="inlineStr">
        <is>
          <t>STRÖMSUND</t>
        </is>
      </c>
      <c r="E835" t="inlineStr">
        <is>
          <t>SCA</t>
        </is>
      </c>
      <c r="F835" t="n">
        <v>1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</row>
    <row r="836">
      <c r="A836" t="inlineStr">
        <is>
          <t>A 34086-2020</t>
        </is>
      </c>
      <c r="B836" s="1" t="n">
        <v>44028</v>
      </c>
      <c r="C836" s="1" t="n">
        <v>45156</v>
      </c>
      <c r="D836" t="inlineStr">
        <is>
          <t>STRÖMSUND</t>
        </is>
      </c>
      <c r="E836" t="inlineStr">
        <is>
          <t>SCA</t>
        </is>
      </c>
      <c r="F836" t="n">
        <v>0.9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</row>
    <row r="837">
      <c r="A837" t="inlineStr">
        <is>
          <t>A 34080-2020</t>
        </is>
      </c>
      <c r="B837" s="1" t="n">
        <v>44028</v>
      </c>
      <c r="C837" s="1" t="n">
        <v>45156</v>
      </c>
      <c r="D837" t="inlineStr">
        <is>
          <t>STRÖMSUND</t>
        </is>
      </c>
      <c r="E837" t="inlineStr">
        <is>
          <t>SCA</t>
        </is>
      </c>
      <c r="F837" t="n">
        <v>5.4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</row>
    <row r="838">
      <c r="A838" t="inlineStr">
        <is>
          <t>A 34079-2020</t>
        </is>
      </c>
      <c r="B838" s="1" t="n">
        <v>44028</v>
      </c>
      <c r="C838" s="1" t="n">
        <v>45156</v>
      </c>
      <c r="D838" t="inlineStr">
        <is>
          <t>STRÖMSUND</t>
        </is>
      </c>
      <c r="E838" t="inlineStr">
        <is>
          <t>SCA</t>
        </is>
      </c>
      <c r="F838" t="n">
        <v>3.4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</row>
    <row r="839">
      <c r="A839" t="inlineStr">
        <is>
          <t>A 34084-2020</t>
        </is>
      </c>
      <c r="B839" s="1" t="n">
        <v>44028</v>
      </c>
      <c r="C839" s="1" t="n">
        <v>45156</v>
      </c>
      <c r="D839" t="inlineStr">
        <is>
          <t>STRÖMSUND</t>
        </is>
      </c>
      <c r="E839" t="inlineStr">
        <is>
          <t>SCA</t>
        </is>
      </c>
      <c r="F839" t="n">
        <v>6.4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</row>
    <row r="840">
      <c r="A840" t="inlineStr">
        <is>
          <t>A 33959-2020</t>
        </is>
      </c>
      <c r="B840" s="1" t="n">
        <v>44028</v>
      </c>
      <c r="C840" s="1" t="n">
        <v>45156</v>
      </c>
      <c r="D840" t="inlineStr">
        <is>
          <t>STRÖMSUND</t>
        </is>
      </c>
      <c r="F840" t="n">
        <v>1.7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</row>
    <row r="841">
      <c r="A841" t="inlineStr">
        <is>
          <t>A 34078-2020</t>
        </is>
      </c>
      <c r="B841" s="1" t="n">
        <v>44028</v>
      </c>
      <c r="C841" s="1" t="n">
        <v>45156</v>
      </c>
      <c r="D841" t="inlineStr">
        <is>
          <t>STRÖMSUND</t>
        </is>
      </c>
      <c r="E841" t="inlineStr">
        <is>
          <t>SCA</t>
        </is>
      </c>
      <c r="F841" t="n">
        <v>1.3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</row>
    <row r="842">
      <c r="A842" t="inlineStr">
        <is>
          <t>A 34083-2020</t>
        </is>
      </c>
      <c r="B842" s="1" t="n">
        <v>44028</v>
      </c>
      <c r="C842" s="1" t="n">
        <v>45156</v>
      </c>
      <c r="D842" t="inlineStr">
        <is>
          <t>STRÖMSUND</t>
        </is>
      </c>
      <c r="E842" t="inlineStr">
        <is>
          <t>SCA</t>
        </is>
      </c>
      <c r="F842" t="n">
        <v>2.9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</row>
    <row r="843">
      <c r="A843" t="inlineStr">
        <is>
          <t>A 34288-2020</t>
        </is>
      </c>
      <c r="B843" s="1" t="n">
        <v>44029</v>
      </c>
      <c r="C843" s="1" t="n">
        <v>45156</v>
      </c>
      <c r="D843" t="inlineStr">
        <is>
          <t>STRÖMSUND</t>
        </is>
      </c>
      <c r="E843" t="inlineStr">
        <is>
          <t>SCA</t>
        </is>
      </c>
      <c r="F843" t="n">
        <v>5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</row>
    <row r="844">
      <c r="A844" t="inlineStr">
        <is>
          <t>A 34289-2020</t>
        </is>
      </c>
      <c r="B844" s="1" t="n">
        <v>44029</v>
      </c>
      <c r="C844" s="1" t="n">
        <v>45156</v>
      </c>
      <c r="D844" t="inlineStr">
        <is>
          <t>STRÖMSUND</t>
        </is>
      </c>
      <c r="E844" t="inlineStr">
        <is>
          <t>SCA</t>
        </is>
      </c>
      <c r="F844" t="n">
        <v>3.6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</row>
    <row r="845">
      <c r="A845" t="inlineStr">
        <is>
          <t>A 34162-2020</t>
        </is>
      </c>
      <c r="B845" s="1" t="n">
        <v>44029</v>
      </c>
      <c r="C845" s="1" t="n">
        <v>45156</v>
      </c>
      <c r="D845" t="inlineStr">
        <is>
          <t>STRÖMSUND</t>
        </is>
      </c>
      <c r="E845" t="inlineStr">
        <is>
          <t>Sveaskog</t>
        </is>
      </c>
      <c r="F845" t="n">
        <v>3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</row>
    <row r="846">
      <c r="A846" t="inlineStr">
        <is>
          <t>A 34292-2020</t>
        </is>
      </c>
      <c r="B846" s="1" t="n">
        <v>44029</v>
      </c>
      <c r="C846" s="1" t="n">
        <v>45156</v>
      </c>
      <c r="D846" t="inlineStr">
        <is>
          <t>STRÖMSUND</t>
        </is>
      </c>
      <c r="E846" t="inlineStr">
        <is>
          <t>SCA</t>
        </is>
      </c>
      <c r="F846" t="n">
        <v>2.7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</row>
    <row r="847">
      <c r="A847" t="inlineStr">
        <is>
          <t>A 34658-2020</t>
        </is>
      </c>
      <c r="B847" s="1" t="n">
        <v>44034</v>
      </c>
      <c r="C847" s="1" t="n">
        <v>45156</v>
      </c>
      <c r="D847" t="inlineStr">
        <is>
          <t>STRÖMSUND</t>
        </is>
      </c>
      <c r="E847" t="inlineStr">
        <is>
          <t>SCA</t>
        </is>
      </c>
      <c r="F847" t="n">
        <v>2.5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</row>
    <row r="848">
      <c r="A848" t="inlineStr">
        <is>
          <t>A 34796-2020</t>
        </is>
      </c>
      <c r="B848" s="1" t="n">
        <v>44035</v>
      </c>
      <c r="C848" s="1" t="n">
        <v>45156</v>
      </c>
      <c r="D848" t="inlineStr">
        <is>
          <t>STRÖMSUND</t>
        </is>
      </c>
      <c r="E848" t="inlineStr">
        <is>
          <t>SCA</t>
        </is>
      </c>
      <c r="F848" t="n">
        <v>1.8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</row>
    <row r="849">
      <c r="A849" t="inlineStr">
        <is>
          <t>A 34855-2020</t>
        </is>
      </c>
      <c r="B849" s="1" t="n">
        <v>44036</v>
      </c>
      <c r="C849" s="1" t="n">
        <v>45156</v>
      </c>
      <c r="D849" t="inlineStr">
        <is>
          <t>STRÖMSUND</t>
        </is>
      </c>
      <c r="F849" t="n">
        <v>20.2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</row>
    <row r="850">
      <c r="A850" t="inlineStr">
        <is>
          <t>A 34952-2020</t>
        </is>
      </c>
      <c r="B850" s="1" t="n">
        <v>44038</v>
      </c>
      <c r="C850" s="1" t="n">
        <v>45156</v>
      </c>
      <c r="D850" t="inlineStr">
        <is>
          <t>STRÖMSUND</t>
        </is>
      </c>
      <c r="F850" t="n">
        <v>26.1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</row>
    <row r="851">
      <c r="A851" t="inlineStr">
        <is>
          <t>A 35393-2020</t>
        </is>
      </c>
      <c r="B851" s="1" t="n">
        <v>44042</v>
      </c>
      <c r="C851" s="1" t="n">
        <v>45156</v>
      </c>
      <c r="D851" t="inlineStr">
        <is>
          <t>STRÖMSUND</t>
        </is>
      </c>
      <c r="F851" t="n">
        <v>0.8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</row>
    <row r="852">
      <c r="A852" t="inlineStr">
        <is>
          <t>A 35605-2020</t>
        </is>
      </c>
      <c r="B852" s="1" t="n">
        <v>44043</v>
      </c>
      <c r="C852" s="1" t="n">
        <v>45156</v>
      </c>
      <c r="D852" t="inlineStr">
        <is>
          <t>STRÖMSUND</t>
        </is>
      </c>
      <c r="E852" t="inlineStr">
        <is>
          <t>SCA</t>
        </is>
      </c>
      <c r="F852" t="n">
        <v>3.4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</row>
    <row r="853">
      <c r="A853" t="inlineStr">
        <is>
          <t>A 35658-2020</t>
        </is>
      </c>
      <c r="B853" s="1" t="n">
        <v>44046</v>
      </c>
      <c r="C853" s="1" t="n">
        <v>45156</v>
      </c>
      <c r="D853" t="inlineStr">
        <is>
          <t>STRÖMSUND</t>
        </is>
      </c>
      <c r="E853" t="inlineStr">
        <is>
          <t>Holmen skog AB</t>
        </is>
      </c>
      <c r="F853" t="n">
        <v>18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</row>
    <row r="854">
      <c r="A854" t="inlineStr">
        <is>
          <t>A 36504-2020</t>
        </is>
      </c>
      <c r="B854" s="1" t="n">
        <v>44050</v>
      </c>
      <c r="C854" s="1" t="n">
        <v>45156</v>
      </c>
      <c r="D854" t="inlineStr">
        <is>
          <t>STRÖMSUND</t>
        </is>
      </c>
      <c r="E854" t="inlineStr">
        <is>
          <t>Holmen skog AB</t>
        </is>
      </c>
      <c r="F854" t="n">
        <v>3.2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</row>
    <row r="855">
      <c r="A855" t="inlineStr">
        <is>
          <t>A 36574-2020</t>
        </is>
      </c>
      <c r="B855" s="1" t="n">
        <v>44050</v>
      </c>
      <c r="C855" s="1" t="n">
        <v>45156</v>
      </c>
      <c r="D855" t="inlineStr">
        <is>
          <t>STRÖMSUND</t>
        </is>
      </c>
      <c r="E855" t="inlineStr">
        <is>
          <t>Holmen skog AB</t>
        </is>
      </c>
      <c r="F855" t="n">
        <v>1.2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</row>
    <row r="856">
      <c r="A856" t="inlineStr">
        <is>
          <t>A 36963-2020</t>
        </is>
      </c>
      <c r="B856" s="1" t="n">
        <v>44053</v>
      </c>
      <c r="C856" s="1" t="n">
        <v>45156</v>
      </c>
      <c r="D856" t="inlineStr">
        <is>
          <t>STRÖMSUND</t>
        </is>
      </c>
      <c r="E856" t="inlineStr">
        <is>
          <t>SCA</t>
        </is>
      </c>
      <c r="F856" t="n">
        <v>7.1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</row>
    <row r="857">
      <c r="A857" t="inlineStr">
        <is>
          <t>A 36787-2020</t>
        </is>
      </c>
      <c r="B857" s="1" t="n">
        <v>44053</v>
      </c>
      <c r="C857" s="1" t="n">
        <v>45156</v>
      </c>
      <c r="D857" t="inlineStr">
        <is>
          <t>STRÖMSUND</t>
        </is>
      </c>
      <c r="E857" t="inlineStr">
        <is>
          <t>Holmen skog AB</t>
        </is>
      </c>
      <c r="F857" t="n">
        <v>5.3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</row>
    <row r="858">
      <c r="A858" t="inlineStr">
        <is>
          <t>A 37501-2020</t>
        </is>
      </c>
      <c r="B858" s="1" t="n">
        <v>44055</v>
      </c>
      <c r="C858" s="1" t="n">
        <v>45156</v>
      </c>
      <c r="D858" t="inlineStr">
        <is>
          <t>STRÖMSUND</t>
        </is>
      </c>
      <c r="F858" t="n">
        <v>1.1</v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</row>
    <row r="859">
      <c r="A859" t="inlineStr">
        <is>
          <t>A 37308-2020</t>
        </is>
      </c>
      <c r="B859" s="1" t="n">
        <v>44055</v>
      </c>
      <c r="C859" s="1" t="n">
        <v>45156</v>
      </c>
      <c r="D859" t="inlineStr">
        <is>
          <t>STRÖMSUND</t>
        </is>
      </c>
      <c r="E859" t="inlineStr">
        <is>
          <t>Holmen skog AB</t>
        </is>
      </c>
      <c r="F859" t="n">
        <v>1.3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</row>
    <row r="860">
      <c r="A860" t="inlineStr">
        <is>
          <t>A 37878-2020</t>
        </is>
      </c>
      <c r="B860" s="1" t="n">
        <v>44057</v>
      </c>
      <c r="C860" s="1" t="n">
        <v>45156</v>
      </c>
      <c r="D860" t="inlineStr">
        <is>
          <t>STRÖMSUND</t>
        </is>
      </c>
      <c r="F860" t="n">
        <v>1.1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</row>
    <row r="861">
      <c r="A861" t="inlineStr">
        <is>
          <t>A 38019-2020</t>
        </is>
      </c>
      <c r="B861" s="1" t="n">
        <v>44057</v>
      </c>
      <c r="C861" s="1" t="n">
        <v>45156</v>
      </c>
      <c r="D861" t="inlineStr">
        <is>
          <t>STRÖMSUND</t>
        </is>
      </c>
      <c r="F861" t="n">
        <v>0.2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</row>
    <row r="862">
      <c r="A862" t="inlineStr">
        <is>
          <t>A 38071-2020</t>
        </is>
      </c>
      <c r="B862" s="1" t="n">
        <v>44057</v>
      </c>
      <c r="C862" s="1" t="n">
        <v>45156</v>
      </c>
      <c r="D862" t="inlineStr">
        <is>
          <t>STRÖMSUND</t>
        </is>
      </c>
      <c r="E862" t="inlineStr">
        <is>
          <t>SCA</t>
        </is>
      </c>
      <c r="F862" t="n">
        <v>2.4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</row>
    <row r="863">
      <c r="A863" t="inlineStr">
        <is>
          <t>A 38029-2020</t>
        </is>
      </c>
      <c r="B863" s="1" t="n">
        <v>44057</v>
      </c>
      <c r="C863" s="1" t="n">
        <v>45156</v>
      </c>
      <c r="D863" t="inlineStr">
        <is>
          <t>STRÖMSUND</t>
        </is>
      </c>
      <c r="F863" t="n">
        <v>0.6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</row>
    <row r="864">
      <c r="A864" t="inlineStr">
        <is>
          <t>A 38070-2020</t>
        </is>
      </c>
      <c r="B864" s="1" t="n">
        <v>44057</v>
      </c>
      <c r="C864" s="1" t="n">
        <v>45156</v>
      </c>
      <c r="D864" t="inlineStr">
        <is>
          <t>STRÖMSUND</t>
        </is>
      </c>
      <c r="E864" t="inlineStr">
        <is>
          <t>SCA</t>
        </is>
      </c>
      <c r="F864" t="n">
        <v>3.2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</row>
    <row r="865">
      <c r="A865" t="inlineStr">
        <is>
          <t>A 38484-2020</t>
        </is>
      </c>
      <c r="B865" s="1" t="n">
        <v>44060</v>
      </c>
      <c r="C865" s="1" t="n">
        <v>45156</v>
      </c>
      <c r="D865" t="inlineStr">
        <is>
          <t>STRÖMSUND</t>
        </is>
      </c>
      <c r="E865" t="inlineStr">
        <is>
          <t>SCA</t>
        </is>
      </c>
      <c r="F865" t="n">
        <v>3.2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</row>
    <row r="866">
      <c r="A866" t="inlineStr">
        <is>
          <t>A 38266-2020</t>
        </is>
      </c>
      <c r="B866" s="1" t="n">
        <v>44060</v>
      </c>
      <c r="C866" s="1" t="n">
        <v>45156</v>
      </c>
      <c r="D866" t="inlineStr">
        <is>
          <t>STRÖMSUND</t>
        </is>
      </c>
      <c r="F866" t="n">
        <v>2.5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</row>
    <row r="867">
      <c r="A867" t="inlineStr">
        <is>
          <t>A 38485-2020</t>
        </is>
      </c>
      <c r="B867" s="1" t="n">
        <v>44060</v>
      </c>
      <c r="C867" s="1" t="n">
        <v>45156</v>
      </c>
      <c r="D867" t="inlineStr">
        <is>
          <t>STRÖMSUND</t>
        </is>
      </c>
      <c r="E867" t="inlineStr">
        <is>
          <t>SCA</t>
        </is>
      </c>
      <c r="F867" t="n">
        <v>2.9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</row>
    <row r="868">
      <c r="A868" t="inlineStr">
        <is>
          <t>A 38261-2020</t>
        </is>
      </c>
      <c r="B868" s="1" t="n">
        <v>44060</v>
      </c>
      <c r="C868" s="1" t="n">
        <v>45156</v>
      </c>
      <c r="D868" t="inlineStr">
        <is>
          <t>STRÖMSUND</t>
        </is>
      </c>
      <c r="F868" t="n">
        <v>2.8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</row>
    <row r="869">
      <c r="A869" t="inlineStr">
        <is>
          <t>A 38268-2020</t>
        </is>
      </c>
      <c r="B869" s="1" t="n">
        <v>44060</v>
      </c>
      <c r="C869" s="1" t="n">
        <v>45156</v>
      </c>
      <c r="D869" t="inlineStr">
        <is>
          <t>STRÖMSUND</t>
        </is>
      </c>
      <c r="F869" t="n">
        <v>6.4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</row>
    <row r="870">
      <c r="A870" t="inlineStr">
        <is>
          <t>A 38779-2020</t>
        </is>
      </c>
      <c r="B870" s="1" t="n">
        <v>44061</v>
      </c>
      <c r="C870" s="1" t="n">
        <v>45156</v>
      </c>
      <c r="D870" t="inlineStr">
        <is>
          <t>STRÖMSUND</t>
        </is>
      </c>
      <c r="E870" t="inlineStr">
        <is>
          <t>SCA</t>
        </is>
      </c>
      <c r="F870" t="n">
        <v>34.2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</row>
    <row r="871">
      <c r="A871" t="inlineStr">
        <is>
          <t>A 38780-2020</t>
        </is>
      </c>
      <c r="B871" s="1" t="n">
        <v>44061</v>
      </c>
      <c r="C871" s="1" t="n">
        <v>45156</v>
      </c>
      <c r="D871" t="inlineStr">
        <is>
          <t>STRÖMSUND</t>
        </is>
      </c>
      <c r="E871" t="inlineStr">
        <is>
          <t>SCA</t>
        </is>
      </c>
      <c r="F871" t="n">
        <v>0.7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</row>
    <row r="872">
      <c r="A872" t="inlineStr">
        <is>
          <t>A 38781-2020</t>
        </is>
      </c>
      <c r="B872" s="1" t="n">
        <v>44061</v>
      </c>
      <c r="C872" s="1" t="n">
        <v>45156</v>
      </c>
      <c r="D872" t="inlineStr">
        <is>
          <t>STRÖMSUND</t>
        </is>
      </c>
      <c r="E872" t="inlineStr">
        <is>
          <t>SCA</t>
        </is>
      </c>
      <c r="F872" t="n">
        <v>1.1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</row>
    <row r="873">
      <c r="A873" t="inlineStr">
        <is>
          <t>A 39397-2020</t>
        </is>
      </c>
      <c r="B873" s="1" t="n">
        <v>44064</v>
      </c>
      <c r="C873" s="1" t="n">
        <v>45156</v>
      </c>
      <c r="D873" t="inlineStr">
        <is>
          <t>STRÖMSUND</t>
        </is>
      </c>
      <c r="F873" t="n">
        <v>6.1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</row>
    <row r="874">
      <c r="A874" t="inlineStr">
        <is>
          <t>A 40080-2020</t>
        </is>
      </c>
      <c r="B874" s="1" t="n">
        <v>44067</v>
      </c>
      <c r="C874" s="1" t="n">
        <v>45156</v>
      </c>
      <c r="D874" t="inlineStr">
        <is>
          <t>STRÖMSUND</t>
        </is>
      </c>
      <c r="E874" t="inlineStr">
        <is>
          <t>SCA</t>
        </is>
      </c>
      <c r="F874" t="n">
        <v>1.2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</row>
    <row r="875">
      <c r="A875" t="inlineStr">
        <is>
          <t>A 40519-2020</t>
        </is>
      </c>
      <c r="B875" s="1" t="n">
        <v>44069</v>
      </c>
      <c r="C875" s="1" t="n">
        <v>45156</v>
      </c>
      <c r="D875" t="inlineStr">
        <is>
          <t>STRÖMSUND</t>
        </is>
      </c>
      <c r="F875" t="n">
        <v>11.7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</row>
    <row r="876">
      <c r="A876" t="inlineStr">
        <is>
          <t>A 41368-2020</t>
        </is>
      </c>
      <c r="B876" s="1" t="n">
        <v>44071</v>
      </c>
      <c r="C876" s="1" t="n">
        <v>45156</v>
      </c>
      <c r="D876" t="inlineStr">
        <is>
          <t>STRÖMSUND</t>
        </is>
      </c>
      <c r="E876" t="inlineStr">
        <is>
          <t>SCA</t>
        </is>
      </c>
      <c r="F876" t="n">
        <v>8.199999999999999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</row>
    <row r="877">
      <c r="A877" t="inlineStr">
        <is>
          <t>A 41450-2020</t>
        </is>
      </c>
      <c r="B877" s="1" t="n">
        <v>44073</v>
      </c>
      <c r="C877" s="1" t="n">
        <v>45156</v>
      </c>
      <c r="D877" t="inlineStr">
        <is>
          <t>STRÖMSUND</t>
        </is>
      </c>
      <c r="E877" t="inlineStr">
        <is>
          <t>SCA</t>
        </is>
      </c>
      <c r="F877" t="n">
        <v>5.5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</row>
    <row r="878">
      <c r="A878" t="inlineStr">
        <is>
          <t>A 41451-2020</t>
        </is>
      </c>
      <c r="B878" s="1" t="n">
        <v>44073</v>
      </c>
      <c r="C878" s="1" t="n">
        <v>45156</v>
      </c>
      <c r="D878" t="inlineStr">
        <is>
          <t>STRÖMSUND</t>
        </is>
      </c>
      <c r="E878" t="inlineStr">
        <is>
          <t>SCA</t>
        </is>
      </c>
      <c r="F878" t="n">
        <v>8.5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</row>
    <row r="879">
      <c r="A879" t="inlineStr">
        <is>
          <t>A 41454-2020</t>
        </is>
      </c>
      <c r="B879" s="1" t="n">
        <v>44073</v>
      </c>
      <c r="C879" s="1" t="n">
        <v>45156</v>
      </c>
      <c r="D879" t="inlineStr">
        <is>
          <t>STRÖMSUND</t>
        </is>
      </c>
      <c r="E879" t="inlineStr">
        <is>
          <t>SCA</t>
        </is>
      </c>
      <c r="F879" t="n">
        <v>11.8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</row>
    <row r="880">
      <c r="A880" t="inlineStr">
        <is>
          <t>A 41892-2020</t>
        </is>
      </c>
      <c r="B880" s="1" t="n">
        <v>44074</v>
      </c>
      <c r="C880" s="1" t="n">
        <v>45156</v>
      </c>
      <c r="D880" t="inlineStr">
        <is>
          <t>STRÖMSUND</t>
        </is>
      </c>
      <c r="E880" t="inlineStr">
        <is>
          <t>SCA</t>
        </is>
      </c>
      <c r="F880" t="n">
        <v>12.2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</row>
    <row r="881">
      <c r="A881" t="inlineStr">
        <is>
          <t>A 41490-2020</t>
        </is>
      </c>
      <c r="B881" s="1" t="n">
        <v>44074</v>
      </c>
      <c r="C881" s="1" t="n">
        <v>45156</v>
      </c>
      <c r="D881" t="inlineStr">
        <is>
          <t>STRÖMSUND</t>
        </is>
      </c>
      <c r="E881" t="inlineStr">
        <is>
          <t>SCA</t>
        </is>
      </c>
      <c r="F881" t="n">
        <v>0.1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</row>
    <row r="882">
      <c r="A882" t="inlineStr">
        <is>
          <t>A 43447-2020</t>
        </is>
      </c>
      <c r="B882" s="1" t="n">
        <v>44081</v>
      </c>
      <c r="C882" s="1" t="n">
        <v>45156</v>
      </c>
      <c r="D882" t="inlineStr">
        <is>
          <t>STRÖMSUND</t>
        </is>
      </c>
      <c r="E882" t="inlineStr">
        <is>
          <t>SCA</t>
        </is>
      </c>
      <c r="F882" t="n">
        <v>24.7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</row>
    <row r="883">
      <c r="A883" t="inlineStr">
        <is>
          <t>A 43448-2020</t>
        </is>
      </c>
      <c r="B883" s="1" t="n">
        <v>44081</v>
      </c>
      <c r="C883" s="1" t="n">
        <v>45156</v>
      </c>
      <c r="D883" t="inlineStr">
        <is>
          <t>STRÖMSUND</t>
        </is>
      </c>
      <c r="E883" t="inlineStr">
        <is>
          <t>SCA</t>
        </is>
      </c>
      <c r="F883" t="n">
        <v>7.1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</row>
    <row r="884">
      <c r="A884" t="inlineStr">
        <is>
          <t>A 44009-2020</t>
        </is>
      </c>
      <c r="B884" s="1" t="n">
        <v>44083</v>
      </c>
      <c r="C884" s="1" t="n">
        <v>45156</v>
      </c>
      <c r="D884" t="inlineStr">
        <is>
          <t>STRÖMSUND</t>
        </is>
      </c>
      <c r="F884" t="n">
        <v>3.2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</row>
    <row r="885">
      <c r="A885" t="inlineStr">
        <is>
          <t>A 44197-2020</t>
        </is>
      </c>
      <c r="B885" s="1" t="n">
        <v>44083</v>
      </c>
      <c r="C885" s="1" t="n">
        <v>45156</v>
      </c>
      <c r="D885" t="inlineStr">
        <is>
          <t>STRÖMSUND</t>
        </is>
      </c>
      <c r="E885" t="inlineStr">
        <is>
          <t>SCA</t>
        </is>
      </c>
      <c r="F885" t="n">
        <v>1.4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</row>
    <row r="886">
      <c r="A886" t="inlineStr">
        <is>
          <t>A 44992-2020</t>
        </is>
      </c>
      <c r="B886" s="1" t="n">
        <v>44083</v>
      </c>
      <c r="C886" s="1" t="n">
        <v>45156</v>
      </c>
      <c r="D886" t="inlineStr">
        <is>
          <t>STRÖMSUND</t>
        </is>
      </c>
      <c r="F886" t="n">
        <v>20.3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</row>
    <row r="887">
      <c r="A887" t="inlineStr">
        <is>
          <t>A 44989-2020</t>
        </is>
      </c>
      <c r="B887" s="1" t="n">
        <v>44083</v>
      </c>
      <c r="C887" s="1" t="n">
        <v>45156</v>
      </c>
      <c r="D887" t="inlineStr">
        <is>
          <t>STRÖMSUND</t>
        </is>
      </c>
      <c r="F887" t="n">
        <v>8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</row>
    <row r="888">
      <c r="A888" t="inlineStr">
        <is>
          <t>A 46425-2020</t>
        </is>
      </c>
      <c r="B888" s="1" t="n">
        <v>44095</v>
      </c>
      <c r="C888" s="1" t="n">
        <v>45156</v>
      </c>
      <c r="D888" t="inlineStr">
        <is>
          <t>STRÖMSUND</t>
        </is>
      </c>
      <c r="E888" t="inlineStr">
        <is>
          <t>Sveaskog</t>
        </is>
      </c>
      <c r="F888" t="n">
        <v>4.4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</row>
    <row r="889">
      <c r="A889" t="inlineStr">
        <is>
          <t>A 46540-2020</t>
        </is>
      </c>
      <c r="B889" s="1" t="n">
        <v>44095</v>
      </c>
      <c r="C889" s="1" t="n">
        <v>45156</v>
      </c>
      <c r="D889" t="inlineStr">
        <is>
          <t>STRÖMSUND</t>
        </is>
      </c>
      <c r="E889" t="inlineStr">
        <is>
          <t>Holmen skog AB</t>
        </is>
      </c>
      <c r="F889" t="n">
        <v>10.8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</row>
    <row r="890">
      <c r="A890" t="inlineStr">
        <is>
          <t>A 46426-2020</t>
        </is>
      </c>
      <c r="B890" s="1" t="n">
        <v>44095</v>
      </c>
      <c r="C890" s="1" t="n">
        <v>45156</v>
      </c>
      <c r="D890" t="inlineStr">
        <is>
          <t>STRÖMSUND</t>
        </is>
      </c>
      <c r="E890" t="inlineStr">
        <is>
          <t>Sveaskog</t>
        </is>
      </c>
      <c r="F890" t="n">
        <v>7.9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</row>
    <row r="891">
      <c r="A891" t="inlineStr">
        <is>
          <t>A 47125-2020</t>
        </is>
      </c>
      <c r="B891" s="1" t="n">
        <v>44096</v>
      </c>
      <c r="C891" s="1" t="n">
        <v>45156</v>
      </c>
      <c r="D891" t="inlineStr">
        <is>
          <t>STRÖMSUND</t>
        </is>
      </c>
      <c r="E891" t="inlineStr">
        <is>
          <t>SCA</t>
        </is>
      </c>
      <c r="F891" t="n">
        <v>11.1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</row>
    <row r="892">
      <c r="A892" t="inlineStr">
        <is>
          <t>A 47504-2020</t>
        </is>
      </c>
      <c r="B892" s="1" t="n">
        <v>44098</v>
      </c>
      <c r="C892" s="1" t="n">
        <v>45156</v>
      </c>
      <c r="D892" t="inlineStr">
        <is>
          <t>STRÖMSUND</t>
        </is>
      </c>
      <c r="E892" t="inlineStr">
        <is>
          <t>Holmen skog AB</t>
        </is>
      </c>
      <c r="F892" t="n">
        <v>6.6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</row>
    <row r="893">
      <c r="A893" t="inlineStr">
        <is>
          <t>A 48224-2020</t>
        </is>
      </c>
      <c r="B893" s="1" t="n">
        <v>44102</v>
      </c>
      <c r="C893" s="1" t="n">
        <v>45156</v>
      </c>
      <c r="D893" t="inlineStr">
        <is>
          <t>STRÖMSUND</t>
        </is>
      </c>
      <c r="E893" t="inlineStr">
        <is>
          <t>Holmen skog AB</t>
        </is>
      </c>
      <c r="F893" t="n">
        <v>8.800000000000001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</row>
    <row r="894">
      <c r="A894" t="inlineStr">
        <is>
          <t>A 48227-2020</t>
        </is>
      </c>
      <c r="B894" s="1" t="n">
        <v>44102</v>
      </c>
      <c r="C894" s="1" t="n">
        <v>45156</v>
      </c>
      <c r="D894" t="inlineStr">
        <is>
          <t>STRÖMSUND</t>
        </is>
      </c>
      <c r="E894" t="inlineStr">
        <is>
          <t>Holmen skog AB</t>
        </is>
      </c>
      <c r="F894" t="n">
        <v>2.4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</row>
    <row r="895">
      <c r="A895" t="inlineStr">
        <is>
          <t>A 48740-2020</t>
        </is>
      </c>
      <c r="B895" s="1" t="n">
        <v>44103</v>
      </c>
      <c r="C895" s="1" t="n">
        <v>45156</v>
      </c>
      <c r="D895" t="inlineStr">
        <is>
          <t>STRÖMSUND</t>
        </is>
      </c>
      <c r="F895" t="n">
        <v>10.6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</row>
    <row r="896">
      <c r="A896" t="inlineStr">
        <is>
          <t>A 49772-2020</t>
        </is>
      </c>
      <c r="B896" s="1" t="n">
        <v>44103</v>
      </c>
      <c r="C896" s="1" t="n">
        <v>45156</v>
      </c>
      <c r="D896" t="inlineStr">
        <is>
          <t>STRÖMSUND</t>
        </is>
      </c>
      <c r="F896" t="n">
        <v>7.6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</row>
    <row r="897">
      <c r="A897" t="inlineStr">
        <is>
          <t>A 49156-2020</t>
        </is>
      </c>
      <c r="B897" s="1" t="n">
        <v>44104</v>
      </c>
      <c r="C897" s="1" t="n">
        <v>45156</v>
      </c>
      <c r="D897" t="inlineStr">
        <is>
          <t>STRÖMSUND</t>
        </is>
      </c>
      <c r="E897" t="inlineStr">
        <is>
          <t>SCA</t>
        </is>
      </c>
      <c r="F897" t="n">
        <v>7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</row>
    <row r="898">
      <c r="A898" t="inlineStr">
        <is>
          <t>A 49167-2020</t>
        </is>
      </c>
      <c r="B898" s="1" t="n">
        <v>44104</v>
      </c>
      <c r="C898" s="1" t="n">
        <v>45156</v>
      </c>
      <c r="D898" t="inlineStr">
        <is>
          <t>STRÖMSUND</t>
        </is>
      </c>
      <c r="E898" t="inlineStr">
        <is>
          <t>SCA</t>
        </is>
      </c>
      <c r="F898" t="n">
        <v>1.6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</row>
    <row r="899">
      <c r="A899" t="inlineStr">
        <is>
          <t>A 49152-2020</t>
        </is>
      </c>
      <c r="B899" s="1" t="n">
        <v>44104</v>
      </c>
      <c r="C899" s="1" t="n">
        <v>45156</v>
      </c>
      <c r="D899" t="inlineStr">
        <is>
          <t>STRÖMSUND</t>
        </is>
      </c>
      <c r="E899" t="inlineStr">
        <is>
          <t>SCA</t>
        </is>
      </c>
      <c r="F899" t="n">
        <v>2.6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</row>
    <row r="900">
      <c r="A900" t="inlineStr">
        <is>
          <t>A 49161-2020</t>
        </is>
      </c>
      <c r="B900" s="1" t="n">
        <v>44104</v>
      </c>
      <c r="C900" s="1" t="n">
        <v>45156</v>
      </c>
      <c r="D900" t="inlineStr">
        <is>
          <t>STRÖMSUND</t>
        </is>
      </c>
      <c r="E900" t="inlineStr">
        <is>
          <t>SCA</t>
        </is>
      </c>
      <c r="F900" t="n">
        <v>1.6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</row>
    <row r="901">
      <c r="A901" t="inlineStr">
        <is>
          <t>A 49511-2020</t>
        </is>
      </c>
      <c r="B901" s="1" t="n">
        <v>44105</v>
      </c>
      <c r="C901" s="1" t="n">
        <v>45156</v>
      </c>
      <c r="D901" t="inlineStr">
        <is>
          <t>STRÖMSUND</t>
        </is>
      </c>
      <c r="E901" t="inlineStr">
        <is>
          <t>SCA</t>
        </is>
      </c>
      <c r="F901" t="n">
        <v>13.6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</row>
    <row r="902">
      <c r="A902" t="inlineStr">
        <is>
          <t>A 49997-2020</t>
        </is>
      </c>
      <c r="B902" s="1" t="n">
        <v>44109</v>
      </c>
      <c r="C902" s="1" t="n">
        <v>45156</v>
      </c>
      <c r="D902" t="inlineStr">
        <is>
          <t>STRÖMSUND</t>
        </is>
      </c>
      <c r="F902" t="n">
        <v>1.2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</row>
    <row r="903">
      <c r="A903" t="inlineStr">
        <is>
          <t>A 50645-2020</t>
        </is>
      </c>
      <c r="B903" s="1" t="n">
        <v>44110</v>
      </c>
      <c r="C903" s="1" t="n">
        <v>45156</v>
      </c>
      <c r="D903" t="inlineStr">
        <is>
          <t>STRÖMSUND</t>
        </is>
      </c>
      <c r="E903" t="inlineStr">
        <is>
          <t>SCA</t>
        </is>
      </c>
      <c r="F903" t="n">
        <v>8.4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</row>
    <row r="904">
      <c r="A904" t="inlineStr">
        <is>
          <t>A 51042-2020</t>
        </is>
      </c>
      <c r="B904" s="1" t="n">
        <v>44112</v>
      </c>
      <c r="C904" s="1" t="n">
        <v>45156</v>
      </c>
      <c r="D904" t="inlineStr">
        <is>
          <t>STRÖMSUND</t>
        </is>
      </c>
      <c r="E904" t="inlineStr">
        <is>
          <t>Sveaskog</t>
        </is>
      </c>
      <c r="F904" t="n">
        <v>0.8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</row>
    <row r="905">
      <c r="A905" t="inlineStr">
        <is>
          <t>A 51670-2020</t>
        </is>
      </c>
      <c r="B905" s="1" t="n">
        <v>44113</v>
      </c>
      <c r="C905" s="1" t="n">
        <v>45156</v>
      </c>
      <c r="D905" t="inlineStr">
        <is>
          <t>STRÖMSUND</t>
        </is>
      </c>
      <c r="F905" t="n">
        <v>2.9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</row>
    <row r="906">
      <c r="A906" t="inlineStr">
        <is>
          <t>A 51689-2020</t>
        </is>
      </c>
      <c r="B906" s="1" t="n">
        <v>44113</v>
      </c>
      <c r="C906" s="1" t="n">
        <v>45156</v>
      </c>
      <c r="D906" t="inlineStr">
        <is>
          <t>STRÖMSUND</t>
        </is>
      </c>
      <c r="E906" t="inlineStr">
        <is>
          <t>SCA</t>
        </is>
      </c>
      <c r="F906" t="n">
        <v>4.9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</row>
    <row r="907">
      <c r="A907" t="inlineStr">
        <is>
          <t>A 52030-2020</t>
        </is>
      </c>
      <c r="B907" s="1" t="n">
        <v>44116</v>
      </c>
      <c r="C907" s="1" t="n">
        <v>45156</v>
      </c>
      <c r="D907" t="inlineStr">
        <is>
          <t>STRÖMSUND</t>
        </is>
      </c>
      <c r="E907" t="inlineStr">
        <is>
          <t>SCA</t>
        </is>
      </c>
      <c r="F907" t="n">
        <v>1.5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</row>
    <row r="908">
      <c r="A908" t="inlineStr">
        <is>
          <t>A 52622-2020</t>
        </is>
      </c>
      <c r="B908" s="1" t="n">
        <v>44118</v>
      </c>
      <c r="C908" s="1" t="n">
        <v>45156</v>
      </c>
      <c r="D908" t="inlineStr">
        <is>
          <t>STRÖMSUND</t>
        </is>
      </c>
      <c r="E908" t="inlineStr">
        <is>
          <t>SCA</t>
        </is>
      </c>
      <c r="F908" t="n">
        <v>1.7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</row>
    <row r="909">
      <c r="A909" t="inlineStr">
        <is>
          <t>A 53035-2020</t>
        </is>
      </c>
      <c r="B909" s="1" t="n">
        <v>44120</v>
      </c>
      <c r="C909" s="1" t="n">
        <v>45156</v>
      </c>
      <c r="D909" t="inlineStr">
        <is>
          <t>STRÖMSUND</t>
        </is>
      </c>
      <c r="E909" t="inlineStr">
        <is>
          <t>Holmen skog AB</t>
        </is>
      </c>
      <c r="F909" t="n">
        <v>4.1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</row>
    <row r="910">
      <c r="A910" t="inlineStr">
        <is>
          <t>A 53072-2020</t>
        </is>
      </c>
      <c r="B910" s="1" t="n">
        <v>44120</v>
      </c>
      <c r="C910" s="1" t="n">
        <v>45156</v>
      </c>
      <c r="D910" t="inlineStr">
        <is>
          <t>STRÖMSUND</t>
        </is>
      </c>
      <c r="E910" t="inlineStr">
        <is>
          <t>Holmen skog AB</t>
        </is>
      </c>
      <c r="F910" t="n">
        <v>2.4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</row>
    <row r="911">
      <c r="A911" t="inlineStr">
        <is>
          <t>A 53293-2020</t>
        </is>
      </c>
      <c r="B911" s="1" t="n">
        <v>44123</v>
      </c>
      <c r="C911" s="1" t="n">
        <v>45156</v>
      </c>
      <c r="D911" t="inlineStr">
        <is>
          <t>STRÖMSUND</t>
        </is>
      </c>
      <c r="E911" t="inlineStr">
        <is>
          <t>Holmen skog AB</t>
        </is>
      </c>
      <c r="F911" t="n">
        <v>4.2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</row>
    <row r="912">
      <c r="A912" t="inlineStr">
        <is>
          <t>A 55342-2020</t>
        </is>
      </c>
      <c r="B912" s="1" t="n">
        <v>44130</v>
      </c>
      <c r="C912" s="1" t="n">
        <v>45156</v>
      </c>
      <c r="D912" t="inlineStr">
        <is>
          <t>STRÖMSUND</t>
        </is>
      </c>
      <c r="F912" t="n">
        <v>2.9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</row>
    <row r="913">
      <c r="A913" t="inlineStr">
        <is>
          <t>A 55708-2020</t>
        </is>
      </c>
      <c r="B913" s="1" t="n">
        <v>44131</v>
      </c>
      <c r="C913" s="1" t="n">
        <v>45156</v>
      </c>
      <c r="D913" t="inlineStr">
        <is>
          <t>STRÖMSUND</t>
        </is>
      </c>
      <c r="F913" t="n">
        <v>1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</row>
    <row r="914">
      <c r="A914" t="inlineStr">
        <is>
          <t>A 55937-2020</t>
        </is>
      </c>
      <c r="B914" s="1" t="n">
        <v>44133</v>
      </c>
      <c r="C914" s="1" t="n">
        <v>45156</v>
      </c>
      <c r="D914" t="inlineStr">
        <is>
          <t>STRÖMSUND</t>
        </is>
      </c>
      <c r="E914" t="inlineStr">
        <is>
          <t>Holmen skog AB</t>
        </is>
      </c>
      <c r="F914" t="n">
        <v>25.9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</row>
    <row r="915">
      <c r="A915" t="inlineStr">
        <is>
          <t>A 56251-2020</t>
        </is>
      </c>
      <c r="B915" s="1" t="n">
        <v>44134</v>
      </c>
      <c r="C915" s="1" t="n">
        <v>45156</v>
      </c>
      <c r="D915" t="inlineStr">
        <is>
          <t>STRÖMSUND</t>
        </is>
      </c>
      <c r="E915" t="inlineStr">
        <is>
          <t>Holmen skog AB</t>
        </is>
      </c>
      <c r="F915" t="n">
        <v>7.3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</row>
    <row r="916">
      <c r="A916" t="inlineStr">
        <is>
          <t>A 56290-2020</t>
        </is>
      </c>
      <c r="B916" s="1" t="n">
        <v>44134</v>
      </c>
      <c r="C916" s="1" t="n">
        <v>45156</v>
      </c>
      <c r="D916" t="inlineStr">
        <is>
          <t>STRÖMSUND</t>
        </is>
      </c>
      <c r="E916" t="inlineStr">
        <is>
          <t>Holmen skog AB</t>
        </is>
      </c>
      <c r="F916" t="n">
        <v>8.800000000000001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</row>
    <row r="917">
      <c r="A917" t="inlineStr">
        <is>
          <t>A 56966-2020</t>
        </is>
      </c>
      <c r="B917" s="1" t="n">
        <v>44137</v>
      </c>
      <c r="C917" s="1" t="n">
        <v>45156</v>
      </c>
      <c r="D917" t="inlineStr">
        <is>
          <t>STRÖMSUND</t>
        </is>
      </c>
      <c r="F917" t="n">
        <v>2.6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</row>
    <row r="918">
      <c r="A918" t="inlineStr">
        <is>
          <t>A 56493-2020</t>
        </is>
      </c>
      <c r="B918" s="1" t="n">
        <v>44137</v>
      </c>
      <c r="C918" s="1" t="n">
        <v>45156</v>
      </c>
      <c r="D918" t="inlineStr">
        <is>
          <t>STRÖMSUND</t>
        </is>
      </c>
      <c r="E918" t="inlineStr">
        <is>
          <t>Holmen skog AB</t>
        </is>
      </c>
      <c r="F918" t="n">
        <v>1.9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</row>
    <row r="919">
      <c r="A919" t="inlineStr">
        <is>
          <t>A 57336-2020</t>
        </is>
      </c>
      <c r="B919" s="1" t="n">
        <v>44139</v>
      </c>
      <c r="C919" s="1" t="n">
        <v>45156</v>
      </c>
      <c r="D919" t="inlineStr">
        <is>
          <t>STRÖMSUND</t>
        </is>
      </c>
      <c r="F919" t="n">
        <v>2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</row>
    <row r="920">
      <c r="A920" t="inlineStr">
        <is>
          <t>A 57550-2020</t>
        </is>
      </c>
      <c r="B920" s="1" t="n">
        <v>44140</v>
      </c>
      <c r="C920" s="1" t="n">
        <v>45156</v>
      </c>
      <c r="D920" t="inlineStr">
        <is>
          <t>STRÖMSUND</t>
        </is>
      </c>
      <c r="E920" t="inlineStr">
        <is>
          <t>Holmen skog AB</t>
        </is>
      </c>
      <c r="F920" t="n">
        <v>7.1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</row>
    <row r="921">
      <c r="A921" t="inlineStr">
        <is>
          <t>A 57423-2020</t>
        </is>
      </c>
      <c r="B921" s="1" t="n">
        <v>44140</v>
      </c>
      <c r="C921" s="1" t="n">
        <v>45156</v>
      </c>
      <c r="D921" t="inlineStr">
        <is>
          <t>STRÖMSUND</t>
        </is>
      </c>
      <c r="E921" t="inlineStr">
        <is>
          <t>Holmen skog AB</t>
        </is>
      </c>
      <c r="F921" t="n">
        <v>2.6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</row>
    <row r="922">
      <c r="A922" t="inlineStr">
        <is>
          <t>A 57511-2020</t>
        </is>
      </c>
      <c r="B922" s="1" t="n">
        <v>44140</v>
      </c>
      <c r="C922" s="1" t="n">
        <v>45156</v>
      </c>
      <c r="D922" t="inlineStr">
        <is>
          <t>STRÖMSUND</t>
        </is>
      </c>
      <c r="E922" t="inlineStr">
        <is>
          <t>Holmen skog AB</t>
        </is>
      </c>
      <c r="F922" t="n">
        <v>6.7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</row>
    <row r="923">
      <c r="A923" t="inlineStr">
        <is>
          <t>A 57808-2020</t>
        </is>
      </c>
      <c r="B923" s="1" t="n">
        <v>44141</v>
      </c>
      <c r="C923" s="1" t="n">
        <v>45156</v>
      </c>
      <c r="D923" t="inlineStr">
        <is>
          <t>STRÖMSUND</t>
        </is>
      </c>
      <c r="F923" t="n">
        <v>6.8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</row>
    <row r="924">
      <c r="A924" t="inlineStr">
        <is>
          <t>A 57740-2020</t>
        </is>
      </c>
      <c r="B924" s="1" t="n">
        <v>44141</v>
      </c>
      <c r="C924" s="1" t="n">
        <v>45156</v>
      </c>
      <c r="D924" t="inlineStr">
        <is>
          <t>STRÖMSUND</t>
        </is>
      </c>
      <c r="F924" t="n">
        <v>3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</row>
    <row r="925">
      <c r="A925" t="inlineStr">
        <is>
          <t>A 58219-2020</t>
        </is>
      </c>
      <c r="B925" s="1" t="n">
        <v>44144</v>
      </c>
      <c r="C925" s="1" t="n">
        <v>45156</v>
      </c>
      <c r="D925" t="inlineStr">
        <is>
          <t>STRÖMSUND</t>
        </is>
      </c>
      <c r="E925" t="inlineStr">
        <is>
          <t>Holmen skog AB</t>
        </is>
      </c>
      <c r="F925" t="n">
        <v>4.9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</row>
    <row r="926">
      <c r="A926" t="inlineStr">
        <is>
          <t>A 59012-2020</t>
        </is>
      </c>
      <c r="B926" s="1" t="n">
        <v>44146</v>
      </c>
      <c r="C926" s="1" t="n">
        <v>45156</v>
      </c>
      <c r="D926" t="inlineStr">
        <is>
          <t>STRÖMSUND</t>
        </is>
      </c>
      <c r="E926" t="inlineStr">
        <is>
          <t>SCA</t>
        </is>
      </c>
      <c r="F926" t="n">
        <v>15.5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</row>
    <row r="927">
      <c r="A927" t="inlineStr">
        <is>
          <t>A 60256-2020</t>
        </is>
      </c>
      <c r="B927" s="1" t="n">
        <v>44151</v>
      </c>
      <c r="C927" s="1" t="n">
        <v>45156</v>
      </c>
      <c r="D927" t="inlineStr">
        <is>
          <t>STRÖMSUND</t>
        </is>
      </c>
      <c r="F927" t="n">
        <v>0.3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</row>
    <row r="928">
      <c r="A928" t="inlineStr">
        <is>
          <t>A 60061-2020</t>
        </is>
      </c>
      <c r="B928" s="1" t="n">
        <v>44151</v>
      </c>
      <c r="C928" s="1" t="n">
        <v>45156</v>
      </c>
      <c r="D928" t="inlineStr">
        <is>
          <t>STRÖMSUND</t>
        </is>
      </c>
      <c r="E928" t="inlineStr">
        <is>
          <t>SCA</t>
        </is>
      </c>
      <c r="F928" t="n">
        <v>2.1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</row>
    <row r="929">
      <c r="A929" t="inlineStr">
        <is>
          <t>A 60395-2020</t>
        </is>
      </c>
      <c r="B929" s="1" t="n">
        <v>44152</v>
      </c>
      <c r="C929" s="1" t="n">
        <v>45156</v>
      </c>
      <c r="D929" t="inlineStr">
        <is>
          <t>STRÖMSUND</t>
        </is>
      </c>
      <c r="E929" t="inlineStr">
        <is>
          <t>SCA</t>
        </is>
      </c>
      <c r="F929" t="n">
        <v>3.3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</row>
    <row r="930">
      <c r="A930" t="inlineStr">
        <is>
          <t>A 60621-2020</t>
        </is>
      </c>
      <c r="B930" s="1" t="n">
        <v>44153</v>
      </c>
      <c r="C930" s="1" t="n">
        <v>45156</v>
      </c>
      <c r="D930" t="inlineStr">
        <is>
          <t>STRÖMSUND</t>
        </is>
      </c>
      <c r="E930" t="inlineStr">
        <is>
          <t>Holmen skog AB</t>
        </is>
      </c>
      <c r="F930" t="n">
        <v>1.9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</row>
    <row r="931">
      <c r="A931" t="inlineStr">
        <is>
          <t>A 60703-2020</t>
        </is>
      </c>
      <c r="B931" s="1" t="n">
        <v>44153</v>
      </c>
      <c r="C931" s="1" t="n">
        <v>45156</v>
      </c>
      <c r="D931" t="inlineStr">
        <is>
          <t>STRÖMSUND</t>
        </is>
      </c>
      <c r="F931" t="n">
        <v>1.1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</row>
    <row r="932">
      <c r="A932" t="inlineStr">
        <is>
          <t>A 61149-2020</t>
        </is>
      </c>
      <c r="B932" s="1" t="n">
        <v>44154</v>
      </c>
      <c r="C932" s="1" t="n">
        <v>45156</v>
      </c>
      <c r="D932" t="inlineStr">
        <is>
          <t>STRÖMSUND</t>
        </is>
      </c>
      <c r="F932" t="n">
        <v>0.5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</row>
    <row r="933">
      <c r="A933" t="inlineStr">
        <is>
          <t>A 61662-2020</t>
        </is>
      </c>
      <c r="B933" s="1" t="n">
        <v>44158</v>
      </c>
      <c r="C933" s="1" t="n">
        <v>45156</v>
      </c>
      <c r="D933" t="inlineStr">
        <is>
          <t>STRÖMSUND</t>
        </is>
      </c>
      <c r="E933" t="inlineStr">
        <is>
          <t>Holmen skog AB</t>
        </is>
      </c>
      <c r="F933" t="n">
        <v>2.3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</row>
    <row r="934">
      <c r="A934" t="inlineStr">
        <is>
          <t>A 61807-2020</t>
        </is>
      </c>
      <c r="B934" s="1" t="n">
        <v>44158</v>
      </c>
      <c r="C934" s="1" t="n">
        <v>45156</v>
      </c>
      <c r="D934" t="inlineStr">
        <is>
          <t>STRÖMSUND</t>
        </is>
      </c>
      <c r="E934" t="inlineStr">
        <is>
          <t>SCA</t>
        </is>
      </c>
      <c r="F934" t="n">
        <v>3.5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</row>
    <row r="935">
      <c r="A935" t="inlineStr">
        <is>
          <t>A 61586-2020</t>
        </is>
      </c>
      <c r="B935" s="1" t="n">
        <v>44158</v>
      </c>
      <c r="C935" s="1" t="n">
        <v>45156</v>
      </c>
      <c r="D935" t="inlineStr">
        <is>
          <t>STRÖMSUND</t>
        </is>
      </c>
      <c r="E935" t="inlineStr">
        <is>
          <t>Holmen skog AB</t>
        </is>
      </c>
      <c r="F935" t="n">
        <v>1.8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</row>
    <row r="936">
      <c r="A936" t="inlineStr">
        <is>
          <t>A 61811-2020</t>
        </is>
      </c>
      <c r="B936" s="1" t="n">
        <v>44158</v>
      </c>
      <c r="C936" s="1" t="n">
        <v>45156</v>
      </c>
      <c r="D936" t="inlineStr">
        <is>
          <t>STRÖMSUND</t>
        </is>
      </c>
      <c r="F936" t="n">
        <v>1.9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</row>
    <row r="937">
      <c r="A937" t="inlineStr">
        <is>
          <t>A 62503-2020</t>
        </is>
      </c>
      <c r="B937" s="1" t="n">
        <v>44160</v>
      </c>
      <c r="C937" s="1" t="n">
        <v>45156</v>
      </c>
      <c r="D937" t="inlineStr">
        <is>
          <t>STRÖMSUND</t>
        </is>
      </c>
      <c r="F937" t="n">
        <v>7.9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</row>
    <row r="938">
      <c r="A938" t="inlineStr">
        <is>
          <t>A 63699-2020</t>
        </is>
      </c>
      <c r="B938" s="1" t="n">
        <v>44161</v>
      </c>
      <c r="C938" s="1" t="n">
        <v>45156</v>
      </c>
      <c r="D938" t="inlineStr">
        <is>
          <t>STRÖMSUND</t>
        </is>
      </c>
      <c r="F938" t="n">
        <v>1.1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</row>
    <row r="939">
      <c r="A939" t="inlineStr">
        <is>
          <t>A 63692-2020</t>
        </is>
      </c>
      <c r="B939" s="1" t="n">
        <v>44161</v>
      </c>
      <c r="C939" s="1" t="n">
        <v>45156</v>
      </c>
      <c r="D939" t="inlineStr">
        <is>
          <t>STRÖMSUND</t>
        </is>
      </c>
      <c r="F939" t="n">
        <v>1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</row>
    <row r="940">
      <c r="A940" t="inlineStr">
        <is>
          <t>A 63678-2020</t>
        </is>
      </c>
      <c r="B940" s="1" t="n">
        <v>44162</v>
      </c>
      <c r="C940" s="1" t="n">
        <v>45156</v>
      </c>
      <c r="D940" t="inlineStr">
        <is>
          <t>STRÖMSUND</t>
        </is>
      </c>
      <c r="F940" t="n">
        <v>1.7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</row>
    <row r="941">
      <c r="A941" t="inlineStr">
        <is>
          <t>A 64124-2020</t>
        </is>
      </c>
      <c r="B941" s="1" t="n">
        <v>44165</v>
      </c>
      <c r="C941" s="1" t="n">
        <v>45156</v>
      </c>
      <c r="D941" t="inlineStr">
        <is>
          <t>STRÖMSUND</t>
        </is>
      </c>
      <c r="F941" t="n">
        <v>1.6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</row>
    <row r="942">
      <c r="A942" t="inlineStr">
        <is>
          <t>A 65110-2020</t>
        </is>
      </c>
      <c r="B942" s="1" t="n">
        <v>44165</v>
      </c>
      <c r="C942" s="1" t="n">
        <v>45156</v>
      </c>
      <c r="D942" t="inlineStr">
        <is>
          <t>STRÖMSUND</t>
        </is>
      </c>
      <c r="F942" t="n">
        <v>6.8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</row>
    <row r="943">
      <c r="A943" t="inlineStr">
        <is>
          <t>A 65115-2020</t>
        </is>
      </c>
      <c r="B943" s="1" t="n">
        <v>44165</v>
      </c>
      <c r="C943" s="1" t="n">
        <v>45156</v>
      </c>
      <c r="D943" t="inlineStr">
        <is>
          <t>STRÖMSUND</t>
        </is>
      </c>
      <c r="F943" t="n">
        <v>3.6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</row>
    <row r="944">
      <c r="A944" t="inlineStr">
        <is>
          <t>A 65076-2020</t>
        </is>
      </c>
      <c r="B944" s="1" t="n">
        <v>44165</v>
      </c>
      <c r="C944" s="1" t="n">
        <v>45156</v>
      </c>
      <c r="D944" t="inlineStr">
        <is>
          <t>STRÖMSUND</t>
        </is>
      </c>
      <c r="F944" t="n">
        <v>20.3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</row>
    <row r="945">
      <c r="A945" t="inlineStr">
        <is>
          <t>A 63567-2020</t>
        </is>
      </c>
      <c r="B945" s="1" t="n">
        <v>44165</v>
      </c>
      <c r="C945" s="1" t="n">
        <v>45156</v>
      </c>
      <c r="D945" t="inlineStr">
        <is>
          <t>STRÖMSUND</t>
        </is>
      </c>
      <c r="F945" t="n">
        <v>14.4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</row>
    <row r="946">
      <c r="A946" t="inlineStr">
        <is>
          <t>A 65078-2020</t>
        </is>
      </c>
      <c r="B946" s="1" t="n">
        <v>44165</v>
      </c>
      <c r="C946" s="1" t="n">
        <v>45156</v>
      </c>
      <c r="D946" t="inlineStr">
        <is>
          <t>STRÖMSUND</t>
        </is>
      </c>
      <c r="F946" t="n">
        <v>3.4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</row>
    <row r="947">
      <c r="A947" t="inlineStr">
        <is>
          <t>A 63755-2020</t>
        </is>
      </c>
      <c r="B947" s="1" t="n">
        <v>44166</v>
      </c>
      <c r="C947" s="1" t="n">
        <v>45156</v>
      </c>
      <c r="D947" t="inlineStr">
        <is>
          <t>STRÖMSUND</t>
        </is>
      </c>
      <c r="F947" t="n">
        <v>0.7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</row>
    <row r="948">
      <c r="A948" t="inlineStr">
        <is>
          <t>A 64186-2020</t>
        </is>
      </c>
      <c r="B948" s="1" t="n">
        <v>44167</v>
      </c>
      <c r="C948" s="1" t="n">
        <v>45156</v>
      </c>
      <c r="D948" t="inlineStr">
        <is>
          <t>STRÖMSUND</t>
        </is>
      </c>
      <c r="E948" t="inlineStr">
        <is>
          <t>SCA</t>
        </is>
      </c>
      <c r="F948" t="n">
        <v>2.1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</row>
    <row r="949">
      <c r="A949" t="inlineStr">
        <is>
          <t>A 64608-2020</t>
        </is>
      </c>
      <c r="B949" s="1" t="n">
        <v>44169</v>
      </c>
      <c r="C949" s="1" t="n">
        <v>45156</v>
      </c>
      <c r="D949" t="inlineStr">
        <is>
          <t>STRÖMSUND</t>
        </is>
      </c>
      <c r="E949" t="inlineStr">
        <is>
          <t>Holmen skog AB</t>
        </is>
      </c>
      <c r="F949" t="n">
        <v>17.7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</row>
    <row r="950">
      <c r="A950" t="inlineStr">
        <is>
          <t>A 64828-2020</t>
        </is>
      </c>
      <c r="B950" s="1" t="n">
        <v>44169</v>
      </c>
      <c r="C950" s="1" t="n">
        <v>45156</v>
      </c>
      <c r="D950" t="inlineStr">
        <is>
          <t>STRÖMSUND</t>
        </is>
      </c>
      <c r="E950" t="inlineStr">
        <is>
          <t>SCA</t>
        </is>
      </c>
      <c r="F950" t="n">
        <v>5.3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</row>
    <row r="951">
      <c r="A951" t="inlineStr">
        <is>
          <t>A 64825-2020</t>
        </is>
      </c>
      <c r="B951" s="1" t="n">
        <v>44169</v>
      </c>
      <c r="C951" s="1" t="n">
        <v>45156</v>
      </c>
      <c r="D951" t="inlineStr">
        <is>
          <t>STRÖMSUND</t>
        </is>
      </c>
      <c r="E951" t="inlineStr">
        <is>
          <t>SCA</t>
        </is>
      </c>
      <c r="F951" t="n">
        <v>8.1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</row>
    <row r="952">
      <c r="A952" t="inlineStr">
        <is>
          <t>A 65530-2020</t>
        </is>
      </c>
      <c r="B952" s="1" t="n">
        <v>44173</v>
      </c>
      <c r="C952" s="1" t="n">
        <v>45156</v>
      </c>
      <c r="D952" t="inlineStr">
        <is>
          <t>STRÖMSUND</t>
        </is>
      </c>
      <c r="E952" t="inlineStr">
        <is>
          <t>Sveaskog</t>
        </is>
      </c>
      <c r="F952" t="n">
        <v>1.5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</row>
    <row r="953">
      <c r="A953" t="inlineStr">
        <is>
          <t>A 65618-2020</t>
        </is>
      </c>
      <c r="B953" s="1" t="n">
        <v>44173</v>
      </c>
      <c r="C953" s="1" t="n">
        <v>45156</v>
      </c>
      <c r="D953" t="inlineStr">
        <is>
          <t>STRÖMSUND</t>
        </is>
      </c>
      <c r="E953" t="inlineStr">
        <is>
          <t>SCA</t>
        </is>
      </c>
      <c r="F953" t="n">
        <v>1.6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</row>
    <row r="954">
      <c r="A954" t="inlineStr">
        <is>
          <t>A 65762-2020</t>
        </is>
      </c>
      <c r="B954" s="1" t="n">
        <v>44174</v>
      </c>
      <c r="C954" s="1" t="n">
        <v>45156</v>
      </c>
      <c r="D954" t="inlineStr">
        <is>
          <t>STRÖMSUND</t>
        </is>
      </c>
      <c r="E954" t="inlineStr">
        <is>
          <t>Holmen skog AB</t>
        </is>
      </c>
      <c r="F954" t="n">
        <v>8.5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</row>
    <row r="955">
      <c r="A955" t="inlineStr">
        <is>
          <t>A 65768-2020</t>
        </is>
      </c>
      <c r="B955" s="1" t="n">
        <v>44174</v>
      </c>
      <c r="C955" s="1" t="n">
        <v>45156</v>
      </c>
      <c r="D955" t="inlineStr">
        <is>
          <t>STRÖMSUND</t>
        </is>
      </c>
      <c r="E955" t="inlineStr">
        <is>
          <t>Holmen skog AB</t>
        </is>
      </c>
      <c r="F955" t="n">
        <v>21.7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</row>
    <row r="956">
      <c r="A956" t="inlineStr">
        <is>
          <t>A 65797-2020</t>
        </is>
      </c>
      <c r="B956" s="1" t="n">
        <v>44174</v>
      </c>
      <c r="C956" s="1" t="n">
        <v>45156</v>
      </c>
      <c r="D956" t="inlineStr">
        <is>
          <t>STRÖMSUND</t>
        </is>
      </c>
      <c r="E956" t="inlineStr">
        <is>
          <t>Holmen skog AB</t>
        </is>
      </c>
      <c r="F956" t="n">
        <v>24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</row>
    <row r="957">
      <c r="A957" t="inlineStr">
        <is>
          <t>A 65997-2020</t>
        </is>
      </c>
      <c r="B957" s="1" t="n">
        <v>44175</v>
      </c>
      <c r="C957" s="1" t="n">
        <v>45156</v>
      </c>
      <c r="D957" t="inlineStr">
        <is>
          <t>STRÖMSUND</t>
        </is>
      </c>
      <c r="E957" t="inlineStr">
        <is>
          <t>Kyrkan</t>
        </is>
      </c>
      <c r="F957" t="n">
        <v>3.7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</row>
    <row r="958">
      <c r="A958" t="inlineStr">
        <is>
          <t>A 66982-2020</t>
        </is>
      </c>
      <c r="B958" s="1" t="n">
        <v>44176</v>
      </c>
      <c r="C958" s="1" t="n">
        <v>45156</v>
      </c>
      <c r="D958" t="inlineStr">
        <is>
          <t>STRÖMSUND</t>
        </is>
      </c>
      <c r="F958" t="n">
        <v>2.4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</row>
    <row r="959">
      <c r="A959" t="inlineStr">
        <is>
          <t>A 66983-2020</t>
        </is>
      </c>
      <c r="B959" s="1" t="n">
        <v>44176</v>
      </c>
      <c r="C959" s="1" t="n">
        <v>45156</v>
      </c>
      <c r="D959" t="inlineStr">
        <is>
          <t>STRÖMSUND</t>
        </is>
      </c>
      <c r="F959" t="n">
        <v>4.8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</row>
    <row r="960">
      <c r="A960" t="inlineStr">
        <is>
          <t>A 66592-2020</t>
        </is>
      </c>
      <c r="B960" s="1" t="n">
        <v>44179</v>
      </c>
      <c r="C960" s="1" t="n">
        <v>45156</v>
      </c>
      <c r="D960" t="inlineStr">
        <is>
          <t>STRÖMSUND</t>
        </is>
      </c>
      <c r="E960" t="inlineStr">
        <is>
          <t>Kyrkan</t>
        </is>
      </c>
      <c r="F960" t="n">
        <v>29.6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</row>
    <row r="961">
      <c r="A961" t="inlineStr">
        <is>
          <t>A 66653-2020</t>
        </is>
      </c>
      <c r="B961" s="1" t="n">
        <v>44179</v>
      </c>
      <c r="C961" s="1" t="n">
        <v>45156</v>
      </c>
      <c r="D961" t="inlineStr">
        <is>
          <t>STRÖMSUND</t>
        </is>
      </c>
      <c r="E961" t="inlineStr">
        <is>
          <t>SCA</t>
        </is>
      </c>
      <c r="F961" t="n">
        <v>27.7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</row>
    <row r="962">
      <c r="A962" t="inlineStr">
        <is>
          <t>A 66702-2020</t>
        </is>
      </c>
      <c r="B962" s="1" t="n">
        <v>44179</v>
      </c>
      <c r="C962" s="1" t="n">
        <v>45156</v>
      </c>
      <c r="D962" t="inlineStr">
        <is>
          <t>STRÖMSUND</t>
        </is>
      </c>
      <c r="E962" t="inlineStr">
        <is>
          <t>SCA</t>
        </is>
      </c>
      <c r="F962" t="n">
        <v>23.5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</row>
    <row r="963">
      <c r="A963" t="inlineStr">
        <is>
          <t>A 66739-2020</t>
        </is>
      </c>
      <c r="B963" s="1" t="n">
        <v>44179</v>
      </c>
      <c r="C963" s="1" t="n">
        <v>45156</v>
      </c>
      <c r="D963" t="inlineStr">
        <is>
          <t>STRÖMSUND</t>
        </is>
      </c>
      <c r="E963" t="inlineStr">
        <is>
          <t>SCA</t>
        </is>
      </c>
      <c r="F963" t="n">
        <v>23.7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</row>
    <row r="964">
      <c r="A964" t="inlineStr">
        <is>
          <t>A 66770-2020</t>
        </is>
      </c>
      <c r="B964" s="1" t="n">
        <v>44179</v>
      </c>
      <c r="C964" s="1" t="n">
        <v>45156</v>
      </c>
      <c r="D964" t="inlineStr">
        <is>
          <t>STRÖMSUND</t>
        </is>
      </c>
      <c r="E964" t="inlineStr">
        <is>
          <t>Holmen skog AB</t>
        </is>
      </c>
      <c r="F964" t="n">
        <v>17.9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</row>
    <row r="965">
      <c r="A965" t="inlineStr">
        <is>
          <t>A 67618-2020</t>
        </is>
      </c>
      <c r="B965" s="1" t="n">
        <v>44181</v>
      </c>
      <c r="C965" s="1" t="n">
        <v>45156</v>
      </c>
      <c r="D965" t="inlineStr">
        <is>
          <t>STRÖMSUND</t>
        </is>
      </c>
      <c r="E965" t="inlineStr">
        <is>
          <t>SCA</t>
        </is>
      </c>
      <c r="F965" t="n">
        <v>8.4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</row>
    <row r="966">
      <c r="A966" t="inlineStr">
        <is>
          <t>A 67621-2020</t>
        </is>
      </c>
      <c r="B966" s="1" t="n">
        <v>44181</v>
      </c>
      <c r="C966" s="1" t="n">
        <v>45156</v>
      </c>
      <c r="D966" t="inlineStr">
        <is>
          <t>STRÖMSUND</t>
        </is>
      </c>
      <c r="E966" t="inlineStr">
        <is>
          <t>SCA</t>
        </is>
      </c>
      <c r="F966" t="n">
        <v>7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</row>
    <row r="967">
      <c r="A967" t="inlineStr">
        <is>
          <t>A 67620-2020</t>
        </is>
      </c>
      <c r="B967" s="1" t="n">
        <v>44181</v>
      </c>
      <c r="C967" s="1" t="n">
        <v>45156</v>
      </c>
      <c r="D967" t="inlineStr">
        <is>
          <t>STRÖMSUND</t>
        </is>
      </c>
      <c r="E967" t="inlineStr">
        <is>
          <t>SCA</t>
        </is>
      </c>
      <c r="F967" t="n">
        <v>2.5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</row>
    <row r="968">
      <c r="A968" t="inlineStr">
        <is>
          <t>A 68006-2020</t>
        </is>
      </c>
      <c r="B968" s="1" t="n">
        <v>44182</v>
      </c>
      <c r="C968" s="1" t="n">
        <v>45156</v>
      </c>
      <c r="D968" t="inlineStr">
        <is>
          <t>STRÖMSUND</t>
        </is>
      </c>
      <c r="F968" t="n">
        <v>1.3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</row>
    <row r="969">
      <c r="A969" t="inlineStr">
        <is>
          <t>A 68653-2020</t>
        </is>
      </c>
      <c r="B969" s="1" t="n">
        <v>44186</v>
      </c>
      <c r="C969" s="1" t="n">
        <v>45156</v>
      </c>
      <c r="D969" t="inlineStr">
        <is>
          <t>STRÖMSUND</t>
        </is>
      </c>
      <c r="F969" t="n">
        <v>0.5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</row>
    <row r="970">
      <c r="A970" t="inlineStr">
        <is>
          <t>A 68522-2020</t>
        </is>
      </c>
      <c r="B970" s="1" t="n">
        <v>44186</v>
      </c>
      <c r="C970" s="1" t="n">
        <v>45156</v>
      </c>
      <c r="D970" t="inlineStr">
        <is>
          <t>STRÖMSUND</t>
        </is>
      </c>
      <c r="F970" t="n">
        <v>1.1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</row>
    <row r="971">
      <c r="A971" t="inlineStr">
        <is>
          <t>A 68783-2020</t>
        </is>
      </c>
      <c r="B971" s="1" t="n">
        <v>44186</v>
      </c>
      <c r="C971" s="1" t="n">
        <v>45156</v>
      </c>
      <c r="D971" t="inlineStr">
        <is>
          <t>STRÖMSUND</t>
        </is>
      </c>
      <c r="F971" t="n">
        <v>0.5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</row>
    <row r="972">
      <c r="A972" t="inlineStr">
        <is>
          <t>A 69282-2020</t>
        </is>
      </c>
      <c r="B972" s="1" t="n">
        <v>44188</v>
      </c>
      <c r="C972" s="1" t="n">
        <v>45156</v>
      </c>
      <c r="D972" t="inlineStr">
        <is>
          <t>STRÖMSUND</t>
        </is>
      </c>
      <c r="F972" t="n">
        <v>13.8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</row>
    <row r="973">
      <c r="A973" t="inlineStr">
        <is>
          <t>A 69346-2020</t>
        </is>
      </c>
      <c r="B973" s="1" t="n">
        <v>44193</v>
      </c>
      <c r="C973" s="1" t="n">
        <v>45156</v>
      </c>
      <c r="D973" t="inlineStr">
        <is>
          <t>STRÖMSUND</t>
        </is>
      </c>
      <c r="F973" t="n">
        <v>1.6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</row>
    <row r="974">
      <c r="A974" t="inlineStr">
        <is>
          <t>A 69506-2020</t>
        </is>
      </c>
      <c r="B974" s="1" t="n">
        <v>44193</v>
      </c>
      <c r="C974" s="1" t="n">
        <v>45156</v>
      </c>
      <c r="D974" t="inlineStr">
        <is>
          <t>STRÖMSUND</t>
        </is>
      </c>
      <c r="E974" t="inlineStr">
        <is>
          <t>Övriga statliga verk och myndigheter</t>
        </is>
      </c>
      <c r="F974" t="n">
        <v>14.1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</row>
    <row r="975">
      <c r="A975" t="inlineStr">
        <is>
          <t>A 69508-2020</t>
        </is>
      </c>
      <c r="B975" s="1" t="n">
        <v>44193</v>
      </c>
      <c r="C975" s="1" t="n">
        <v>45156</v>
      </c>
      <c r="D975" t="inlineStr">
        <is>
          <t>STRÖMSUND</t>
        </is>
      </c>
      <c r="E975" t="inlineStr">
        <is>
          <t>Övriga statliga verk och myndigheter</t>
        </is>
      </c>
      <c r="F975" t="n">
        <v>6.1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</row>
    <row r="976">
      <c r="A976" t="inlineStr">
        <is>
          <t>A 108-2021</t>
        </is>
      </c>
      <c r="B976" s="1" t="n">
        <v>44195</v>
      </c>
      <c r="C976" s="1" t="n">
        <v>45156</v>
      </c>
      <c r="D976" t="inlineStr">
        <is>
          <t>STRÖMSUND</t>
        </is>
      </c>
      <c r="F976" t="n">
        <v>3.3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</row>
    <row r="977">
      <c r="A977" t="inlineStr">
        <is>
          <t>A 142-2021</t>
        </is>
      </c>
      <c r="B977" s="1" t="n">
        <v>44196</v>
      </c>
      <c r="C977" s="1" t="n">
        <v>45156</v>
      </c>
      <c r="D977" t="inlineStr">
        <is>
          <t>STRÖMSUND</t>
        </is>
      </c>
      <c r="F977" t="n">
        <v>6.1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</row>
    <row r="978">
      <c r="A978" t="inlineStr">
        <is>
          <t>A 138-2021</t>
        </is>
      </c>
      <c r="B978" s="1" t="n">
        <v>44196</v>
      </c>
      <c r="C978" s="1" t="n">
        <v>45156</v>
      </c>
      <c r="D978" t="inlineStr">
        <is>
          <t>STRÖMSUND</t>
        </is>
      </c>
      <c r="F978" t="n">
        <v>3.3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</row>
    <row r="979">
      <c r="A979" t="inlineStr">
        <is>
          <t>A 135-2021</t>
        </is>
      </c>
      <c r="B979" s="1" t="n">
        <v>44196</v>
      </c>
      <c r="C979" s="1" t="n">
        <v>45156</v>
      </c>
      <c r="D979" t="inlineStr">
        <is>
          <t>STRÖMSUND</t>
        </is>
      </c>
      <c r="F979" t="n">
        <v>2.5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</row>
    <row r="980">
      <c r="A980" t="inlineStr">
        <is>
          <t>A 575-2021</t>
        </is>
      </c>
      <c r="B980" s="1" t="n">
        <v>44201</v>
      </c>
      <c r="C980" s="1" t="n">
        <v>45156</v>
      </c>
      <c r="D980" t="inlineStr">
        <is>
          <t>STRÖMSUND</t>
        </is>
      </c>
      <c r="F980" t="n">
        <v>32.5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</row>
    <row r="981">
      <c r="A981" t="inlineStr">
        <is>
          <t>A 363-2021</t>
        </is>
      </c>
      <c r="B981" s="1" t="n">
        <v>44201</v>
      </c>
      <c r="C981" s="1" t="n">
        <v>45156</v>
      </c>
      <c r="D981" t="inlineStr">
        <is>
          <t>STRÖMSUND</t>
        </is>
      </c>
      <c r="E981" t="inlineStr">
        <is>
          <t>SCA</t>
        </is>
      </c>
      <c r="F981" t="n">
        <v>52.4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</row>
    <row r="982">
      <c r="A982" t="inlineStr">
        <is>
          <t>A 326-2021</t>
        </is>
      </c>
      <c r="B982" s="1" t="n">
        <v>44201</v>
      </c>
      <c r="C982" s="1" t="n">
        <v>45156</v>
      </c>
      <c r="D982" t="inlineStr">
        <is>
          <t>STRÖMSUND</t>
        </is>
      </c>
      <c r="E982" t="inlineStr">
        <is>
          <t>SCA</t>
        </is>
      </c>
      <c r="F982" t="n">
        <v>88.09999999999999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</row>
    <row r="983">
      <c r="A983" t="inlineStr">
        <is>
          <t>A 582-2021</t>
        </is>
      </c>
      <c r="B983" s="1" t="n">
        <v>44203</v>
      </c>
      <c r="C983" s="1" t="n">
        <v>45156</v>
      </c>
      <c r="D983" t="inlineStr">
        <is>
          <t>STRÖMSUND</t>
        </is>
      </c>
      <c r="E983" t="inlineStr">
        <is>
          <t>SCA</t>
        </is>
      </c>
      <c r="F983" t="n">
        <v>54.9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</row>
    <row r="984">
      <c r="A984" t="inlineStr">
        <is>
          <t>A 742-2021</t>
        </is>
      </c>
      <c r="B984" s="1" t="n">
        <v>44204</v>
      </c>
      <c r="C984" s="1" t="n">
        <v>45156</v>
      </c>
      <c r="D984" t="inlineStr">
        <is>
          <t>STRÖMSUND</t>
        </is>
      </c>
      <c r="E984" t="inlineStr">
        <is>
          <t>SCA</t>
        </is>
      </c>
      <c r="F984" t="n">
        <v>22.8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</row>
    <row r="985">
      <c r="A985" t="inlineStr">
        <is>
          <t>A 1305-2021</t>
        </is>
      </c>
      <c r="B985" s="1" t="n">
        <v>44207</v>
      </c>
      <c r="C985" s="1" t="n">
        <v>45156</v>
      </c>
      <c r="D985" t="inlineStr">
        <is>
          <t>STRÖMSUND</t>
        </is>
      </c>
      <c r="F985" t="n">
        <v>0.8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</row>
    <row r="986">
      <c r="A986" t="inlineStr">
        <is>
          <t>A 1414-2021</t>
        </is>
      </c>
      <c r="B986" s="1" t="n">
        <v>44208</v>
      </c>
      <c r="C986" s="1" t="n">
        <v>45156</v>
      </c>
      <c r="D986" t="inlineStr">
        <is>
          <t>STRÖMSUND</t>
        </is>
      </c>
      <c r="F986" t="n">
        <v>15.7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</row>
    <row r="987">
      <c r="A987" t="inlineStr">
        <is>
          <t>A 2432-2021</t>
        </is>
      </c>
      <c r="B987" s="1" t="n">
        <v>44211</v>
      </c>
      <c r="C987" s="1" t="n">
        <v>45156</v>
      </c>
      <c r="D987" t="inlineStr">
        <is>
          <t>STRÖMSUND</t>
        </is>
      </c>
      <c r="F987" t="n">
        <v>1.5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</row>
    <row r="988">
      <c r="A988" t="inlineStr">
        <is>
          <t>A 2159-2021</t>
        </is>
      </c>
      <c r="B988" s="1" t="n">
        <v>44211</v>
      </c>
      <c r="C988" s="1" t="n">
        <v>45156</v>
      </c>
      <c r="D988" t="inlineStr">
        <is>
          <t>STRÖMSUND</t>
        </is>
      </c>
      <c r="F988" t="n">
        <v>0.6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</row>
    <row r="989">
      <c r="A989" t="inlineStr">
        <is>
          <t>A 2549-2021</t>
        </is>
      </c>
      <c r="B989" s="1" t="n">
        <v>44214</v>
      </c>
      <c r="C989" s="1" t="n">
        <v>45156</v>
      </c>
      <c r="D989" t="inlineStr">
        <is>
          <t>STRÖMSUND</t>
        </is>
      </c>
      <c r="F989" t="n">
        <v>9.199999999999999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</row>
    <row r="990">
      <c r="A990" t="inlineStr">
        <is>
          <t>A 2826-2021</t>
        </is>
      </c>
      <c r="B990" s="1" t="n">
        <v>44215</v>
      </c>
      <c r="C990" s="1" t="n">
        <v>45156</v>
      </c>
      <c r="D990" t="inlineStr">
        <is>
          <t>STRÖMSUND</t>
        </is>
      </c>
      <c r="E990" t="inlineStr">
        <is>
          <t>SCA</t>
        </is>
      </c>
      <c r="F990" t="n">
        <v>8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</row>
    <row r="991">
      <c r="A991" t="inlineStr">
        <is>
          <t>A 2660-2021</t>
        </is>
      </c>
      <c r="B991" s="1" t="n">
        <v>44215</v>
      </c>
      <c r="C991" s="1" t="n">
        <v>45156</v>
      </c>
      <c r="D991" t="inlineStr">
        <is>
          <t>STRÖMSUND</t>
        </is>
      </c>
      <c r="F991" t="n">
        <v>11.2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</row>
    <row r="992">
      <c r="A992" t="inlineStr">
        <is>
          <t>A 3186-2021</t>
        </is>
      </c>
      <c r="B992" s="1" t="n">
        <v>44217</v>
      </c>
      <c r="C992" s="1" t="n">
        <v>45156</v>
      </c>
      <c r="D992" t="inlineStr">
        <is>
          <t>STRÖMSUND</t>
        </is>
      </c>
      <c r="F992" t="n">
        <v>13.7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</row>
    <row r="993">
      <c r="A993" t="inlineStr">
        <is>
          <t>A 4004-2021</t>
        </is>
      </c>
      <c r="B993" s="1" t="n">
        <v>44222</v>
      </c>
      <c r="C993" s="1" t="n">
        <v>45156</v>
      </c>
      <c r="D993" t="inlineStr">
        <is>
          <t>STRÖMSUND</t>
        </is>
      </c>
      <c r="E993" t="inlineStr">
        <is>
          <t>Kyrkan</t>
        </is>
      </c>
      <c r="F993" t="n">
        <v>5.9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</row>
    <row r="994">
      <c r="A994" t="inlineStr">
        <is>
          <t>A 4135-2021</t>
        </is>
      </c>
      <c r="B994" s="1" t="n">
        <v>44223</v>
      </c>
      <c r="C994" s="1" t="n">
        <v>45156</v>
      </c>
      <c r="D994" t="inlineStr">
        <is>
          <t>STRÖMSUND</t>
        </is>
      </c>
      <c r="E994" t="inlineStr">
        <is>
          <t>Holmen skog AB</t>
        </is>
      </c>
      <c r="F994" t="n">
        <v>1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</row>
    <row r="995">
      <c r="A995" t="inlineStr">
        <is>
          <t>A 4662-2021</t>
        </is>
      </c>
      <c r="B995" s="1" t="n">
        <v>44224</v>
      </c>
      <c r="C995" s="1" t="n">
        <v>45156</v>
      </c>
      <c r="D995" t="inlineStr">
        <is>
          <t>STRÖMSUND</t>
        </is>
      </c>
      <c r="E995" t="inlineStr">
        <is>
          <t>SCA</t>
        </is>
      </c>
      <c r="F995" t="n">
        <v>4.7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</row>
    <row r="996">
      <c r="A996" t="inlineStr">
        <is>
          <t>A 4661-2021</t>
        </is>
      </c>
      <c r="B996" s="1" t="n">
        <v>44224</v>
      </c>
      <c r="C996" s="1" t="n">
        <v>45156</v>
      </c>
      <c r="D996" t="inlineStr">
        <is>
          <t>STRÖMSUND</t>
        </is>
      </c>
      <c r="E996" t="inlineStr">
        <is>
          <t>SCA</t>
        </is>
      </c>
      <c r="F996" t="n">
        <v>6.4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</row>
    <row r="997">
      <c r="A997" t="inlineStr">
        <is>
          <t>A 5034-2021</t>
        </is>
      </c>
      <c r="B997" s="1" t="n">
        <v>44228</v>
      </c>
      <c r="C997" s="1" t="n">
        <v>45156</v>
      </c>
      <c r="D997" t="inlineStr">
        <is>
          <t>STRÖMSUND</t>
        </is>
      </c>
      <c r="E997" t="inlineStr">
        <is>
          <t>Kommuner</t>
        </is>
      </c>
      <c r="F997" t="n">
        <v>1.2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</row>
    <row r="998">
      <c r="A998" t="inlineStr">
        <is>
          <t>A 5384-2021</t>
        </is>
      </c>
      <c r="B998" s="1" t="n">
        <v>44228</v>
      </c>
      <c r="C998" s="1" t="n">
        <v>45156</v>
      </c>
      <c r="D998" t="inlineStr">
        <is>
          <t>STRÖMSUND</t>
        </is>
      </c>
      <c r="F998" t="n">
        <v>18.3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</row>
    <row r="999">
      <c r="A999" t="inlineStr">
        <is>
          <t>A 5470-2021</t>
        </is>
      </c>
      <c r="B999" s="1" t="n">
        <v>44229</v>
      </c>
      <c r="C999" s="1" t="n">
        <v>45156</v>
      </c>
      <c r="D999" t="inlineStr">
        <is>
          <t>STRÖMSUND</t>
        </is>
      </c>
      <c r="E999" t="inlineStr">
        <is>
          <t>SCA</t>
        </is>
      </c>
      <c r="F999" t="n">
        <v>5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</row>
    <row r="1000">
      <c r="A1000" t="inlineStr">
        <is>
          <t>A 5464-2021</t>
        </is>
      </c>
      <c r="B1000" s="1" t="n">
        <v>44229</v>
      </c>
      <c r="C1000" s="1" t="n">
        <v>45156</v>
      </c>
      <c r="D1000" t="inlineStr">
        <is>
          <t>STRÖMSUND</t>
        </is>
      </c>
      <c r="E1000" t="inlineStr">
        <is>
          <t>SCA</t>
        </is>
      </c>
      <c r="F1000" t="n">
        <v>1.5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</row>
    <row r="1001">
      <c r="A1001" t="inlineStr">
        <is>
          <t>A 5795-2021</t>
        </is>
      </c>
      <c r="B1001" s="1" t="n">
        <v>44230</v>
      </c>
      <c r="C1001" s="1" t="n">
        <v>45156</v>
      </c>
      <c r="D1001" t="inlineStr">
        <is>
          <t>STRÖMSUND</t>
        </is>
      </c>
      <c r="E1001" t="inlineStr">
        <is>
          <t>SCA</t>
        </is>
      </c>
      <c r="F1001" t="n">
        <v>1.2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</row>
    <row r="1002">
      <c r="A1002" t="inlineStr">
        <is>
          <t>A 5794-2021</t>
        </is>
      </c>
      <c r="B1002" s="1" t="n">
        <v>44230</v>
      </c>
      <c r="C1002" s="1" t="n">
        <v>45156</v>
      </c>
      <c r="D1002" t="inlineStr">
        <is>
          <t>STRÖMSUND</t>
        </is>
      </c>
      <c r="E1002" t="inlineStr">
        <is>
          <t>SCA</t>
        </is>
      </c>
      <c r="F1002" t="n">
        <v>4.7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</row>
    <row r="1003">
      <c r="A1003" t="inlineStr">
        <is>
          <t>A 6394-2021</t>
        </is>
      </c>
      <c r="B1003" s="1" t="n">
        <v>44232</v>
      </c>
      <c r="C1003" s="1" t="n">
        <v>45156</v>
      </c>
      <c r="D1003" t="inlineStr">
        <is>
          <t>STRÖMSUND</t>
        </is>
      </c>
      <c r="E1003" t="inlineStr">
        <is>
          <t>Kommuner</t>
        </is>
      </c>
      <c r="F1003" t="n">
        <v>0.7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</row>
    <row r="1004">
      <c r="A1004" t="inlineStr">
        <is>
          <t>A 6371-2021</t>
        </is>
      </c>
      <c r="B1004" s="1" t="n">
        <v>44232</v>
      </c>
      <c r="C1004" s="1" t="n">
        <v>45156</v>
      </c>
      <c r="D1004" t="inlineStr">
        <is>
          <t>STRÖMSUND</t>
        </is>
      </c>
      <c r="E1004" t="inlineStr">
        <is>
          <t>Kommuner</t>
        </is>
      </c>
      <c r="F1004" t="n">
        <v>1.3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</row>
    <row r="1005">
      <c r="A1005" t="inlineStr">
        <is>
          <t>A 6386-2021</t>
        </is>
      </c>
      <c r="B1005" s="1" t="n">
        <v>44232</v>
      </c>
      <c r="C1005" s="1" t="n">
        <v>45156</v>
      </c>
      <c r="D1005" t="inlineStr">
        <is>
          <t>STRÖMSUND</t>
        </is>
      </c>
      <c r="E1005" t="inlineStr">
        <is>
          <t>Kommuner</t>
        </is>
      </c>
      <c r="F1005" t="n">
        <v>1.3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</row>
    <row r="1006">
      <c r="A1006" t="inlineStr">
        <is>
          <t>A 7268-2021</t>
        </is>
      </c>
      <c r="B1006" s="1" t="n">
        <v>44238</v>
      </c>
      <c r="C1006" s="1" t="n">
        <v>45156</v>
      </c>
      <c r="D1006" t="inlineStr">
        <is>
          <t>STRÖMSUND</t>
        </is>
      </c>
      <c r="F1006" t="n">
        <v>5.2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</row>
    <row r="1007">
      <c r="A1007" t="inlineStr">
        <is>
          <t>A 7697-2021</t>
        </is>
      </c>
      <c r="B1007" s="1" t="n">
        <v>44239</v>
      </c>
      <c r="C1007" s="1" t="n">
        <v>45156</v>
      </c>
      <c r="D1007" t="inlineStr">
        <is>
          <t>STRÖMSUND</t>
        </is>
      </c>
      <c r="F1007" t="n">
        <v>2.7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</row>
    <row r="1008">
      <c r="A1008" t="inlineStr">
        <is>
          <t>A 8016-2021</t>
        </is>
      </c>
      <c r="B1008" s="1" t="n">
        <v>44243</v>
      </c>
      <c r="C1008" s="1" t="n">
        <v>45156</v>
      </c>
      <c r="D1008" t="inlineStr">
        <is>
          <t>STRÖMSUND</t>
        </is>
      </c>
      <c r="F1008" t="n">
        <v>2.8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</row>
    <row r="1009">
      <c r="A1009" t="inlineStr">
        <is>
          <t>A 8020-2021</t>
        </is>
      </c>
      <c r="B1009" s="1" t="n">
        <v>44243</v>
      </c>
      <c r="C1009" s="1" t="n">
        <v>45156</v>
      </c>
      <c r="D1009" t="inlineStr">
        <is>
          <t>STRÖMSUND</t>
        </is>
      </c>
      <c r="F1009" t="n">
        <v>2.7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</row>
    <row r="1010">
      <c r="A1010" t="inlineStr">
        <is>
          <t>A 8364-2021</t>
        </is>
      </c>
      <c r="B1010" s="1" t="n">
        <v>44244</v>
      </c>
      <c r="C1010" s="1" t="n">
        <v>45156</v>
      </c>
      <c r="D1010" t="inlineStr">
        <is>
          <t>STRÖMSUND</t>
        </is>
      </c>
      <c r="F1010" t="n">
        <v>1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</row>
    <row r="1011">
      <c r="A1011" t="inlineStr">
        <is>
          <t>A 8979-2021</t>
        </is>
      </c>
      <c r="B1011" s="1" t="n">
        <v>44246</v>
      </c>
      <c r="C1011" s="1" t="n">
        <v>45156</v>
      </c>
      <c r="D1011" t="inlineStr">
        <is>
          <t>STRÖMSUND</t>
        </is>
      </c>
      <c r="F1011" t="n">
        <v>40.4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</row>
    <row r="1012">
      <c r="A1012" t="inlineStr">
        <is>
          <t>A 9710-2021</t>
        </is>
      </c>
      <c r="B1012" s="1" t="n">
        <v>44252</v>
      </c>
      <c r="C1012" s="1" t="n">
        <v>45156</v>
      </c>
      <c r="D1012" t="inlineStr">
        <is>
          <t>STRÖMSUND</t>
        </is>
      </c>
      <c r="F1012" t="n">
        <v>18.5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</row>
    <row r="1013">
      <c r="A1013" t="inlineStr">
        <is>
          <t>A 10528-2021</t>
        </is>
      </c>
      <c r="B1013" s="1" t="n">
        <v>44257</v>
      </c>
      <c r="C1013" s="1" t="n">
        <v>45156</v>
      </c>
      <c r="D1013" t="inlineStr">
        <is>
          <t>STRÖMSUND</t>
        </is>
      </c>
      <c r="F1013" t="n">
        <v>12.8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</row>
    <row r="1014">
      <c r="A1014" t="inlineStr">
        <is>
          <t>A 11034-2021</t>
        </is>
      </c>
      <c r="B1014" s="1" t="n">
        <v>44260</v>
      </c>
      <c r="C1014" s="1" t="n">
        <v>45156</v>
      </c>
      <c r="D1014" t="inlineStr">
        <is>
          <t>STRÖMSUND</t>
        </is>
      </c>
      <c r="F1014" t="n">
        <v>8.5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</row>
    <row r="1015">
      <c r="A1015" t="inlineStr">
        <is>
          <t>A 11508-2021</t>
        </is>
      </c>
      <c r="B1015" s="1" t="n">
        <v>44264</v>
      </c>
      <c r="C1015" s="1" t="n">
        <v>45156</v>
      </c>
      <c r="D1015" t="inlineStr">
        <is>
          <t>STRÖMSUND</t>
        </is>
      </c>
      <c r="E1015" t="inlineStr">
        <is>
          <t>Kyrkan</t>
        </is>
      </c>
      <c r="F1015" t="n">
        <v>3.5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</row>
    <row r="1016">
      <c r="A1016" t="inlineStr">
        <is>
          <t>A 12250-2021</t>
        </is>
      </c>
      <c r="B1016" s="1" t="n">
        <v>44266</v>
      </c>
      <c r="C1016" s="1" t="n">
        <v>45156</v>
      </c>
      <c r="D1016" t="inlineStr">
        <is>
          <t>STRÖMSUND</t>
        </is>
      </c>
      <c r="F1016" t="n">
        <v>5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</row>
    <row r="1017">
      <c r="A1017" t="inlineStr">
        <is>
          <t>A 12428-2021</t>
        </is>
      </c>
      <c r="B1017" s="1" t="n">
        <v>44267</v>
      </c>
      <c r="C1017" s="1" t="n">
        <v>45156</v>
      </c>
      <c r="D1017" t="inlineStr">
        <is>
          <t>STRÖMSUND</t>
        </is>
      </c>
      <c r="F1017" t="n">
        <v>19.6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</row>
    <row r="1018">
      <c r="A1018" t="inlineStr">
        <is>
          <t>A 12840-2021</t>
        </is>
      </c>
      <c r="B1018" s="1" t="n">
        <v>44270</v>
      </c>
      <c r="C1018" s="1" t="n">
        <v>45156</v>
      </c>
      <c r="D1018" t="inlineStr">
        <is>
          <t>STRÖMSUND</t>
        </is>
      </c>
      <c r="F1018" t="n">
        <v>15.5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</row>
    <row r="1019">
      <c r="A1019" t="inlineStr">
        <is>
          <t>A 13041-2021</t>
        </is>
      </c>
      <c r="B1019" s="1" t="n">
        <v>44271</v>
      </c>
      <c r="C1019" s="1" t="n">
        <v>45156</v>
      </c>
      <c r="D1019" t="inlineStr">
        <is>
          <t>STRÖMSUND</t>
        </is>
      </c>
      <c r="F1019" t="n">
        <v>0.7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</row>
    <row r="1020">
      <c r="A1020" t="inlineStr">
        <is>
          <t>A 13563-2021</t>
        </is>
      </c>
      <c r="B1020" s="1" t="n">
        <v>44273</v>
      </c>
      <c r="C1020" s="1" t="n">
        <v>45156</v>
      </c>
      <c r="D1020" t="inlineStr">
        <is>
          <t>STRÖMSUND</t>
        </is>
      </c>
      <c r="F1020" t="n">
        <v>27.1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</row>
    <row r="1021">
      <c r="A1021" t="inlineStr">
        <is>
          <t>A 14067-2021</t>
        </is>
      </c>
      <c r="B1021" s="1" t="n">
        <v>44277</v>
      </c>
      <c r="C1021" s="1" t="n">
        <v>45156</v>
      </c>
      <c r="D1021" t="inlineStr">
        <is>
          <t>STRÖMSUND</t>
        </is>
      </c>
      <c r="F1021" t="n">
        <v>27.7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</row>
    <row r="1022">
      <c r="A1022" t="inlineStr">
        <is>
          <t>A 14147-2021</t>
        </is>
      </c>
      <c r="B1022" s="1" t="n">
        <v>44278</v>
      </c>
      <c r="C1022" s="1" t="n">
        <v>45156</v>
      </c>
      <c r="D1022" t="inlineStr">
        <is>
          <t>STRÖMSUND</t>
        </is>
      </c>
      <c r="F1022" t="n">
        <v>3.9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</row>
    <row r="1023">
      <c r="A1023" t="inlineStr">
        <is>
          <t>A 14519-2021</t>
        </is>
      </c>
      <c r="B1023" s="1" t="n">
        <v>44279</v>
      </c>
      <c r="C1023" s="1" t="n">
        <v>45156</v>
      </c>
      <c r="D1023" t="inlineStr">
        <is>
          <t>STRÖMSUND</t>
        </is>
      </c>
      <c r="F1023" t="n">
        <v>61.3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</row>
    <row r="1024">
      <c r="A1024" t="inlineStr">
        <is>
          <t>A 14556-2021</t>
        </is>
      </c>
      <c r="B1024" s="1" t="n">
        <v>44279</v>
      </c>
      <c r="C1024" s="1" t="n">
        <v>45156</v>
      </c>
      <c r="D1024" t="inlineStr">
        <is>
          <t>STRÖMSUND</t>
        </is>
      </c>
      <c r="E1024" t="inlineStr">
        <is>
          <t>SCA</t>
        </is>
      </c>
      <c r="F1024" t="n">
        <v>5.2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</row>
    <row r="1025">
      <c r="A1025" t="inlineStr">
        <is>
          <t>A 15008-2021</t>
        </is>
      </c>
      <c r="B1025" s="1" t="n">
        <v>44281</v>
      </c>
      <c r="C1025" s="1" t="n">
        <v>45156</v>
      </c>
      <c r="D1025" t="inlineStr">
        <is>
          <t>STRÖMSUND</t>
        </is>
      </c>
      <c r="F1025" t="n">
        <v>14.8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</row>
    <row r="1026">
      <c r="A1026" t="inlineStr">
        <is>
          <t>A 15118-2021</t>
        </is>
      </c>
      <c r="B1026" s="1" t="n">
        <v>44282</v>
      </c>
      <c r="C1026" s="1" t="n">
        <v>45156</v>
      </c>
      <c r="D1026" t="inlineStr">
        <is>
          <t>STRÖMSUND</t>
        </is>
      </c>
      <c r="F1026" t="n">
        <v>0.8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</row>
    <row r="1027">
      <c r="A1027" t="inlineStr">
        <is>
          <t>A 15360-2021</t>
        </is>
      </c>
      <c r="B1027" s="1" t="n">
        <v>44284</v>
      </c>
      <c r="C1027" s="1" t="n">
        <v>45156</v>
      </c>
      <c r="D1027" t="inlineStr">
        <is>
          <t>STRÖMSUND</t>
        </is>
      </c>
      <c r="F1027" t="n">
        <v>1.2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</row>
    <row r="1028">
      <c r="A1028" t="inlineStr">
        <is>
          <t>A 15355-2021</t>
        </is>
      </c>
      <c r="B1028" s="1" t="n">
        <v>44284</v>
      </c>
      <c r="C1028" s="1" t="n">
        <v>45156</v>
      </c>
      <c r="D1028" t="inlineStr">
        <is>
          <t>STRÖMSUND</t>
        </is>
      </c>
      <c r="F1028" t="n">
        <v>0.9</v>
      </c>
      <c r="G1028" t="n">
        <v>0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</row>
    <row r="1029">
      <c r="A1029" t="inlineStr">
        <is>
          <t>A 15371-2021</t>
        </is>
      </c>
      <c r="B1029" s="1" t="n">
        <v>44284</v>
      </c>
      <c r="C1029" s="1" t="n">
        <v>45156</v>
      </c>
      <c r="D1029" t="inlineStr">
        <is>
          <t>STRÖMSUND</t>
        </is>
      </c>
      <c r="F1029" t="n">
        <v>10.7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</row>
    <row r="1030">
      <c r="A1030" t="inlineStr">
        <is>
          <t>A 15650-2021</t>
        </is>
      </c>
      <c r="B1030" s="1" t="n">
        <v>44285</v>
      </c>
      <c r="C1030" s="1" t="n">
        <v>45156</v>
      </c>
      <c r="D1030" t="inlineStr">
        <is>
          <t>STRÖMSUND</t>
        </is>
      </c>
      <c r="E1030" t="inlineStr">
        <is>
          <t>SCA</t>
        </is>
      </c>
      <c r="F1030" t="n">
        <v>9.6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</row>
    <row r="1031">
      <c r="A1031" t="inlineStr">
        <is>
          <t>A 16128-2021</t>
        </is>
      </c>
      <c r="B1031" s="1" t="n">
        <v>44291</v>
      </c>
      <c r="C1031" s="1" t="n">
        <v>45156</v>
      </c>
      <c r="D1031" t="inlineStr">
        <is>
          <t>STRÖMSUND</t>
        </is>
      </c>
      <c r="F1031" t="n">
        <v>1.7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</row>
    <row r="1032">
      <c r="A1032" t="inlineStr">
        <is>
          <t>A 16774-2021</t>
        </is>
      </c>
      <c r="B1032" s="1" t="n">
        <v>44294</v>
      </c>
      <c r="C1032" s="1" t="n">
        <v>45156</v>
      </c>
      <c r="D1032" t="inlineStr">
        <is>
          <t>STRÖMSUND</t>
        </is>
      </c>
      <c r="F1032" t="n">
        <v>10.5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</row>
    <row r="1033">
      <c r="A1033" t="inlineStr">
        <is>
          <t>A 17857-2021</t>
        </is>
      </c>
      <c r="B1033" s="1" t="n">
        <v>44300</v>
      </c>
      <c r="C1033" s="1" t="n">
        <v>45156</v>
      </c>
      <c r="D1033" t="inlineStr">
        <is>
          <t>STRÖMSUND</t>
        </is>
      </c>
      <c r="E1033" t="inlineStr">
        <is>
          <t>SCA</t>
        </is>
      </c>
      <c r="F1033" t="n">
        <v>5.8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</row>
    <row r="1034">
      <c r="A1034" t="inlineStr">
        <is>
          <t>A 17933-2021</t>
        </is>
      </c>
      <c r="B1034" s="1" t="n">
        <v>44301</v>
      </c>
      <c r="C1034" s="1" t="n">
        <v>45156</v>
      </c>
      <c r="D1034" t="inlineStr">
        <is>
          <t>STRÖMSUND</t>
        </is>
      </c>
      <c r="F1034" t="n">
        <v>1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</row>
    <row r="1035">
      <c r="A1035" t="inlineStr">
        <is>
          <t>A 18220-2021</t>
        </is>
      </c>
      <c r="B1035" s="1" t="n">
        <v>44302</v>
      </c>
      <c r="C1035" s="1" t="n">
        <v>45156</v>
      </c>
      <c r="D1035" t="inlineStr">
        <is>
          <t>STRÖMSUND</t>
        </is>
      </c>
      <c r="E1035" t="inlineStr">
        <is>
          <t>SCA</t>
        </is>
      </c>
      <c r="F1035" t="n">
        <v>11.3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</row>
    <row r="1036">
      <c r="A1036" t="inlineStr">
        <is>
          <t>A 18775-2021</t>
        </is>
      </c>
      <c r="B1036" s="1" t="n">
        <v>44307</v>
      </c>
      <c r="C1036" s="1" t="n">
        <v>45156</v>
      </c>
      <c r="D1036" t="inlineStr">
        <is>
          <t>STRÖMSUND</t>
        </is>
      </c>
      <c r="F1036" t="n">
        <v>39.7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</row>
    <row r="1037">
      <c r="A1037" t="inlineStr">
        <is>
          <t>A 19567-2021</t>
        </is>
      </c>
      <c r="B1037" s="1" t="n">
        <v>44312</v>
      </c>
      <c r="C1037" s="1" t="n">
        <v>45156</v>
      </c>
      <c r="D1037" t="inlineStr">
        <is>
          <t>STRÖMSUND</t>
        </is>
      </c>
      <c r="F1037" t="n">
        <v>0.5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</row>
    <row r="1038">
      <c r="A1038" t="inlineStr">
        <is>
          <t>A 20413-2021</t>
        </is>
      </c>
      <c r="B1038" s="1" t="n">
        <v>44312</v>
      </c>
      <c r="C1038" s="1" t="n">
        <v>45156</v>
      </c>
      <c r="D1038" t="inlineStr">
        <is>
          <t>STRÖMSUND</t>
        </is>
      </c>
      <c r="F1038" t="n">
        <v>1.9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</row>
    <row r="1039">
      <c r="A1039" t="inlineStr">
        <is>
          <t>A 19556-2021</t>
        </is>
      </c>
      <c r="B1039" s="1" t="n">
        <v>44312</v>
      </c>
      <c r="C1039" s="1" t="n">
        <v>45156</v>
      </c>
      <c r="D1039" t="inlineStr">
        <is>
          <t>STRÖMSUND</t>
        </is>
      </c>
      <c r="F1039" t="n">
        <v>2.1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</row>
    <row r="1040">
      <c r="A1040" t="inlineStr">
        <is>
          <t>A 19572-2021</t>
        </is>
      </c>
      <c r="B1040" s="1" t="n">
        <v>44312</v>
      </c>
      <c r="C1040" s="1" t="n">
        <v>45156</v>
      </c>
      <c r="D1040" t="inlineStr">
        <is>
          <t>STRÖMSUND</t>
        </is>
      </c>
      <c r="F1040" t="n">
        <v>0.5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</row>
    <row r="1041">
      <c r="A1041" t="inlineStr">
        <is>
          <t>A 19726-2021</t>
        </is>
      </c>
      <c r="B1041" s="1" t="n">
        <v>44312</v>
      </c>
      <c r="C1041" s="1" t="n">
        <v>45156</v>
      </c>
      <c r="D1041" t="inlineStr">
        <is>
          <t>STRÖMSUND</t>
        </is>
      </c>
      <c r="F1041" t="n">
        <v>0.5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</row>
    <row r="1042">
      <c r="A1042" t="inlineStr">
        <is>
          <t>A 20295-2021</t>
        </is>
      </c>
      <c r="B1042" s="1" t="n">
        <v>44314</v>
      </c>
      <c r="C1042" s="1" t="n">
        <v>45156</v>
      </c>
      <c r="D1042" t="inlineStr">
        <is>
          <t>STRÖMSUND</t>
        </is>
      </c>
      <c r="E1042" t="inlineStr">
        <is>
          <t>SCA</t>
        </is>
      </c>
      <c r="F1042" t="n">
        <v>1.9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</row>
    <row r="1043">
      <c r="A1043" t="inlineStr">
        <is>
          <t>A 21095-2021</t>
        </is>
      </c>
      <c r="B1043" s="1" t="n">
        <v>44319</v>
      </c>
      <c r="C1043" s="1" t="n">
        <v>45156</v>
      </c>
      <c r="D1043" t="inlineStr">
        <is>
          <t>STRÖMSUND</t>
        </is>
      </c>
      <c r="E1043" t="inlineStr">
        <is>
          <t>SCA</t>
        </is>
      </c>
      <c r="F1043" t="n">
        <v>6.4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</row>
    <row r="1044">
      <c r="A1044" t="inlineStr">
        <is>
          <t>A 21097-2021</t>
        </is>
      </c>
      <c r="B1044" s="1" t="n">
        <v>44319</v>
      </c>
      <c r="C1044" s="1" t="n">
        <v>45156</v>
      </c>
      <c r="D1044" t="inlineStr">
        <is>
          <t>STRÖMSUND</t>
        </is>
      </c>
      <c r="E1044" t="inlineStr">
        <is>
          <t>SCA</t>
        </is>
      </c>
      <c r="F1044" t="n">
        <v>2.1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</row>
    <row r="1045">
      <c r="A1045" t="inlineStr">
        <is>
          <t>A 21093-2021</t>
        </is>
      </c>
      <c r="B1045" s="1" t="n">
        <v>44319</v>
      </c>
      <c r="C1045" s="1" t="n">
        <v>45156</v>
      </c>
      <c r="D1045" t="inlineStr">
        <is>
          <t>STRÖMSUND</t>
        </is>
      </c>
      <c r="E1045" t="inlineStr">
        <is>
          <t>SCA</t>
        </is>
      </c>
      <c r="F1045" t="n">
        <v>11.7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</row>
    <row r="1046">
      <c r="A1046" t="inlineStr">
        <is>
          <t>A 21938-2021</t>
        </is>
      </c>
      <c r="B1046" s="1" t="n">
        <v>44322</v>
      </c>
      <c r="C1046" s="1" t="n">
        <v>45156</v>
      </c>
      <c r="D1046" t="inlineStr">
        <is>
          <t>STRÖMSUND</t>
        </is>
      </c>
      <c r="E1046" t="inlineStr">
        <is>
          <t>SCA</t>
        </is>
      </c>
      <c r="F1046" t="n">
        <v>4.9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</row>
    <row r="1047">
      <c r="A1047" t="inlineStr">
        <is>
          <t>A 22527-2021</t>
        </is>
      </c>
      <c r="B1047" s="1" t="n">
        <v>44326</v>
      </c>
      <c r="C1047" s="1" t="n">
        <v>45156</v>
      </c>
      <c r="D1047" t="inlineStr">
        <is>
          <t>STRÖMSUND</t>
        </is>
      </c>
      <c r="E1047" t="inlineStr">
        <is>
          <t>SCA</t>
        </is>
      </c>
      <c r="F1047" t="n">
        <v>1.4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</row>
    <row r="1048">
      <c r="A1048" t="inlineStr">
        <is>
          <t>A 22632-2021</t>
        </is>
      </c>
      <c r="B1048" s="1" t="n">
        <v>44327</v>
      </c>
      <c r="C1048" s="1" t="n">
        <v>45156</v>
      </c>
      <c r="D1048" t="inlineStr">
        <is>
          <t>STRÖMSUND</t>
        </is>
      </c>
      <c r="F1048" t="n">
        <v>3.7</v>
      </c>
      <c r="G1048" t="n">
        <v>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</row>
    <row r="1049">
      <c r="A1049" t="inlineStr">
        <is>
          <t>A 22640-2021</t>
        </is>
      </c>
      <c r="B1049" s="1" t="n">
        <v>44327</v>
      </c>
      <c r="C1049" s="1" t="n">
        <v>45156</v>
      </c>
      <c r="D1049" t="inlineStr">
        <is>
          <t>STRÖMSUND</t>
        </is>
      </c>
      <c r="F1049" t="n">
        <v>7.3</v>
      </c>
      <c r="G1049" t="n">
        <v>0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</row>
    <row r="1050">
      <c r="A1050" t="inlineStr">
        <is>
          <t>A 22783-2021</t>
        </is>
      </c>
      <c r="B1050" s="1" t="n">
        <v>44327</v>
      </c>
      <c r="C1050" s="1" t="n">
        <v>45156</v>
      </c>
      <c r="D1050" t="inlineStr">
        <is>
          <t>STRÖMSUND</t>
        </is>
      </c>
      <c r="E1050" t="inlineStr">
        <is>
          <t>SCA</t>
        </is>
      </c>
      <c r="F1050" t="n">
        <v>2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</row>
    <row r="1051">
      <c r="A1051" t="inlineStr">
        <is>
          <t>A 23103-2021</t>
        </is>
      </c>
      <c r="B1051" s="1" t="n">
        <v>44330</v>
      </c>
      <c r="C1051" s="1" t="n">
        <v>45156</v>
      </c>
      <c r="D1051" t="inlineStr">
        <is>
          <t>STRÖMSUND</t>
        </is>
      </c>
      <c r="F1051" t="n">
        <v>1.4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</row>
    <row r="1052">
      <c r="A1052" t="inlineStr">
        <is>
          <t>A 23486-2021</t>
        </is>
      </c>
      <c r="B1052" s="1" t="n">
        <v>44333</v>
      </c>
      <c r="C1052" s="1" t="n">
        <v>45156</v>
      </c>
      <c r="D1052" t="inlineStr">
        <is>
          <t>STRÖMSUND</t>
        </is>
      </c>
      <c r="E1052" t="inlineStr">
        <is>
          <t>SCA</t>
        </is>
      </c>
      <c r="F1052" t="n">
        <v>1.8</v>
      </c>
      <c r="G1052" t="n">
        <v>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</row>
    <row r="1053">
      <c r="A1053" t="inlineStr">
        <is>
          <t>A 23501-2021</t>
        </is>
      </c>
      <c r="B1053" s="1" t="n">
        <v>44333</v>
      </c>
      <c r="C1053" s="1" t="n">
        <v>45156</v>
      </c>
      <c r="D1053" t="inlineStr">
        <is>
          <t>STRÖMSUND</t>
        </is>
      </c>
      <c r="E1053" t="inlineStr">
        <is>
          <t>SCA</t>
        </is>
      </c>
      <c r="F1053" t="n">
        <v>3.7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</row>
    <row r="1054">
      <c r="A1054" t="inlineStr">
        <is>
          <t>A 24197-2021</t>
        </is>
      </c>
      <c r="B1054" s="1" t="n">
        <v>44336</v>
      </c>
      <c r="C1054" s="1" t="n">
        <v>45156</v>
      </c>
      <c r="D1054" t="inlineStr">
        <is>
          <t>STRÖMSUND</t>
        </is>
      </c>
      <c r="F1054" t="n">
        <v>0.8</v>
      </c>
      <c r="G1054" t="n">
        <v>0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</row>
    <row r="1055">
      <c r="A1055" t="inlineStr">
        <is>
          <t>A 24744-2021</t>
        </is>
      </c>
      <c r="B1055" s="1" t="n">
        <v>44340</v>
      </c>
      <c r="C1055" s="1" t="n">
        <v>45156</v>
      </c>
      <c r="D1055" t="inlineStr">
        <is>
          <t>STRÖMSUND</t>
        </is>
      </c>
      <c r="F1055" t="n">
        <v>7.9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</row>
    <row r="1056">
      <c r="A1056" t="inlineStr">
        <is>
          <t>A 26104-2021</t>
        </is>
      </c>
      <c r="B1056" s="1" t="n">
        <v>44344</v>
      </c>
      <c r="C1056" s="1" t="n">
        <v>45156</v>
      </c>
      <c r="D1056" t="inlineStr">
        <is>
          <t>STRÖMSUND</t>
        </is>
      </c>
      <c r="E1056" t="inlineStr">
        <is>
          <t>SCA</t>
        </is>
      </c>
      <c r="F1056" t="n">
        <v>1.9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</row>
    <row r="1057">
      <c r="A1057" t="inlineStr">
        <is>
          <t>A 26101-2021</t>
        </is>
      </c>
      <c r="B1057" s="1" t="n">
        <v>44344</v>
      </c>
      <c r="C1057" s="1" t="n">
        <v>45156</v>
      </c>
      <c r="D1057" t="inlineStr">
        <is>
          <t>STRÖMSUND</t>
        </is>
      </c>
      <c r="E1057" t="inlineStr">
        <is>
          <t>SCA</t>
        </is>
      </c>
      <c r="F1057" t="n">
        <v>13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</row>
    <row r="1058">
      <c r="A1058" t="inlineStr">
        <is>
          <t>A 26962-2021</t>
        </is>
      </c>
      <c r="B1058" s="1" t="n">
        <v>44349</v>
      </c>
      <c r="C1058" s="1" t="n">
        <v>45156</v>
      </c>
      <c r="D1058" t="inlineStr">
        <is>
          <t>STRÖMSUND</t>
        </is>
      </c>
      <c r="E1058" t="inlineStr">
        <is>
          <t>SCA</t>
        </is>
      </c>
      <c r="F1058" t="n">
        <v>5.3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</row>
    <row r="1059">
      <c r="A1059" t="inlineStr">
        <is>
          <t>A 27233-2021</t>
        </is>
      </c>
      <c r="B1059" s="1" t="n">
        <v>44350</v>
      </c>
      <c r="C1059" s="1" t="n">
        <v>45156</v>
      </c>
      <c r="D1059" t="inlineStr">
        <is>
          <t>STRÖMSUND</t>
        </is>
      </c>
      <c r="F1059" t="n">
        <v>3.2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</row>
    <row r="1060">
      <c r="A1060" t="inlineStr">
        <is>
          <t>A 27160-2021</t>
        </is>
      </c>
      <c r="B1060" s="1" t="n">
        <v>44350</v>
      </c>
      <c r="C1060" s="1" t="n">
        <v>45156</v>
      </c>
      <c r="D1060" t="inlineStr">
        <is>
          <t>STRÖMSUND</t>
        </is>
      </c>
      <c r="F1060" t="n">
        <v>1.7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</row>
    <row r="1061">
      <c r="A1061" t="inlineStr">
        <is>
          <t>A 27148-2021</t>
        </is>
      </c>
      <c r="B1061" s="1" t="n">
        <v>44350</v>
      </c>
      <c r="C1061" s="1" t="n">
        <v>45156</v>
      </c>
      <c r="D1061" t="inlineStr">
        <is>
          <t>STRÖMSUND</t>
        </is>
      </c>
      <c r="F1061" t="n">
        <v>10.9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</row>
    <row r="1062">
      <c r="A1062" t="inlineStr">
        <is>
          <t>A 27231-2021</t>
        </is>
      </c>
      <c r="B1062" s="1" t="n">
        <v>44350</v>
      </c>
      <c r="C1062" s="1" t="n">
        <v>45156</v>
      </c>
      <c r="D1062" t="inlineStr">
        <is>
          <t>STRÖMSUND</t>
        </is>
      </c>
      <c r="F1062" t="n">
        <v>4.2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</row>
    <row r="1063">
      <c r="A1063" t="inlineStr">
        <is>
          <t>A 27232-2021</t>
        </is>
      </c>
      <c r="B1063" s="1" t="n">
        <v>44350</v>
      </c>
      <c r="C1063" s="1" t="n">
        <v>45156</v>
      </c>
      <c r="D1063" t="inlineStr">
        <is>
          <t>STRÖMSUND</t>
        </is>
      </c>
      <c r="F1063" t="n">
        <v>3.3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</row>
    <row r="1064">
      <c r="A1064" t="inlineStr">
        <is>
          <t>A 27978-2021</t>
        </is>
      </c>
      <c r="B1064" s="1" t="n">
        <v>44354</v>
      </c>
      <c r="C1064" s="1" t="n">
        <v>45156</v>
      </c>
      <c r="D1064" t="inlineStr">
        <is>
          <t>STRÖMSUND</t>
        </is>
      </c>
      <c r="E1064" t="inlineStr">
        <is>
          <t>SCA</t>
        </is>
      </c>
      <c r="F1064" t="n">
        <v>7.1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</row>
    <row r="1065">
      <c r="A1065" t="inlineStr">
        <is>
          <t>A 27980-2021</t>
        </is>
      </c>
      <c r="B1065" s="1" t="n">
        <v>44354</v>
      </c>
      <c r="C1065" s="1" t="n">
        <v>45156</v>
      </c>
      <c r="D1065" t="inlineStr">
        <is>
          <t>STRÖMSUND</t>
        </is>
      </c>
      <c r="E1065" t="inlineStr">
        <is>
          <t>SCA</t>
        </is>
      </c>
      <c r="F1065" t="n">
        <v>5.8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</row>
    <row r="1066">
      <c r="A1066" t="inlineStr">
        <is>
          <t>A 27979-2021</t>
        </is>
      </c>
      <c r="B1066" s="1" t="n">
        <v>44354</v>
      </c>
      <c r="C1066" s="1" t="n">
        <v>45156</v>
      </c>
      <c r="D1066" t="inlineStr">
        <is>
          <t>STRÖMSUND</t>
        </is>
      </c>
      <c r="E1066" t="inlineStr">
        <is>
          <t>SCA</t>
        </is>
      </c>
      <c r="F1066" t="n">
        <v>2.5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</row>
    <row r="1067">
      <c r="A1067" t="inlineStr">
        <is>
          <t>A 29594-2021</t>
        </is>
      </c>
      <c r="B1067" s="1" t="n">
        <v>44361</v>
      </c>
      <c r="C1067" s="1" t="n">
        <v>45156</v>
      </c>
      <c r="D1067" t="inlineStr">
        <is>
          <t>STRÖMSUND</t>
        </is>
      </c>
      <c r="F1067" t="n">
        <v>10.8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</row>
    <row r="1068">
      <c r="A1068" t="inlineStr">
        <is>
          <t>A 29628-2021</t>
        </is>
      </c>
      <c r="B1068" s="1" t="n">
        <v>44361</v>
      </c>
      <c r="C1068" s="1" t="n">
        <v>45156</v>
      </c>
      <c r="D1068" t="inlineStr">
        <is>
          <t>STRÖMSUND</t>
        </is>
      </c>
      <c r="E1068" t="inlineStr">
        <is>
          <t>SCA</t>
        </is>
      </c>
      <c r="F1068" t="n">
        <v>5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</row>
    <row r="1069">
      <c r="A1069" t="inlineStr">
        <is>
          <t>A 29552-2021</t>
        </is>
      </c>
      <c r="B1069" s="1" t="n">
        <v>44361</v>
      </c>
      <c r="C1069" s="1" t="n">
        <v>45156</v>
      </c>
      <c r="D1069" t="inlineStr">
        <is>
          <t>STRÖMSUND</t>
        </is>
      </c>
      <c r="E1069" t="inlineStr">
        <is>
          <t>Holmen skog AB</t>
        </is>
      </c>
      <c r="F1069" t="n">
        <v>0.5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</row>
    <row r="1070">
      <c r="A1070" t="inlineStr">
        <is>
          <t>A 29841-2021</t>
        </is>
      </c>
      <c r="B1070" s="1" t="n">
        <v>44362</v>
      </c>
      <c r="C1070" s="1" t="n">
        <v>45156</v>
      </c>
      <c r="D1070" t="inlineStr">
        <is>
          <t>STRÖMSUND</t>
        </is>
      </c>
      <c r="F1070" t="n">
        <v>2.3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</row>
    <row r="1071">
      <c r="A1071" t="inlineStr">
        <is>
          <t>A 31077-2021</t>
        </is>
      </c>
      <c r="B1071" s="1" t="n">
        <v>44365</v>
      </c>
      <c r="C1071" s="1" t="n">
        <v>45156</v>
      </c>
      <c r="D1071" t="inlineStr">
        <is>
          <t>STRÖMSUND</t>
        </is>
      </c>
      <c r="F1071" t="n">
        <v>6.8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</row>
    <row r="1072">
      <c r="A1072" t="inlineStr">
        <is>
          <t>A 33787-2021</t>
        </is>
      </c>
      <c r="B1072" s="1" t="n">
        <v>44368</v>
      </c>
      <c r="C1072" s="1" t="n">
        <v>45156</v>
      </c>
      <c r="D1072" t="inlineStr">
        <is>
          <t>STRÖMSUND</t>
        </is>
      </c>
      <c r="F1072" t="n">
        <v>1.5</v>
      </c>
      <c r="G1072" t="n">
        <v>0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</row>
    <row r="1073">
      <c r="A1073" t="inlineStr">
        <is>
          <t>A 31089-2021</t>
        </is>
      </c>
      <c r="B1073" s="1" t="n">
        <v>44368</v>
      </c>
      <c r="C1073" s="1" t="n">
        <v>45156</v>
      </c>
      <c r="D1073" t="inlineStr">
        <is>
          <t>STRÖMSUND</t>
        </is>
      </c>
      <c r="F1073" t="n">
        <v>1.4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</row>
    <row r="1074">
      <c r="A1074" t="inlineStr">
        <is>
          <t>A 31739-2021</t>
        </is>
      </c>
      <c r="B1074" s="1" t="n">
        <v>44369</v>
      </c>
      <c r="C1074" s="1" t="n">
        <v>45156</v>
      </c>
      <c r="D1074" t="inlineStr">
        <is>
          <t>STRÖMSUND</t>
        </is>
      </c>
      <c r="E1074" t="inlineStr">
        <is>
          <t>SCA</t>
        </is>
      </c>
      <c r="F1074" t="n">
        <v>1.2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</row>
    <row r="1075">
      <c r="A1075" t="inlineStr">
        <is>
          <t>A 32259-2021</t>
        </is>
      </c>
      <c r="B1075" s="1" t="n">
        <v>44371</v>
      </c>
      <c r="C1075" s="1" t="n">
        <v>45156</v>
      </c>
      <c r="D1075" t="inlineStr">
        <is>
          <t>STRÖMSUND</t>
        </is>
      </c>
      <c r="E1075" t="inlineStr">
        <is>
          <t>SCA</t>
        </is>
      </c>
      <c r="F1075" t="n">
        <v>22.4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</row>
    <row r="1076">
      <c r="A1076" t="inlineStr">
        <is>
          <t>A 32359-2021</t>
        </is>
      </c>
      <c r="B1076" s="1" t="n">
        <v>44371</v>
      </c>
      <c r="C1076" s="1" t="n">
        <v>45156</v>
      </c>
      <c r="D1076" t="inlineStr">
        <is>
          <t>STRÖMSUND</t>
        </is>
      </c>
      <c r="E1076" t="inlineStr">
        <is>
          <t>SCA</t>
        </is>
      </c>
      <c r="F1076" t="n">
        <v>8.699999999999999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</row>
    <row r="1077">
      <c r="A1077" t="inlineStr">
        <is>
          <t>A 32465-2021</t>
        </is>
      </c>
      <c r="B1077" s="1" t="n">
        <v>44371</v>
      </c>
      <c r="C1077" s="1" t="n">
        <v>45156</v>
      </c>
      <c r="D1077" t="inlineStr">
        <is>
          <t>STRÖMSUND</t>
        </is>
      </c>
      <c r="E1077" t="inlineStr">
        <is>
          <t>SCA</t>
        </is>
      </c>
      <c r="F1077" t="n">
        <v>4.1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</row>
    <row r="1078">
      <c r="A1078" t="inlineStr">
        <is>
          <t>A 32460-2021</t>
        </is>
      </c>
      <c r="B1078" s="1" t="n">
        <v>44371</v>
      </c>
      <c r="C1078" s="1" t="n">
        <v>45156</v>
      </c>
      <c r="D1078" t="inlineStr">
        <is>
          <t>STRÖMSUND</t>
        </is>
      </c>
      <c r="F1078" t="n">
        <v>3.7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</row>
    <row r="1079">
      <c r="A1079" t="inlineStr">
        <is>
          <t>A 32538-2021</t>
        </is>
      </c>
      <c r="B1079" s="1" t="n">
        <v>44374</v>
      </c>
      <c r="C1079" s="1" t="n">
        <v>45156</v>
      </c>
      <c r="D1079" t="inlineStr">
        <is>
          <t>STRÖMSUND</t>
        </is>
      </c>
      <c r="E1079" t="inlineStr">
        <is>
          <t>SCA</t>
        </is>
      </c>
      <c r="F1079" t="n">
        <v>1.5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</row>
    <row r="1080">
      <c r="A1080" t="inlineStr">
        <is>
          <t>A 32536-2021</t>
        </is>
      </c>
      <c r="B1080" s="1" t="n">
        <v>44374</v>
      </c>
      <c r="C1080" s="1" t="n">
        <v>45156</v>
      </c>
      <c r="D1080" t="inlineStr">
        <is>
          <t>STRÖMSUND</t>
        </is>
      </c>
      <c r="E1080" t="inlineStr">
        <is>
          <t>SCA</t>
        </is>
      </c>
      <c r="F1080" t="n">
        <v>4.6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</row>
    <row r="1081">
      <c r="A1081" t="inlineStr">
        <is>
          <t>A 33228-2021</t>
        </is>
      </c>
      <c r="B1081" s="1" t="n">
        <v>44376</v>
      </c>
      <c r="C1081" s="1" t="n">
        <v>45156</v>
      </c>
      <c r="D1081" t="inlineStr">
        <is>
          <t>STRÖMSUND</t>
        </is>
      </c>
      <c r="F1081" t="n">
        <v>1.5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</row>
    <row r="1082">
      <c r="A1082" t="inlineStr">
        <is>
          <t>A 33225-2021</t>
        </is>
      </c>
      <c r="B1082" s="1" t="n">
        <v>44376</v>
      </c>
      <c r="C1082" s="1" t="n">
        <v>45156</v>
      </c>
      <c r="D1082" t="inlineStr">
        <is>
          <t>STRÖMSUND</t>
        </is>
      </c>
      <c r="F1082" t="n">
        <v>1.7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</row>
    <row r="1083">
      <c r="A1083" t="inlineStr">
        <is>
          <t>A 33104-2021</t>
        </is>
      </c>
      <c r="B1083" s="1" t="n">
        <v>44376</v>
      </c>
      <c r="C1083" s="1" t="n">
        <v>45156</v>
      </c>
      <c r="D1083" t="inlineStr">
        <is>
          <t>STRÖMSUND</t>
        </is>
      </c>
      <c r="F1083" t="n">
        <v>6.4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</row>
    <row r="1084">
      <c r="A1084" t="inlineStr">
        <is>
          <t>A 33216-2021</t>
        </is>
      </c>
      <c r="B1084" s="1" t="n">
        <v>44376</v>
      </c>
      <c r="C1084" s="1" t="n">
        <v>45156</v>
      </c>
      <c r="D1084" t="inlineStr">
        <is>
          <t>STRÖMSUND</t>
        </is>
      </c>
      <c r="E1084" t="inlineStr">
        <is>
          <t>SCA</t>
        </is>
      </c>
      <c r="F1084" t="n">
        <v>5</v>
      </c>
      <c r="G1084" t="n">
        <v>0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</row>
    <row r="1085">
      <c r="A1085" t="inlineStr">
        <is>
          <t>A 33554-2021</t>
        </is>
      </c>
      <c r="B1085" s="1" t="n">
        <v>44377</v>
      </c>
      <c r="C1085" s="1" t="n">
        <v>45156</v>
      </c>
      <c r="D1085" t="inlineStr">
        <is>
          <t>STRÖMSUND</t>
        </is>
      </c>
      <c r="E1085" t="inlineStr">
        <is>
          <t>SCA</t>
        </is>
      </c>
      <c r="F1085" t="n">
        <v>12.9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</row>
    <row r="1086">
      <c r="A1086" t="inlineStr">
        <is>
          <t>A 33562-2021</t>
        </is>
      </c>
      <c r="B1086" s="1" t="n">
        <v>44377</v>
      </c>
      <c r="C1086" s="1" t="n">
        <v>45156</v>
      </c>
      <c r="D1086" t="inlineStr">
        <is>
          <t>STRÖMSUND</t>
        </is>
      </c>
      <c r="E1086" t="inlineStr">
        <is>
          <t>SCA</t>
        </is>
      </c>
      <c r="F1086" t="n">
        <v>10.5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</row>
    <row r="1087">
      <c r="A1087" t="inlineStr">
        <is>
          <t>A 33549-2021</t>
        </is>
      </c>
      <c r="B1087" s="1" t="n">
        <v>44377</v>
      </c>
      <c r="C1087" s="1" t="n">
        <v>45156</v>
      </c>
      <c r="D1087" t="inlineStr">
        <is>
          <t>STRÖMSUND</t>
        </is>
      </c>
      <c r="E1087" t="inlineStr">
        <is>
          <t>SCA</t>
        </is>
      </c>
      <c r="F1087" t="n">
        <v>8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</row>
    <row r="1088">
      <c r="A1088" t="inlineStr">
        <is>
          <t>A 35064-2021</t>
        </is>
      </c>
      <c r="B1088" s="1" t="n">
        <v>44383</v>
      </c>
      <c r="C1088" s="1" t="n">
        <v>45156</v>
      </c>
      <c r="D1088" t="inlineStr">
        <is>
          <t>STRÖMSUND</t>
        </is>
      </c>
      <c r="E1088" t="inlineStr">
        <is>
          <t>SCA</t>
        </is>
      </c>
      <c r="F1088" t="n">
        <v>2.4</v>
      </c>
      <c r="G1088" t="n">
        <v>0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</row>
    <row r="1089">
      <c r="A1089" t="inlineStr">
        <is>
          <t>A 35061-2021</t>
        </is>
      </c>
      <c r="B1089" s="1" t="n">
        <v>44383</v>
      </c>
      <c r="C1089" s="1" t="n">
        <v>45156</v>
      </c>
      <c r="D1089" t="inlineStr">
        <is>
          <t>STRÖMSUND</t>
        </is>
      </c>
      <c r="E1089" t="inlineStr">
        <is>
          <t>SCA</t>
        </is>
      </c>
      <c r="F1089" t="n">
        <v>2.5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</row>
    <row r="1090">
      <c r="A1090" t="inlineStr">
        <is>
          <t>A 35352-2021</t>
        </is>
      </c>
      <c r="B1090" s="1" t="n">
        <v>44384</v>
      </c>
      <c r="C1090" s="1" t="n">
        <v>45156</v>
      </c>
      <c r="D1090" t="inlineStr">
        <is>
          <t>STRÖMSUND</t>
        </is>
      </c>
      <c r="E1090" t="inlineStr">
        <is>
          <t>SCA</t>
        </is>
      </c>
      <c r="F1090" t="n">
        <v>2.5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</row>
    <row r="1091">
      <c r="A1091" t="inlineStr">
        <is>
          <t>A 37047-2021</t>
        </is>
      </c>
      <c r="B1091" s="1" t="n">
        <v>44393</v>
      </c>
      <c r="C1091" s="1" t="n">
        <v>45156</v>
      </c>
      <c r="D1091" t="inlineStr">
        <is>
          <t>STRÖMSUND</t>
        </is>
      </c>
      <c r="E1091" t="inlineStr">
        <is>
          <t>SCA</t>
        </is>
      </c>
      <c r="F1091" t="n">
        <v>12.3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</row>
    <row r="1092">
      <c r="A1092" t="inlineStr">
        <is>
          <t>A 37370-2021</t>
        </is>
      </c>
      <c r="B1092" s="1" t="n">
        <v>44397</v>
      </c>
      <c r="C1092" s="1" t="n">
        <v>45156</v>
      </c>
      <c r="D1092" t="inlineStr">
        <is>
          <t>STRÖMSUND</t>
        </is>
      </c>
      <c r="E1092" t="inlineStr">
        <is>
          <t>SCA</t>
        </is>
      </c>
      <c r="F1092" t="n">
        <v>4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</row>
    <row r="1093">
      <c r="A1093" t="inlineStr">
        <is>
          <t>A 38219-2021</t>
        </is>
      </c>
      <c r="B1093" s="1" t="n">
        <v>44405</v>
      </c>
      <c r="C1093" s="1" t="n">
        <v>45156</v>
      </c>
      <c r="D1093" t="inlineStr">
        <is>
          <t>STRÖMSUND</t>
        </is>
      </c>
      <c r="F1093" t="n">
        <v>3.1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</row>
    <row r="1094">
      <c r="A1094" t="inlineStr">
        <is>
          <t>A 38786-2021</t>
        </is>
      </c>
      <c r="B1094" s="1" t="n">
        <v>44410</v>
      </c>
      <c r="C1094" s="1" t="n">
        <v>45156</v>
      </c>
      <c r="D1094" t="inlineStr">
        <is>
          <t>STRÖMSUND</t>
        </is>
      </c>
      <c r="F1094" t="n">
        <v>2.3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</row>
    <row r="1095">
      <c r="A1095" t="inlineStr">
        <is>
          <t>A 38763-2021</t>
        </is>
      </c>
      <c r="B1095" s="1" t="n">
        <v>44410</v>
      </c>
      <c r="C1095" s="1" t="n">
        <v>45156</v>
      </c>
      <c r="D1095" t="inlineStr">
        <is>
          <t>STRÖMSUND</t>
        </is>
      </c>
      <c r="E1095" t="inlineStr">
        <is>
          <t>Kyrkan</t>
        </is>
      </c>
      <c r="F1095" t="n">
        <v>4.8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</row>
    <row r="1096">
      <c r="A1096" t="inlineStr">
        <is>
          <t>A 39511-2021</t>
        </is>
      </c>
      <c r="B1096" s="1" t="n">
        <v>44414</v>
      </c>
      <c r="C1096" s="1" t="n">
        <v>45156</v>
      </c>
      <c r="D1096" t="inlineStr">
        <is>
          <t>STRÖMSUND</t>
        </is>
      </c>
      <c r="E1096" t="inlineStr">
        <is>
          <t>SCA</t>
        </is>
      </c>
      <c r="F1096" t="n">
        <v>3.8</v>
      </c>
      <c r="G1096" t="n">
        <v>0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</row>
    <row r="1097">
      <c r="A1097" t="inlineStr">
        <is>
          <t>A 39510-2021</t>
        </is>
      </c>
      <c r="B1097" s="1" t="n">
        <v>44414</v>
      </c>
      <c r="C1097" s="1" t="n">
        <v>45156</v>
      </c>
      <c r="D1097" t="inlineStr">
        <is>
          <t>STRÖMSUND</t>
        </is>
      </c>
      <c r="E1097" t="inlineStr">
        <is>
          <t>SCA</t>
        </is>
      </c>
      <c r="F1097" t="n">
        <v>1.4</v>
      </c>
      <c r="G1097" t="n">
        <v>0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</row>
    <row r="1098">
      <c r="A1098" t="inlineStr">
        <is>
          <t>A 39945-2021</t>
        </is>
      </c>
      <c r="B1098" s="1" t="n">
        <v>44417</v>
      </c>
      <c r="C1098" s="1" t="n">
        <v>45156</v>
      </c>
      <c r="D1098" t="inlineStr">
        <is>
          <t>STRÖMSUND</t>
        </is>
      </c>
      <c r="E1098" t="inlineStr">
        <is>
          <t>SCA</t>
        </is>
      </c>
      <c r="F1098" t="n">
        <v>0.9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</row>
    <row r="1099">
      <c r="A1099" t="inlineStr">
        <is>
          <t>A 39944-2021</t>
        </is>
      </c>
      <c r="B1099" s="1" t="n">
        <v>44417</v>
      </c>
      <c r="C1099" s="1" t="n">
        <v>45156</v>
      </c>
      <c r="D1099" t="inlineStr">
        <is>
          <t>STRÖMSUND</t>
        </is>
      </c>
      <c r="E1099" t="inlineStr">
        <is>
          <t>SCA</t>
        </is>
      </c>
      <c r="F1099" t="n">
        <v>2.7</v>
      </c>
      <c r="G1099" t="n">
        <v>0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</row>
    <row r="1100">
      <c r="A1100" t="inlineStr">
        <is>
          <t>A 40354-2021</t>
        </is>
      </c>
      <c r="B1100" s="1" t="n">
        <v>44419</v>
      </c>
      <c r="C1100" s="1" t="n">
        <v>45156</v>
      </c>
      <c r="D1100" t="inlineStr">
        <is>
          <t>STRÖMSUND</t>
        </is>
      </c>
      <c r="F1100" t="n">
        <v>10</v>
      </c>
      <c r="G1100" t="n">
        <v>0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</row>
    <row r="1101">
      <c r="A1101" t="inlineStr">
        <is>
          <t>A 41489-2021</t>
        </is>
      </c>
      <c r="B1101" s="1" t="n">
        <v>44424</v>
      </c>
      <c r="C1101" s="1" t="n">
        <v>45156</v>
      </c>
      <c r="D1101" t="inlineStr">
        <is>
          <t>STRÖMSUND</t>
        </is>
      </c>
      <c r="E1101" t="inlineStr">
        <is>
          <t>SCA</t>
        </is>
      </c>
      <c r="F1101" t="n">
        <v>1.7</v>
      </c>
      <c r="G1101" t="n">
        <v>0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</row>
    <row r="1102">
      <c r="A1102" t="inlineStr">
        <is>
          <t>A 41491-2021</t>
        </is>
      </c>
      <c r="B1102" s="1" t="n">
        <v>44424</v>
      </c>
      <c r="C1102" s="1" t="n">
        <v>45156</v>
      </c>
      <c r="D1102" t="inlineStr">
        <is>
          <t>STRÖMSUND</t>
        </is>
      </c>
      <c r="E1102" t="inlineStr">
        <is>
          <t>SCA</t>
        </is>
      </c>
      <c r="F1102" t="n">
        <v>2.3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</row>
    <row r="1103">
      <c r="A1103" t="inlineStr">
        <is>
          <t>A 41488-2021</t>
        </is>
      </c>
      <c r="B1103" s="1" t="n">
        <v>44424</v>
      </c>
      <c r="C1103" s="1" t="n">
        <v>45156</v>
      </c>
      <c r="D1103" t="inlineStr">
        <is>
          <t>STRÖMSUND</t>
        </is>
      </c>
      <c r="E1103" t="inlineStr">
        <is>
          <t>SCA</t>
        </is>
      </c>
      <c r="F1103" t="n">
        <v>1.3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</row>
    <row r="1104">
      <c r="A1104" t="inlineStr">
        <is>
          <t>A 41639-2021</t>
        </is>
      </c>
      <c r="B1104" s="1" t="n">
        <v>44425</v>
      </c>
      <c r="C1104" s="1" t="n">
        <v>45156</v>
      </c>
      <c r="D1104" t="inlineStr">
        <is>
          <t>STRÖMSUND</t>
        </is>
      </c>
      <c r="F1104" t="n">
        <v>1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</row>
    <row r="1105">
      <c r="A1105" t="inlineStr">
        <is>
          <t>A 42247-2021</t>
        </is>
      </c>
      <c r="B1105" s="1" t="n">
        <v>44426</v>
      </c>
      <c r="C1105" s="1" t="n">
        <v>45156</v>
      </c>
      <c r="D1105" t="inlineStr">
        <is>
          <t>STRÖMSUND</t>
        </is>
      </c>
      <c r="E1105" t="inlineStr">
        <is>
          <t>SCA</t>
        </is>
      </c>
      <c r="F1105" t="n">
        <v>3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</row>
    <row r="1106">
      <c r="A1106" t="inlineStr">
        <is>
          <t>A 42258-2021</t>
        </is>
      </c>
      <c r="B1106" s="1" t="n">
        <v>44426</v>
      </c>
      <c r="C1106" s="1" t="n">
        <v>45156</v>
      </c>
      <c r="D1106" t="inlineStr">
        <is>
          <t>STRÖMSUND</t>
        </is>
      </c>
      <c r="E1106" t="inlineStr">
        <is>
          <t>SCA</t>
        </is>
      </c>
      <c r="F1106" t="n">
        <v>0.7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</row>
    <row r="1107">
      <c r="A1107" t="inlineStr">
        <is>
          <t>A 42549-2021</t>
        </is>
      </c>
      <c r="B1107" s="1" t="n">
        <v>44427</v>
      </c>
      <c r="C1107" s="1" t="n">
        <v>45156</v>
      </c>
      <c r="D1107" t="inlineStr">
        <is>
          <t>STRÖMSUND</t>
        </is>
      </c>
      <c r="E1107" t="inlineStr">
        <is>
          <t>SCA</t>
        </is>
      </c>
      <c r="F1107" t="n">
        <v>10.7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</row>
    <row r="1108">
      <c r="A1108" t="inlineStr">
        <is>
          <t>A 42551-2021</t>
        </is>
      </c>
      <c r="B1108" s="1" t="n">
        <v>44427</v>
      </c>
      <c r="C1108" s="1" t="n">
        <v>45156</v>
      </c>
      <c r="D1108" t="inlineStr">
        <is>
          <t>STRÖMSUND</t>
        </is>
      </c>
      <c r="E1108" t="inlineStr">
        <is>
          <t>SCA</t>
        </is>
      </c>
      <c r="F1108" t="n">
        <v>4</v>
      </c>
      <c r="G1108" t="n">
        <v>0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</row>
    <row r="1109">
      <c r="A1109" t="inlineStr">
        <is>
          <t>A 43842-2021</t>
        </is>
      </c>
      <c r="B1109" s="1" t="n">
        <v>44433</v>
      </c>
      <c r="C1109" s="1" t="n">
        <v>45156</v>
      </c>
      <c r="D1109" t="inlineStr">
        <is>
          <t>STRÖMSUND</t>
        </is>
      </c>
      <c r="E1109" t="inlineStr">
        <is>
          <t>SCA</t>
        </is>
      </c>
      <c r="F1109" t="n">
        <v>2.3</v>
      </c>
      <c r="G1109" t="n">
        <v>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</row>
    <row r="1110">
      <c r="A1110" t="inlineStr">
        <is>
          <t>A 43844-2021</t>
        </is>
      </c>
      <c r="B1110" s="1" t="n">
        <v>44433</v>
      </c>
      <c r="C1110" s="1" t="n">
        <v>45156</v>
      </c>
      <c r="D1110" t="inlineStr">
        <is>
          <t>STRÖMSUND</t>
        </is>
      </c>
      <c r="E1110" t="inlineStr">
        <is>
          <t>SCA</t>
        </is>
      </c>
      <c r="F1110" t="n">
        <v>0.6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</row>
    <row r="1111">
      <c r="A1111" t="inlineStr">
        <is>
          <t>A 44104-2021</t>
        </is>
      </c>
      <c r="B1111" s="1" t="n">
        <v>44434</v>
      </c>
      <c r="C1111" s="1" t="n">
        <v>45156</v>
      </c>
      <c r="D1111" t="inlineStr">
        <is>
          <t>STRÖMSUND</t>
        </is>
      </c>
      <c r="F1111" t="n">
        <v>3.1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</row>
    <row r="1112">
      <c r="A1112" t="inlineStr">
        <is>
          <t>A 44229-2021</t>
        </is>
      </c>
      <c r="B1112" s="1" t="n">
        <v>44434</v>
      </c>
      <c r="C1112" s="1" t="n">
        <v>45156</v>
      </c>
      <c r="D1112" t="inlineStr">
        <is>
          <t>STRÖMSUND</t>
        </is>
      </c>
      <c r="E1112" t="inlineStr">
        <is>
          <t>SCA</t>
        </is>
      </c>
      <c r="F1112" t="n">
        <v>1.2</v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</row>
    <row r="1113">
      <c r="A1113" t="inlineStr">
        <is>
          <t>A 44410-2021</t>
        </is>
      </c>
      <c r="B1113" s="1" t="n">
        <v>44435</v>
      </c>
      <c r="C1113" s="1" t="n">
        <v>45156</v>
      </c>
      <c r="D1113" t="inlineStr">
        <is>
          <t>STRÖMSUND</t>
        </is>
      </c>
      <c r="E1113" t="inlineStr">
        <is>
          <t>Holmen skog AB</t>
        </is>
      </c>
      <c r="F1113" t="n">
        <v>0.6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</row>
    <row r="1114">
      <c r="A1114" t="inlineStr">
        <is>
          <t>A 44914-2021</t>
        </is>
      </c>
      <c r="B1114" s="1" t="n">
        <v>44438</v>
      </c>
      <c r="C1114" s="1" t="n">
        <v>45156</v>
      </c>
      <c r="D1114" t="inlineStr">
        <is>
          <t>STRÖMSUND</t>
        </is>
      </c>
      <c r="E1114" t="inlineStr">
        <is>
          <t>Holmen skog AB</t>
        </is>
      </c>
      <c r="F1114" t="n">
        <v>0.9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</row>
    <row r="1115">
      <c r="A1115" t="inlineStr">
        <is>
          <t>A 45333-2021</t>
        </is>
      </c>
      <c r="B1115" s="1" t="n">
        <v>44439</v>
      </c>
      <c r="C1115" s="1" t="n">
        <v>45156</v>
      </c>
      <c r="D1115" t="inlineStr">
        <is>
          <t>STRÖMSUND</t>
        </is>
      </c>
      <c r="F1115" t="n">
        <v>2.8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</row>
    <row r="1116">
      <c r="A1116" t="inlineStr">
        <is>
          <t>A 45640-2021</t>
        </is>
      </c>
      <c r="B1116" s="1" t="n">
        <v>44440</v>
      </c>
      <c r="C1116" s="1" t="n">
        <v>45156</v>
      </c>
      <c r="D1116" t="inlineStr">
        <is>
          <t>STRÖMSUND</t>
        </is>
      </c>
      <c r="E1116" t="inlineStr">
        <is>
          <t>SCA</t>
        </is>
      </c>
      <c r="F1116" t="n">
        <v>2.6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</row>
    <row r="1117">
      <c r="A1117" t="inlineStr">
        <is>
          <t>A 45630-2021</t>
        </is>
      </c>
      <c r="B1117" s="1" t="n">
        <v>44440</v>
      </c>
      <c r="C1117" s="1" t="n">
        <v>45156</v>
      </c>
      <c r="D1117" t="inlineStr">
        <is>
          <t>STRÖMSUND</t>
        </is>
      </c>
      <c r="E1117" t="inlineStr">
        <is>
          <t>SCA</t>
        </is>
      </c>
      <c r="F1117" t="n">
        <v>1.6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</row>
    <row r="1118">
      <c r="A1118" t="inlineStr">
        <is>
          <t>A 45639-2021</t>
        </is>
      </c>
      <c r="B1118" s="1" t="n">
        <v>44440</v>
      </c>
      <c r="C1118" s="1" t="n">
        <v>45156</v>
      </c>
      <c r="D1118" t="inlineStr">
        <is>
          <t>STRÖMSUND</t>
        </is>
      </c>
      <c r="E1118" t="inlineStr">
        <is>
          <t>SCA</t>
        </is>
      </c>
      <c r="F1118" t="n">
        <v>2.1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</row>
    <row r="1119">
      <c r="A1119" t="inlineStr">
        <is>
          <t>A 45638-2021</t>
        </is>
      </c>
      <c r="B1119" s="1" t="n">
        <v>44440</v>
      </c>
      <c r="C1119" s="1" t="n">
        <v>45156</v>
      </c>
      <c r="D1119" t="inlineStr">
        <is>
          <t>STRÖMSUND</t>
        </is>
      </c>
      <c r="E1119" t="inlineStr">
        <is>
          <t>SCA</t>
        </is>
      </c>
      <c r="F1119" t="n">
        <v>2.5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</row>
    <row r="1120">
      <c r="A1120" t="inlineStr">
        <is>
          <t>A 45641-2021</t>
        </is>
      </c>
      <c r="B1120" s="1" t="n">
        <v>44440</v>
      </c>
      <c r="C1120" s="1" t="n">
        <v>45156</v>
      </c>
      <c r="D1120" t="inlineStr">
        <is>
          <t>STRÖMSUND</t>
        </is>
      </c>
      <c r="E1120" t="inlineStr">
        <is>
          <t>SCA</t>
        </is>
      </c>
      <c r="F1120" t="n">
        <v>2.1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</row>
    <row r="1121">
      <c r="A1121" t="inlineStr">
        <is>
          <t>A 46044-2021</t>
        </is>
      </c>
      <c r="B1121" s="1" t="n">
        <v>44441</v>
      </c>
      <c r="C1121" s="1" t="n">
        <v>45156</v>
      </c>
      <c r="D1121" t="inlineStr">
        <is>
          <t>STRÖMSUND</t>
        </is>
      </c>
      <c r="E1121" t="inlineStr">
        <is>
          <t>SCA</t>
        </is>
      </c>
      <c r="F1121" t="n">
        <v>4.2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</row>
    <row r="1122">
      <c r="A1122" t="inlineStr">
        <is>
          <t>A 45870-2021</t>
        </is>
      </c>
      <c r="B1122" s="1" t="n">
        <v>44441</v>
      </c>
      <c r="C1122" s="1" t="n">
        <v>45156</v>
      </c>
      <c r="D1122" t="inlineStr">
        <is>
          <t>STRÖMSUND</t>
        </is>
      </c>
      <c r="E1122" t="inlineStr">
        <is>
          <t>Holmen skog AB</t>
        </is>
      </c>
      <c r="F1122" t="n">
        <v>1.6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</row>
    <row r="1123">
      <c r="A1123" t="inlineStr">
        <is>
          <t>A 46969-2021</t>
        </is>
      </c>
      <c r="B1123" s="1" t="n">
        <v>44446</v>
      </c>
      <c r="C1123" s="1" t="n">
        <v>45156</v>
      </c>
      <c r="D1123" t="inlineStr">
        <is>
          <t>STRÖMSUND</t>
        </is>
      </c>
      <c r="F1123" t="n">
        <v>7.4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</row>
    <row r="1124">
      <c r="A1124" t="inlineStr">
        <is>
          <t>A 47261-2021</t>
        </is>
      </c>
      <c r="B1124" s="1" t="n">
        <v>44447</v>
      </c>
      <c r="C1124" s="1" t="n">
        <v>45156</v>
      </c>
      <c r="D1124" t="inlineStr">
        <is>
          <t>STRÖMSUND</t>
        </is>
      </c>
      <c r="F1124" t="n">
        <v>2.2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</row>
    <row r="1125">
      <c r="A1125" t="inlineStr">
        <is>
          <t>A 47607-2021</t>
        </is>
      </c>
      <c r="B1125" s="1" t="n">
        <v>44447</v>
      </c>
      <c r="C1125" s="1" t="n">
        <v>45156</v>
      </c>
      <c r="D1125" t="inlineStr">
        <is>
          <t>STRÖMSUND</t>
        </is>
      </c>
      <c r="F1125" t="n">
        <v>2.8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</row>
    <row r="1126">
      <c r="A1126" t="inlineStr">
        <is>
          <t>A 47936-2021</t>
        </is>
      </c>
      <c r="B1126" s="1" t="n">
        <v>44448</v>
      </c>
      <c r="C1126" s="1" t="n">
        <v>45156</v>
      </c>
      <c r="D1126" t="inlineStr">
        <is>
          <t>STRÖMSUND</t>
        </is>
      </c>
      <c r="E1126" t="inlineStr">
        <is>
          <t>SCA</t>
        </is>
      </c>
      <c r="F1126" t="n">
        <v>1.6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</row>
    <row r="1127">
      <c r="A1127" t="inlineStr">
        <is>
          <t>A 47847-2021</t>
        </is>
      </c>
      <c r="B1127" s="1" t="n">
        <v>44448</v>
      </c>
      <c r="C1127" s="1" t="n">
        <v>45156</v>
      </c>
      <c r="D1127" t="inlineStr">
        <is>
          <t>STRÖMSUND</t>
        </is>
      </c>
      <c r="E1127" t="inlineStr">
        <is>
          <t>Holmen skog AB</t>
        </is>
      </c>
      <c r="F1127" t="n">
        <v>3.5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</row>
    <row r="1128">
      <c r="A1128" t="inlineStr">
        <is>
          <t>A 47943-2021</t>
        </is>
      </c>
      <c r="B1128" s="1" t="n">
        <v>44448</v>
      </c>
      <c r="C1128" s="1" t="n">
        <v>45156</v>
      </c>
      <c r="D1128" t="inlineStr">
        <is>
          <t>STRÖMSUND</t>
        </is>
      </c>
      <c r="E1128" t="inlineStr">
        <is>
          <t>SCA</t>
        </is>
      </c>
      <c r="F1128" t="n">
        <v>4.4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</row>
    <row r="1129">
      <c r="A1129" t="inlineStr">
        <is>
          <t>A 47934-2021</t>
        </is>
      </c>
      <c r="B1129" s="1" t="n">
        <v>44448</v>
      </c>
      <c r="C1129" s="1" t="n">
        <v>45156</v>
      </c>
      <c r="D1129" t="inlineStr">
        <is>
          <t>STRÖMSUND</t>
        </is>
      </c>
      <c r="E1129" t="inlineStr">
        <is>
          <t>SCA</t>
        </is>
      </c>
      <c r="F1129" t="n">
        <v>6.4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</row>
    <row r="1130">
      <c r="A1130" t="inlineStr">
        <is>
          <t>A 48508-2021</t>
        </is>
      </c>
      <c r="B1130" s="1" t="n">
        <v>44451</v>
      </c>
      <c r="C1130" s="1" t="n">
        <v>45156</v>
      </c>
      <c r="D1130" t="inlineStr">
        <is>
          <t>STRÖMSUND</t>
        </is>
      </c>
      <c r="F1130" t="n">
        <v>11.1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</row>
    <row r="1131">
      <c r="A1131" t="inlineStr">
        <is>
          <t>A 49208-2021</t>
        </is>
      </c>
      <c r="B1131" s="1" t="n">
        <v>44454</v>
      </c>
      <c r="C1131" s="1" t="n">
        <v>45156</v>
      </c>
      <c r="D1131" t="inlineStr">
        <is>
          <t>STRÖMSUND</t>
        </is>
      </c>
      <c r="E1131" t="inlineStr">
        <is>
          <t>Sveaskog</t>
        </is>
      </c>
      <c r="F1131" t="n">
        <v>1.8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</row>
    <row r="1132">
      <c r="A1132" t="inlineStr">
        <is>
          <t>A 49204-2021</t>
        </is>
      </c>
      <c r="B1132" s="1" t="n">
        <v>44454</v>
      </c>
      <c r="C1132" s="1" t="n">
        <v>45156</v>
      </c>
      <c r="D1132" t="inlineStr">
        <is>
          <t>STRÖMSUND</t>
        </is>
      </c>
      <c r="E1132" t="inlineStr">
        <is>
          <t>Sveaskog</t>
        </is>
      </c>
      <c r="F1132" t="n">
        <v>3.3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</row>
    <row r="1133">
      <c r="A1133" t="inlineStr">
        <is>
          <t>A 49212-2021</t>
        </is>
      </c>
      <c r="B1133" s="1" t="n">
        <v>44454</v>
      </c>
      <c r="C1133" s="1" t="n">
        <v>45156</v>
      </c>
      <c r="D1133" t="inlineStr">
        <is>
          <t>STRÖMSUND</t>
        </is>
      </c>
      <c r="E1133" t="inlineStr">
        <is>
          <t>Sveaskog</t>
        </is>
      </c>
      <c r="F1133" t="n">
        <v>1.1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</row>
    <row r="1134">
      <c r="A1134" t="inlineStr">
        <is>
          <t>A 49206-2021</t>
        </is>
      </c>
      <c r="B1134" s="1" t="n">
        <v>44454</v>
      </c>
      <c r="C1134" s="1" t="n">
        <v>45156</v>
      </c>
      <c r="D1134" t="inlineStr">
        <is>
          <t>STRÖMSUND</t>
        </is>
      </c>
      <c r="E1134" t="inlineStr">
        <is>
          <t>Sveaskog</t>
        </is>
      </c>
      <c r="F1134" t="n">
        <v>1.4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</row>
    <row r="1135">
      <c r="A1135" t="inlineStr">
        <is>
          <t>A 50020-2021</t>
        </is>
      </c>
      <c r="B1135" s="1" t="n">
        <v>44456</v>
      </c>
      <c r="C1135" s="1" t="n">
        <v>45156</v>
      </c>
      <c r="D1135" t="inlineStr">
        <is>
          <t>STRÖMSUND</t>
        </is>
      </c>
      <c r="E1135" t="inlineStr">
        <is>
          <t>Sveaskog</t>
        </is>
      </c>
      <c r="F1135" t="n">
        <v>18.7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</row>
    <row r="1136">
      <c r="A1136" t="inlineStr">
        <is>
          <t>A 50180-2021</t>
        </is>
      </c>
      <c r="B1136" s="1" t="n">
        <v>44456</v>
      </c>
      <c r="C1136" s="1" t="n">
        <v>45156</v>
      </c>
      <c r="D1136" t="inlineStr">
        <is>
          <t>STRÖMSUND</t>
        </is>
      </c>
      <c r="E1136" t="inlineStr">
        <is>
          <t>SCA</t>
        </is>
      </c>
      <c r="F1136" t="n">
        <v>2.5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</row>
    <row r="1137">
      <c r="A1137" t="inlineStr">
        <is>
          <t>A 50025-2021</t>
        </is>
      </c>
      <c r="B1137" s="1" t="n">
        <v>44456</v>
      </c>
      <c r="C1137" s="1" t="n">
        <v>45156</v>
      </c>
      <c r="D1137" t="inlineStr">
        <is>
          <t>STRÖMSUND</t>
        </is>
      </c>
      <c r="E1137" t="inlineStr">
        <is>
          <t>Sveaskog</t>
        </is>
      </c>
      <c r="F1137" t="n">
        <v>6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</row>
    <row r="1138">
      <c r="A1138" t="inlineStr">
        <is>
          <t>A 50034-2021</t>
        </is>
      </c>
      <c r="B1138" s="1" t="n">
        <v>44456</v>
      </c>
      <c r="C1138" s="1" t="n">
        <v>45156</v>
      </c>
      <c r="D1138" t="inlineStr">
        <is>
          <t>STRÖMSUND</t>
        </is>
      </c>
      <c r="E1138" t="inlineStr">
        <is>
          <t>Sveaskog</t>
        </is>
      </c>
      <c r="F1138" t="n">
        <v>12.9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</row>
    <row r="1139">
      <c r="A1139" t="inlineStr">
        <is>
          <t>A 50030-2021</t>
        </is>
      </c>
      <c r="B1139" s="1" t="n">
        <v>44456</v>
      </c>
      <c r="C1139" s="1" t="n">
        <v>45156</v>
      </c>
      <c r="D1139" t="inlineStr">
        <is>
          <t>STRÖMSUND</t>
        </is>
      </c>
      <c r="E1139" t="inlineStr">
        <is>
          <t>Sveaskog</t>
        </is>
      </c>
      <c r="F1139" t="n">
        <v>21.5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</row>
    <row r="1140">
      <c r="A1140" t="inlineStr">
        <is>
          <t>A 50179-2021</t>
        </is>
      </c>
      <c r="B1140" s="1" t="n">
        <v>44456</v>
      </c>
      <c r="C1140" s="1" t="n">
        <v>45156</v>
      </c>
      <c r="D1140" t="inlineStr">
        <is>
          <t>STRÖMSUND</t>
        </is>
      </c>
      <c r="E1140" t="inlineStr">
        <is>
          <t>SCA</t>
        </is>
      </c>
      <c r="F1140" t="n">
        <v>1.1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</row>
    <row r="1141">
      <c r="A1141" t="inlineStr">
        <is>
          <t>A 50026-2021</t>
        </is>
      </c>
      <c r="B1141" s="1" t="n">
        <v>44456</v>
      </c>
      <c r="C1141" s="1" t="n">
        <v>45156</v>
      </c>
      <c r="D1141" t="inlineStr">
        <is>
          <t>STRÖMSUND</t>
        </is>
      </c>
      <c r="E1141" t="inlineStr">
        <is>
          <t>Sveaskog</t>
        </is>
      </c>
      <c r="F1141" t="n">
        <v>13.5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</row>
    <row r="1142">
      <c r="A1142" t="inlineStr">
        <is>
          <t>A 51446-2021</t>
        </is>
      </c>
      <c r="B1142" s="1" t="n">
        <v>44461</v>
      </c>
      <c r="C1142" s="1" t="n">
        <v>45156</v>
      </c>
      <c r="D1142" t="inlineStr">
        <is>
          <t>STRÖMSUND</t>
        </is>
      </c>
      <c r="E1142" t="inlineStr">
        <is>
          <t>SCA</t>
        </is>
      </c>
      <c r="F1142" t="n">
        <v>0.6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</row>
    <row r="1143">
      <c r="A1143" t="inlineStr">
        <is>
          <t>A 52327-2021</t>
        </is>
      </c>
      <c r="B1143" s="1" t="n">
        <v>44463</v>
      </c>
      <c r="C1143" s="1" t="n">
        <v>45156</v>
      </c>
      <c r="D1143" t="inlineStr">
        <is>
          <t>STRÖMSUND</t>
        </is>
      </c>
      <c r="E1143" t="inlineStr">
        <is>
          <t>SCA</t>
        </is>
      </c>
      <c r="F1143" t="n">
        <v>3.6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</row>
    <row r="1144">
      <c r="A1144" t="inlineStr">
        <is>
          <t>A 52397-2021</t>
        </is>
      </c>
      <c r="B1144" s="1" t="n">
        <v>44463</v>
      </c>
      <c r="C1144" s="1" t="n">
        <v>45156</v>
      </c>
      <c r="D1144" t="inlineStr">
        <is>
          <t>STRÖMSUND</t>
        </is>
      </c>
      <c r="F1144" t="n">
        <v>2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</row>
    <row r="1145">
      <c r="A1145" t="inlineStr">
        <is>
          <t>A 52950-2021</t>
        </is>
      </c>
      <c r="B1145" s="1" t="n">
        <v>44466</v>
      </c>
      <c r="C1145" s="1" t="n">
        <v>45156</v>
      </c>
      <c r="D1145" t="inlineStr">
        <is>
          <t>STRÖMSUND</t>
        </is>
      </c>
      <c r="F1145" t="n">
        <v>1.8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</row>
    <row r="1146">
      <c r="A1146" t="inlineStr">
        <is>
          <t>A 52969-2021</t>
        </is>
      </c>
      <c r="B1146" s="1" t="n">
        <v>44466</v>
      </c>
      <c r="C1146" s="1" t="n">
        <v>45156</v>
      </c>
      <c r="D1146" t="inlineStr">
        <is>
          <t>STRÖMSUND</t>
        </is>
      </c>
      <c r="F1146" t="n">
        <v>0.8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</row>
    <row r="1147">
      <c r="A1147" t="inlineStr">
        <is>
          <t>A 53518-2021</t>
        </is>
      </c>
      <c r="B1147" s="1" t="n">
        <v>44468</v>
      </c>
      <c r="C1147" s="1" t="n">
        <v>45156</v>
      </c>
      <c r="D1147" t="inlineStr">
        <is>
          <t>STRÖMSUND</t>
        </is>
      </c>
      <c r="E1147" t="inlineStr">
        <is>
          <t>SCA</t>
        </is>
      </c>
      <c r="F1147" t="n">
        <v>1.2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</row>
    <row r="1148">
      <c r="A1148" t="inlineStr">
        <is>
          <t>A 53513-2021</t>
        </is>
      </c>
      <c r="B1148" s="1" t="n">
        <v>44468</v>
      </c>
      <c r="C1148" s="1" t="n">
        <v>45156</v>
      </c>
      <c r="D1148" t="inlineStr">
        <is>
          <t>STRÖMSUND</t>
        </is>
      </c>
      <c r="E1148" t="inlineStr">
        <is>
          <t>SCA</t>
        </is>
      </c>
      <c r="F1148" t="n">
        <v>5.2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</row>
    <row r="1149">
      <c r="A1149" t="inlineStr">
        <is>
          <t>A 53414-2021</t>
        </is>
      </c>
      <c r="B1149" s="1" t="n">
        <v>44468</v>
      </c>
      <c r="C1149" s="1" t="n">
        <v>45156</v>
      </c>
      <c r="D1149" t="inlineStr">
        <is>
          <t>STRÖMSUND</t>
        </is>
      </c>
      <c r="F1149" t="n">
        <v>0.7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</row>
    <row r="1150">
      <c r="A1150" t="inlineStr">
        <is>
          <t>A 54050-2021</t>
        </is>
      </c>
      <c r="B1150" s="1" t="n">
        <v>44470</v>
      </c>
      <c r="C1150" s="1" t="n">
        <v>45156</v>
      </c>
      <c r="D1150" t="inlineStr">
        <is>
          <t>STRÖMSUND</t>
        </is>
      </c>
      <c r="F1150" t="n">
        <v>2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</row>
    <row r="1151">
      <c r="A1151" t="inlineStr">
        <is>
          <t>A 55608-2021</t>
        </is>
      </c>
      <c r="B1151" s="1" t="n">
        <v>44475</v>
      </c>
      <c r="C1151" s="1" t="n">
        <v>45156</v>
      </c>
      <c r="D1151" t="inlineStr">
        <is>
          <t>STRÖMSUND</t>
        </is>
      </c>
      <c r="E1151" t="inlineStr">
        <is>
          <t>SCA</t>
        </is>
      </c>
      <c r="F1151" t="n">
        <v>0.6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</row>
    <row r="1152">
      <c r="A1152" t="inlineStr">
        <is>
          <t>A 55918-2021</t>
        </is>
      </c>
      <c r="B1152" s="1" t="n">
        <v>44476</v>
      </c>
      <c r="C1152" s="1" t="n">
        <v>45156</v>
      </c>
      <c r="D1152" t="inlineStr">
        <is>
          <t>STRÖMSUND</t>
        </is>
      </c>
      <c r="E1152" t="inlineStr">
        <is>
          <t>SCA</t>
        </is>
      </c>
      <c r="F1152" t="n">
        <v>4.1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</row>
    <row r="1153">
      <c r="A1153" t="inlineStr">
        <is>
          <t>A 55920-2021</t>
        </is>
      </c>
      <c r="B1153" s="1" t="n">
        <v>44476</v>
      </c>
      <c r="C1153" s="1" t="n">
        <v>45156</v>
      </c>
      <c r="D1153" t="inlineStr">
        <is>
          <t>STRÖMSUND</t>
        </is>
      </c>
      <c r="E1153" t="inlineStr">
        <is>
          <t>SCA</t>
        </is>
      </c>
      <c r="F1153" t="n">
        <v>6.1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</row>
    <row r="1154">
      <c r="A1154" t="inlineStr">
        <is>
          <t>A 55927-2021</t>
        </is>
      </c>
      <c r="B1154" s="1" t="n">
        <v>44476</v>
      </c>
      <c r="C1154" s="1" t="n">
        <v>45156</v>
      </c>
      <c r="D1154" t="inlineStr">
        <is>
          <t>STRÖMSUND</t>
        </is>
      </c>
      <c r="E1154" t="inlineStr">
        <is>
          <t>SCA</t>
        </is>
      </c>
      <c r="F1154" t="n">
        <v>16.9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</row>
    <row r="1155">
      <c r="A1155" t="inlineStr">
        <is>
          <t>A 55939-2021</t>
        </is>
      </c>
      <c r="B1155" s="1" t="n">
        <v>44476</v>
      </c>
      <c r="C1155" s="1" t="n">
        <v>45156</v>
      </c>
      <c r="D1155" t="inlineStr">
        <is>
          <t>STRÖMSUND</t>
        </is>
      </c>
      <c r="E1155" t="inlineStr">
        <is>
          <t>SCA</t>
        </is>
      </c>
      <c r="F1155" t="n">
        <v>19.3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</row>
    <row r="1156">
      <c r="A1156" t="inlineStr">
        <is>
          <t>A 56208-2021</t>
        </is>
      </c>
      <c r="B1156" s="1" t="n">
        <v>44477</v>
      </c>
      <c r="C1156" s="1" t="n">
        <v>45156</v>
      </c>
      <c r="D1156" t="inlineStr">
        <is>
          <t>STRÖMSUND</t>
        </is>
      </c>
      <c r="E1156" t="inlineStr">
        <is>
          <t>SCA</t>
        </is>
      </c>
      <c r="F1156" t="n">
        <v>23.9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</row>
    <row r="1157">
      <c r="A1157" t="inlineStr">
        <is>
          <t>A 56655-2021</t>
        </is>
      </c>
      <c r="B1157" s="1" t="n">
        <v>44480</v>
      </c>
      <c r="C1157" s="1" t="n">
        <v>45156</v>
      </c>
      <c r="D1157" t="inlineStr">
        <is>
          <t>STRÖMSUND</t>
        </is>
      </c>
      <c r="E1157" t="inlineStr">
        <is>
          <t>SCA</t>
        </is>
      </c>
      <c r="F1157" t="n">
        <v>6.4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</row>
    <row r="1158">
      <c r="A1158" t="inlineStr">
        <is>
          <t>A 56654-2021</t>
        </is>
      </c>
      <c r="B1158" s="1" t="n">
        <v>44480</v>
      </c>
      <c r="C1158" s="1" t="n">
        <v>45156</v>
      </c>
      <c r="D1158" t="inlineStr">
        <is>
          <t>STRÖMSUND</t>
        </is>
      </c>
      <c r="E1158" t="inlineStr">
        <is>
          <t>SCA</t>
        </is>
      </c>
      <c r="F1158" t="n">
        <v>2.7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</row>
    <row r="1159">
      <c r="A1159" t="inlineStr">
        <is>
          <t>A 57560-2021</t>
        </is>
      </c>
      <c r="B1159" s="1" t="n">
        <v>44483</v>
      </c>
      <c r="C1159" s="1" t="n">
        <v>45156</v>
      </c>
      <c r="D1159" t="inlineStr">
        <is>
          <t>STRÖMSUND</t>
        </is>
      </c>
      <c r="E1159" t="inlineStr">
        <is>
          <t>SCA</t>
        </is>
      </c>
      <c r="F1159" t="n">
        <v>1.7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</row>
    <row r="1160">
      <c r="A1160" t="inlineStr">
        <is>
          <t>A 58260-2021</t>
        </is>
      </c>
      <c r="B1160" s="1" t="n">
        <v>44487</v>
      </c>
      <c r="C1160" s="1" t="n">
        <v>45156</v>
      </c>
      <c r="D1160" t="inlineStr">
        <is>
          <t>STRÖMSUND</t>
        </is>
      </c>
      <c r="E1160" t="inlineStr">
        <is>
          <t>SCA</t>
        </is>
      </c>
      <c r="F1160" t="n">
        <v>3.5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</row>
    <row r="1161">
      <c r="A1161" t="inlineStr">
        <is>
          <t>A 58022-2021</t>
        </is>
      </c>
      <c r="B1161" s="1" t="n">
        <v>44487</v>
      </c>
      <c r="C1161" s="1" t="n">
        <v>45156</v>
      </c>
      <c r="D1161" t="inlineStr">
        <is>
          <t>STRÖMSUND</t>
        </is>
      </c>
      <c r="F1161" t="n">
        <v>0.4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</row>
    <row r="1162">
      <c r="A1162" t="inlineStr">
        <is>
          <t>A 59126-2021</t>
        </is>
      </c>
      <c r="B1162" s="1" t="n">
        <v>44487</v>
      </c>
      <c r="C1162" s="1" t="n">
        <v>45156</v>
      </c>
      <c r="D1162" t="inlineStr">
        <is>
          <t>STRÖMSUND</t>
        </is>
      </c>
      <c r="F1162" t="n">
        <v>1.3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</row>
    <row r="1163">
      <c r="A1163" t="inlineStr">
        <is>
          <t>A 58973-2021</t>
        </is>
      </c>
      <c r="B1163" s="1" t="n">
        <v>44489</v>
      </c>
      <c r="C1163" s="1" t="n">
        <v>45156</v>
      </c>
      <c r="D1163" t="inlineStr">
        <is>
          <t>STRÖMSUND</t>
        </is>
      </c>
      <c r="E1163" t="inlineStr">
        <is>
          <t>SCA</t>
        </is>
      </c>
      <c r="F1163" t="n">
        <v>1.4</v>
      </c>
      <c r="G1163" t="n">
        <v>0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</row>
    <row r="1164">
      <c r="A1164" t="inlineStr">
        <is>
          <t>A 59139-2021</t>
        </is>
      </c>
      <c r="B1164" s="1" t="n">
        <v>44490</v>
      </c>
      <c r="C1164" s="1" t="n">
        <v>45156</v>
      </c>
      <c r="D1164" t="inlineStr">
        <is>
          <t>STRÖMSUND</t>
        </is>
      </c>
      <c r="F1164" t="n">
        <v>3.7</v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</row>
    <row r="1165">
      <c r="A1165" t="inlineStr">
        <is>
          <t>A 60120-2021</t>
        </is>
      </c>
      <c r="B1165" s="1" t="n">
        <v>44494</v>
      </c>
      <c r="C1165" s="1" t="n">
        <v>45156</v>
      </c>
      <c r="D1165" t="inlineStr">
        <is>
          <t>STRÖMSUND</t>
        </is>
      </c>
      <c r="F1165" t="n">
        <v>33.9</v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</row>
    <row r="1166">
      <c r="A1166" t="inlineStr">
        <is>
          <t>A 60319-2021</t>
        </is>
      </c>
      <c r="B1166" s="1" t="n">
        <v>44495</v>
      </c>
      <c r="C1166" s="1" t="n">
        <v>45156</v>
      </c>
      <c r="D1166" t="inlineStr">
        <is>
          <t>STRÖMSUND</t>
        </is>
      </c>
      <c r="E1166" t="inlineStr">
        <is>
          <t>SCA</t>
        </is>
      </c>
      <c r="F1166" t="n">
        <v>3.5</v>
      </c>
      <c r="G1166" t="n">
        <v>0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</row>
    <row r="1167">
      <c r="A1167" t="inlineStr">
        <is>
          <t>A 60789-2021</t>
        </is>
      </c>
      <c r="B1167" s="1" t="n">
        <v>44496</v>
      </c>
      <c r="C1167" s="1" t="n">
        <v>45156</v>
      </c>
      <c r="D1167" t="inlineStr">
        <is>
          <t>STRÖMSUND</t>
        </is>
      </c>
      <c r="E1167" t="inlineStr">
        <is>
          <t>SCA</t>
        </is>
      </c>
      <c r="F1167" t="n">
        <v>14.7</v>
      </c>
      <c r="G1167" t="n">
        <v>0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</row>
    <row r="1168">
      <c r="A1168" t="inlineStr">
        <is>
          <t>A 60775-2021</t>
        </is>
      </c>
      <c r="B1168" s="1" t="n">
        <v>44496</v>
      </c>
      <c r="C1168" s="1" t="n">
        <v>45156</v>
      </c>
      <c r="D1168" t="inlineStr">
        <is>
          <t>STRÖMSUND</t>
        </is>
      </c>
      <c r="E1168" t="inlineStr">
        <is>
          <t>SCA</t>
        </is>
      </c>
      <c r="F1168" t="n">
        <v>1.8</v>
      </c>
      <c r="G1168" t="n">
        <v>0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</row>
    <row r="1169">
      <c r="A1169" t="inlineStr">
        <is>
          <t>A 60939-2021</t>
        </is>
      </c>
      <c r="B1169" s="1" t="n">
        <v>44496</v>
      </c>
      <c r="C1169" s="1" t="n">
        <v>45156</v>
      </c>
      <c r="D1169" t="inlineStr">
        <is>
          <t>STRÖMSUND</t>
        </is>
      </c>
      <c r="F1169" t="n">
        <v>2.8</v>
      </c>
      <c r="G1169" t="n">
        <v>0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</row>
    <row r="1170">
      <c r="A1170" t="inlineStr">
        <is>
          <t>A 61612-2021</t>
        </is>
      </c>
      <c r="B1170" s="1" t="n">
        <v>44498</v>
      </c>
      <c r="C1170" s="1" t="n">
        <v>45156</v>
      </c>
      <c r="D1170" t="inlineStr">
        <is>
          <t>STRÖMSUND</t>
        </is>
      </c>
      <c r="F1170" t="n">
        <v>1.9</v>
      </c>
      <c r="G1170" t="n">
        <v>0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</row>
    <row r="1171">
      <c r="A1171" t="inlineStr">
        <is>
          <t>A 61434-2021</t>
        </is>
      </c>
      <c r="B1171" s="1" t="n">
        <v>44500</v>
      </c>
      <c r="C1171" s="1" t="n">
        <v>45156</v>
      </c>
      <c r="D1171" t="inlineStr">
        <is>
          <t>STRÖMSUND</t>
        </is>
      </c>
      <c r="E1171" t="inlineStr">
        <is>
          <t>SCA</t>
        </is>
      </c>
      <c r="F1171" t="n">
        <v>1.2</v>
      </c>
      <c r="G1171" t="n">
        <v>0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</row>
    <row r="1172">
      <c r="A1172" t="inlineStr">
        <is>
          <t>A 61433-2021</t>
        </is>
      </c>
      <c r="B1172" s="1" t="n">
        <v>44500</v>
      </c>
      <c r="C1172" s="1" t="n">
        <v>45156</v>
      </c>
      <c r="D1172" t="inlineStr">
        <is>
          <t>STRÖMSUND</t>
        </is>
      </c>
      <c r="E1172" t="inlineStr">
        <is>
          <t>SCA</t>
        </is>
      </c>
      <c r="F1172" t="n">
        <v>1.2</v>
      </c>
      <c r="G1172" t="n">
        <v>0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</row>
    <row r="1173">
      <c r="A1173" t="inlineStr">
        <is>
          <t>A 61420-2021</t>
        </is>
      </c>
      <c r="B1173" s="1" t="n">
        <v>44500</v>
      </c>
      <c r="C1173" s="1" t="n">
        <v>45156</v>
      </c>
      <c r="D1173" t="inlineStr">
        <is>
          <t>STRÖMSUND</t>
        </is>
      </c>
      <c r="E1173" t="inlineStr">
        <is>
          <t>SCA</t>
        </is>
      </c>
      <c r="F1173" t="n">
        <v>10.2</v>
      </c>
      <c r="G1173" t="n">
        <v>0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</row>
    <row r="1174">
      <c r="A1174" t="inlineStr">
        <is>
          <t>A 61439-2021</t>
        </is>
      </c>
      <c r="B1174" s="1" t="n">
        <v>44500</v>
      </c>
      <c r="C1174" s="1" t="n">
        <v>45156</v>
      </c>
      <c r="D1174" t="inlineStr">
        <is>
          <t>STRÖMSUND</t>
        </is>
      </c>
      <c r="E1174" t="inlineStr">
        <is>
          <t>SCA</t>
        </is>
      </c>
      <c r="F1174" t="n">
        <v>6.9</v>
      </c>
      <c r="G1174" t="n">
        <v>0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</row>
    <row r="1175">
      <c r="A1175" t="inlineStr">
        <is>
          <t>A 61455-2021</t>
        </is>
      </c>
      <c r="B1175" s="1" t="n">
        <v>44500</v>
      </c>
      <c r="C1175" s="1" t="n">
        <v>45156</v>
      </c>
      <c r="D1175" t="inlineStr">
        <is>
          <t>STRÖMSUND</t>
        </is>
      </c>
      <c r="E1175" t="inlineStr">
        <is>
          <t>SCA</t>
        </is>
      </c>
      <c r="F1175" t="n">
        <v>6</v>
      </c>
      <c r="G1175" t="n">
        <v>0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</row>
    <row r="1176">
      <c r="A1176" t="inlineStr">
        <is>
          <t>A 61450-2021</t>
        </is>
      </c>
      <c r="B1176" s="1" t="n">
        <v>44500</v>
      </c>
      <c r="C1176" s="1" t="n">
        <v>45156</v>
      </c>
      <c r="D1176" t="inlineStr">
        <is>
          <t>STRÖMSUND</t>
        </is>
      </c>
      <c r="E1176" t="inlineStr">
        <is>
          <t>SCA</t>
        </is>
      </c>
      <c r="F1176" t="n">
        <v>2.4</v>
      </c>
      <c r="G1176" t="n">
        <v>0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</row>
    <row r="1177">
      <c r="A1177" t="inlineStr">
        <is>
          <t>A 61731-2021</t>
        </is>
      </c>
      <c r="B1177" s="1" t="n">
        <v>44501</v>
      </c>
      <c r="C1177" s="1" t="n">
        <v>45156</v>
      </c>
      <c r="D1177" t="inlineStr">
        <is>
          <t>STRÖMSUND</t>
        </is>
      </c>
      <c r="E1177" t="inlineStr">
        <is>
          <t>Holmen skog AB</t>
        </is>
      </c>
      <c r="F1177" t="n">
        <v>1.8</v>
      </c>
      <c r="G1177" t="n">
        <v>0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</row>
    <row r="1178">
      <c r="A1178" t="inlineStr">
        <is>
          <t>A 62203-2021</t>
        </is>
      </c>
      <c r="B1178" s="1" t="n">
        <v>44502</v>
      </c>
      <c r="C1178" s="1" t="n">
        <v>45156</v>
      </c>
      <c r="D1178" t="inlineStr">
        <is>
          <t>STRÖMSUND</t>
        </is>
      </c>
      <c r="E1178" t="inlineStr">
        <is>
          <t>SCA</t>
        </is>
      </c>
      <c r="F1178" t="n">
        <v>2.3</v>
      </c>
      <c r="G1178" t="n">
        <v>0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</row>
    <row r="1179">
      <c r="A1179" t="inlineStr">
        <is>
          <t>A 62431-2021</t>
        </is>
      </c>
      <c r="B1179" s="1" t="n">
        <v>44503</v>
      </c>
      <c r="C1179" s="1" t="n">
        <v>45156</v>
      </c>
      <c r="D1179" t="inlineStr">
        <is>
          <t>STRÖMSUND</t>
        </is>
      </c>
      <c r="F1179" t="n">
        <v>6.8</v>
      </c>
      <c r="G1179" t="n">
        <v>0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</row>
    <row r="1180">
      <c r="A1180" t="inlineStr">
        <is>
          <t>A 64760-2021</t>
        </is>
      </c>
      <c r="B1180" s="1" t="n">
        <v>44503</v>
      </c>
      <c r="C1180" s="1" t="n">
        <v>45156</v>
      </c>
      <c r="D1180" t="inlineStr">
        <is>
          <t>STRÖMSUND</t>
        </is>
      </c>
      <c r="F1180" t="n">
        <v>1.8</v>
      </c>
      <c r="G1180" t="n">
        <v>0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</row>
    <row r="1181">
      <c r="A1181" t="inlineStr">
        <is>
          <t>A 64744-2021</t>
        </is>
      </c>
      <c r="B1181" s="1" t="n">
        <v>44503</v>
      </c>
      <c r="C1181" s="1" t="n">
        <v>45156</v>
      </c>
      <c r="D1181" t="inlineStr">
        <is>
          <t>STRÖMSUND</t>
        </is>
      </c>
      <c r="F1181" t="n">
        <v>13</v>
      </c>
      <c r="G1181" t="n">
        <v>0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</row>
    <row r="1182">
      <c r="A1182" t="inlineStr">
        <is>
          <t>A 62448-2021</t>
        </is>
      </c>
      <c r="B1182" s="1" t="n">
        <v>44503</v>
      </c>
      <c r="C1182" s="1" t="n">
        <v>45156</v>
      </c>
      <c r="D1182" t="inlineStr">
        <is>
          <t>STRÖMSUND</t>
        </is>
      </c>
      <c r="F1182" t="n">
        <v>13.4</v>
      </c>
      <c r="G1182" t="n">
        <v>0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</row>
    <row r="1183">
      <c r="A1183" t="inlineStr">
        <is>
          <t>A 63988-2021</t>
        </is>
      </c>
      <c r="B1183" s="1" t="n">
        <v>44509</v>
      </c>
      <c r="C1183" s="1" t="n">
        <v>45156</v>
      </c>
      <c r="D1183" t="inlineStr">
        <is>
          <t>STRÖMSUND</t>
        </is>
      </c>
      <c r="E1183" t="inlineStr">
        <is>
          <t>SCA</t>
        </is>
      </c>
      <c r="F1183" t="n">
        <v>5.7</v>
      </c>
      <c r="G1183" t="n">
        <v>0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</row>
    <row r="1184">
      <c r="A1184" t="inlineStr">
        <is>
          <t>A 64001-2021</t>
        </is>
      </c>
      <c r="B1184" s="1" t="n">
        <v>44509</v>
      </c>
      <c r="C1184" s="1" t="n">
        <v>45156</v>
      </c>
      <c r="D1184" t="inlineStr">
        <is>
          <t>STRÖMSUND</t>
        </is>
      </c>
      <c r="E1184" t="inlineStr">
        <is>
          <t>SCA</t>
        </is>
      </c>
      <c r="F1184" t="n">
        <v>2.3</v>
      </c>
      <c r="G1184" t="n">
        <v>0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</row>
    <row r="1185">
      <c r="A1185" t="inlineStr">
        <is>
          <t>A 63875-2021</t>
        </is>
      </c>
      <c r="B1185" s="1" t="n">
        <v>44509</v>
      </c>
      <c r="C1185" s="1" t="n">
        <v>45156</v>
      </c>
      <c r="D1185" t="inlineStr">
        <is>
          <t>STRÖMSUND</t>
        </is>
      </c>
      <c r="F1185" t="n">
        <v>0.8</v>
      </c>
      <c r="G1185" t="n">
        <v>0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</row>
    <row r="1186">
      <c r="A1186" t="inlineStr">
        <is>
          <t>A 63982-2021</t>
        </is>
      </c>
      <c r="B1186" s="1" t="n">
        <v>44509</v>
      </c>
      <c r="C1186" s="1" t="n">
        <v>45156</v>
      </c>
      <c r="D1186" t="inlineStr">
        <is>
          <t>STRÖMSUND</t>
        </is>
      </c>
      <c r="F1186" t="n">
        <v>9.4</v>
      </c>
      <c r="G1186" t="n">
        <v>0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</row>
    <row r="1187">
      <c r="A1187" t="inlineStr">
        <is>
          <t>A 64200-2021</t>
        </is>
      </c>
      <c r="B1187" s="1" t="n">
        <v>44510</v>
      </c>
      <c r="C1187" s="1" t="n">
        <v>45156</v>
      </c>
      <c r="D1187" t="inlineStr">
        <is>
          <t>STRÖMSUND</t>
        </is>
      </c>
      <c r="F1187" t="n">
        <v>2.1</v>
      </c>
      <c r="G1187" t="n">
        <v>0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</row>
    <row r="1188">
      <c r="A1188" t="inlineStr">
        <is>
          <t>A 64309-2021</t>
        </is>
      </c>
      <c r="B1188" s="1" t="n">
        <v>44510</v>
      </c>
      <c r="C1188" s="1" t="n">
        <v>45156</v>
      </c>
      <c r="D1188" t="inlineStr">
        <is>
          <t>STRÖMSUND</t>
        </is>
      </c>
      <c r="E1188" t="inlineStr">
        <is>
          <t>SCA</t>
        </is>
      </c>
      <c r="F1188" t="n">
        <v>1.5</v>
      </c>
      <c r="G1188" t="n">
        <v>0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</row>
    <row r="1189">
      <c r="A1189" t="inlineStr">
        <is>
          <t>A 64186-2021</t>
        </is>
      </c>
      <c r="B1189" s="1" t="n">
        <v>44510</v>
      </c>
      <c r="C1189" s="1" t="n">
        <v>45156</v>
      </c>
      <c r="D1189" t="inlineStr">
        <is>
          <t>STRÖMSUND</t>
        </is>
      </c>
      <c r="F1189" t="n">
        <v>18.2</v>
      </c>
      <c r="G1189" t="n">
        <v>0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</row>
    <row r="1190">
      <c r="A1190" t="inlineStr">
        <is>
          <t>A 64660-2021</t>
        </is>
      </c>
      <c r="B1190" s="1" t="n">
        <v>44511</v>
      </c>
      <c r="C1190" s="1" t="n">
        <v>45156</v>
      </c>
      <c r="D1190" t="inlineStr">
        <is>
          <t>STRÖMSUND</t>
        </is>
      </c>
      <c r="E1190" t="inlineStr">
        <is>
          <t>SCA</t>
        </is>
      </c>
      <c r="F1190" t="n">
        <v>2.8</v>
      </c>
      <c r="G1190" t="n">
        <v>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</row>
    <row r="1191">
      <c r="A1191" t="inlineStr">
        <is>
          <t>A 64505-2021</t>
        </is>
      </c>
      <c r="B1191" s="1" t="n">
        <v>44511</v>
      </c>
      <c r="C1191" s="1" t="n">
        <v>45156</v>
      </c>
      <c r="D1191" t="inlineStr">
        <is>
          <t>STRÖMSUND</t>
        </is>
      </c>
      <c r="F1191" t="n">
        <v>0.7</v>
      </c>
      <c r="G1191" t="n">
        <v>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</row>
    <row r="1192">
      <c r="A1192" t="inlineStr">
        <is>
          <t>A 64655-2021</t>
        </is>
      </c>
      <c r="B1192" s="1" t="n">
        <v>44511</v>
      </c>
      <c r="C1192" s="1" t="n">
        <v>45156</v>
      </c>
      <c r="D1192" t="inlineStr">
        <is>
          <t>STRÖMSUND</t>
        </is>
      </c>
      <c r="E1192" t="inlineStr">
        <is>
          <t>SCA</t>
        </is>
      </c>
      <c r="F1192" t="n">
        <v>10.2</v>
      </c>
      <c r="G1192" t="n">
        <v>0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</row>
    <row r="1193">
      <c r="A1193" t="inlineStr">
        <is>
          <t>A 64723-2021</t>
        </is>
      </c>
      <c r="B1193" s="1" t="n">
        <v>44512</v>
      </c>
      <c r="C1193" s="1" t="n">
        <v>45156</v>
      </c>
      <c r="D1193" t="inlineStr">
        <is>
          <t>STRÖMSUND</t>
        </is>
      </c>
      <c r="E1193" t="inlineStr">
        <is>
          <t>Holmen skog AB</t>
        </is>
      </c>
      <c r="F1193" t="n">
        <v>3.2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</row>
    <row r="1194">
      <c r="A1194" t="inlineStr">
        <is>
          <t>A 64913-2021</t>
        </is>
      </c>
      <c r="B1194" s="1" t="n">
        <v>44512</v>
      </c>
      <c r="C1194" s="1" t="n">
        <v>45156</v>
      </c>
      <c r="D1194" t="inlineStr">
        <is>
          <t>STRÖMSUND</t>
        </is>
      </c>
      <c r="F1194" t="n">
        <v>0.5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</row>
    <row r="1195">
      <c r="A1195" t="inlineStr">
        <is>
          <t>A 65776-2021</t>
        </is>
      </c>
      <c r="B1195" s="1" t="n">
        <v>44516</v>
      </c>
      <c r="C1195" s="1" t="n">
        <v>45156</v>
      </c>
      <c r="D1195" t="inlineStr">
        <is>
          <t>STRÖMSUND</t>
        </is>
      </c>
      <c r="E1195" t="inlineStr">
        <is>
          <t>SCA</t>
        </is>
      </c>
      <c r="F1195" t="n">
        <v>0.9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</row>
    <row r="1196">
      <c r="A1196" t="inlineStr">
        <is>
          <t>A 66485-2021</t>
        </is>
      </c>
      <c r="B1196" s="1" t="n">
        <v>44518</v>
      </c>
      <c r="C1196" s="1" t="n">
        <v>45156</v>
      </c>
      <c r="D1196" t="inlineStr">
        <is>
          <t>STRÖMSUND</t>
        </is>
      </c>
      <c r="E1196" t="inlineStr">
        <is>
          <t>SCA</t>
        </is>
      </c>
      <c r="F1196" t="n">
        <v>3.7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</row>
    <row r="1197">
      <c r="A1197" t="inlineStr">
        <is>
          <t>A 66487-2021</t>
        </is>
      </c>
      <c r="B1197" s="1" t="n">
        <v>44518</v>
      </c>
      <c r="C1197" s="1" t="n">
        <v>45156</v>
      </c>
      <c r="D1197" t="inlineStr">
        <is>
          <t>STRÖMSUND</t>
        </is>
      </c>
      <c r="E1197" t="inlineStr">
        <is>
          <t>SCA</t>
        </is>
      </c>
      <c r="F1197" t="n">
        <v>3.1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</row>
    <row r="1198">
      <c r="A1198" t="inlineStr">
        <is>
          <t>A 66486-2021</t>
        </is>
      </c>
      <c r="B1198" s="1" t="n">
        <v>44518</v>
      </c>
      <c r="C1198" s="1" t="n">
        <v>45156</v>
      </c>
      <c r="D1198" t="inlineStr">
        <is>
          <t>STRÖMSUND</t>
        </is>
      </c>
      <c r="E1198" t="inlineStr">
        <is>
          <t>SCA</t>
        </is>
      </c>
      <c r="F1198" t="n">
        <v>1.7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</row>
    <row r="1199">
      <c r="A1199" t="inlineStr">
        <is>
          <t>A 66784-2021</t>
        </is>
      </c>
      <c r="B1199" s="1" t="n">
        <v>44519</v>
      </c>
      <c r="C1199" s="1" t="n">
        <v>45156</v>
      </c>
      <c r="D1199" t="inlineStr">
        <is>
          <t>STRÖMSUND</t>
        </is>
      </c>
      <c r="F1199" t="n">
        <v>3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</row>
    <row r="1200">
      <c r="A1200" t="inlineStr">
        <is>
          <t>A 66742-2021</t>
        </is>
      </c>
      <c r="B1200" s="1" t="n">
        <v>44520</v>
      </c>
      <c r="C1200" s="1" t="n">
        <v>45156</v>
      </c>
      <c r="D1200" t="inlineStr">
        <is>
          <t>STRÖMSUND</t>
        </is>
      </c>
      <c r="E1200" t="inlineStr">
        <is>
          <t>SCA</t>
        </is>
      </c>
      <c r="F1200" t="n">
        <v>3.7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</row>
    <row r="1201">
      <c r="A1201" t="inlineStr">
        <is>
          <t>A 67097-2021</t>
        </is>
      </c>
      <c r="B1201" s="1" t="n">
        <v>44522</v>
      </c>
      <c r="C1201" s="1" t="n">
        <v>45156</v>
      </c>
      <c r="D1201" t="inlineStr">
        <is>
          <t>STRÖMSUND</t>
        </is>
      </c>
      <c r="E1201" t="inlineStr">
        <is>
          <t>SCA</t>
        </is>
      </c>
      <c r="F1201" t="n">
        <v>6.2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</row>
    <row r="1202">
      <c r="A1202" t="inlineStr">
        <is>
          <t>A 67096-2021</t>
        </is>
      </c>
      <c r="B1202" s="1" t="n">
        <v>44522</v>
      </c>
      <c r="C1202" s="1" t="n">
        <v>45156</v>
      </c>
      <c r="D1202" t="inlineStr">
        <is>
          <t>STRÖMSUND</t>
        </is>
      </c>
      <c r="E1202" t="inlineStr">
        <is>
          <t>SCA</t>
        </is>
      </c>
      <c r="F1202" t="n">
        <v>9.300000000000001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</row>
    <row r="1203">
      <c r="A1203" t="inlineStr">
        <is>
          <t>A 67903-2021</t>
        </is>
      </c>
      <c r="B1203" s="1" t="n">
        <v>44525</v>
      </c>
      <c r="C1203" s="1" t="n">
        <v>45156</v>
      </c>
      <c r="D1203" t="inlineStr">
        <is>
          <t>STRÖMSUND</t>
        </is>
      </c>
      <c r="F1203" t="n">
        <v>9.1</v>
      </c>
      <c r="G1203" t="n">
        <v>0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</row>
    <row r="1204">
      <c r="A1204" t="inlineStr">
        <is>
          <t>A 68060-2021</t>
        </is>
      </c>
      <c r="B1204" s="1" t="n">
        <v>44525</v>
      </c>
      <c r="C1204" s="1" t="n">
        <v>45156</v>
      </c>
      <c r="D1204" t="inlineStr">
        <is>
          <t>STRÖMSUND</t>
        </is>
      </c>
      <c r="E1204" t="inlineStr">
        <is>
          <t>SCA</t>
        </is>
      </c>
      <c r="F1204" t="n">
        <v>3.8</v>
      </c>
      <c r="G1204" t="n">
        <v>0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</row>
    <row r="1205">
      <c r="A1205" t="inlineStr">
        <is>
          <t>A 67906-2021</t>
        </is>
      </c>
      <c r="B1205" s="1" t="n">
        <v>44525</v>
      </c>
      <c r="C1205" s="1" t="n">
        <v>45156</v>
      </c>
      <c r="D1205" t="inlineStr">
        <is>
          <t>STRÖMSUND</t>
        </is>
      </c>
      <c r="F1205" t="n">
        <v>6.7</v>
      </c>
      <c r="G1205" t="n">
        <v>0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</row>
    <row r="1206">
      <c r="A1206" t="inlineStr">
        <is>
          <t>A 68675-2021</t>
        </is>
      </c>
      <c r="B1206" s="1" t="n">
        <v>44529</v>
      </c>
      <c r="C1206" s="1" t="n">
        <v>45156</v>
      </c>
      <c r="D1206" t="inlineStr">
        <is>
          <t>STRÖMSUND</t>
        </is>
      </c>
      <c r="F1206" t="n">
        <v>1</v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</row>
    <row r="1207">
      <c r="A1207" t="inlineStr">
        <is>
          <t>A 69132-2021</t>
        </is>
      </c>
      <c r="B1207" s="1" t="n">
        <v>44530</v>
      </c>
      <c r="C1207" s="1" t="n">
        <v>45156</v>
      </c>
      <c r="D1207" t="inlineStr">
        <is>
          <t>STRÖMSUND</t>
        </is>
      </c>
      <c r="F1207" t="n">
        <v>4.5</v>
      </c>
      <c r="G1207" t="n">
        <v>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</row>
    <row r="1208">
      <c r="A1208" t="inlineStr">
        <is>
          <t>A 69144-2021</t>
        </is>
      </c>
      <c r="B1208" s="1" t="n">
        <v>44530</v>
      </c>
      <c r="C1208" s="1" t="n">
        <v>45156</v>
      </c>
      <c r="D1208" t="inlineStr">
        <is>
          <t>STRÖMSUND</t>
        </is>
      </c>
      <c r="E1208" t="inlineStr">
        <is>
          <t>SCA</t>
        </is>
      </c>
      <c r="F1208" t="n">
        <v>1.1</v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</row>
    <row r="1209">
      <c r="A1209" t="inlineStr">
        <is>
          <t>A 69143-2021</t>
        </is>
      </c>
      <c r="B1209" s="1" t="n">
        <v>44530</v>
      </c>
      <c r="C1209" s="1" t="n">
        <v>45156</v>
      </c>
      <c r="D1209" t="inlineStr">
        <is>
          <t>STRÖMSUND</t>
        </is>
      </c>
      <c r="E1209" t="inlineStr">
        <is>
          <t>SCA</t>
        </is>
      </c>
      <c r="F1209" t="n">
        <v>1.7</v>
      </c>
      <c r="G1209" t="n">
        <v>0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</row>
    <row r="1210">
      <c r="A1210" t="inlineStr">
        <is>
          <t>A 69553-2021</t>
        </is>
      </c>
      <c r="B1210" s="1" t="n">
        <v>44531</v>
      </c>
      <c r="C1210" s="1" t="n">
        <v>45156</v>
      </c>
      <c r="D1210" t="inlineStr">
        <is>
          <t>STRÖMSUND</t>
        </is>
      </c>
      <c r="E1210" t="inlineStr">
        <is>
          <t>SCA</t>
        </is>
      </c>
      <c r="F1210" t="n">
        <v>8.699999999999999</v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</row>
    <row r="1211">
      <c r="A1211" t="inlineStr">
        <is>
          <t>A 69811-2021</t>
        </is>
      </c>
      <c r="B1211" s="1" t="n">
        <v>44532</v>
      </c>
      <c r="C1211" s="1" t="n">
        <v>45156</v>
      </c>
      <c r="D1211" t="inlineStr">
        <is>
          <t>STRÖMSUND</t>
        </is>
      </c>
      <c r="F1211" t="n">
        <v>6.7</v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</row>
    <row r="1212">
      <c r="A1212" t="inlineStr">
        <is>
          <t>A 70531-2021</t>
        </is>
      </c>
      <c r="B1212" s="1" t="n">
        <v>44536</v>
      </c>
      <c r="C1212" s="1" t="n">
        <v>45156</v>
      </c>
      <c r="D1212" t="inlineStr">
        <is>
          <t>STRÖMSUND</t>
        </is>
      </c>
      <c r="E1212" t="inlineStr">
        <is>
          <t>SCA</t>
        </is>
      </c>
      <c r="F1212" t="n">
        <v>3</v>
      </c>
      <c r="G1212" t="n">
        <v>0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</row>
    <row r="1213">
      <c r="A1213" t="inlineStr">
        <is>
          <t>A 70529-2021</t>
        </is>
      </c>
      <c r="B1213" s="1" t="n">
        <v>44536</v>
      </c>
      <c r="C1213" s="1" t="n">
        <v>45156</v>
      </c>
      <c r="D1213" t="inlineStr">
        <is>
          <t>STRÖMSUND</t>
        </is>
      </c>
      <c r="E1213" t="inlineStr">
        <is>
          <t>SCA</t>
        </is>
      </c>
      <c r="F1213" t="n">
        <v>1.7</v>
      </c>
      <c r="G1213" t="n">
        <v>0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</row>
    <row r="1214">
      <c r="A1214" t="inlineStr">
        <is>
          <t>A 70511-2021</t>
        </is>
      </c>
      <c r="B1214" s="1" t="n">
        <v>44536</v>
      </c>
      <c r="C1214" s="1" t="n">
        <v>45156</v>
      </c>
      <c r="D1214" t="inlineStr">
        <is>
          <t>STRÖMSUND</t>
        </is>
      </c>
      <c r="E1214" t="inlineStr">
        <is>
          <t>SCA</t>
        </is>
      </c>
      <c r="F1214" t="n">
        <v>401.6</v>
      </c>
      <c r="G1214" t="n">
        <v>0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</row>
    <row r="1215">
      <c r="A1215" t="inlineStr">
        <is>
          <t>A 71912-2021</t>
        </is>
      </c>
      <c r="B1215" s="1" t="n">
        <v>44543</v>
      </c>
      <c r="C1215" s="1" t="n">
        <v>45156</v>
      </c>
      <c r="D1215" t="inlineStr">
        <is>
          <t>STRÖMSUND</t>
        </is>
      </c>
      <c r="F1215" t="n">
        <v>3.2</v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</row>
    <row r="1216">
      <c r="A1216" t="inlineStr">
        <is>
          <t>A 71914-2021</t>
        </is>
      </c>
      <c r="B1216" s="1" t="n">
        <v>44543</v>
      </c>
      <c r="C1216" s="1" t="n">
        <v>45156</v>
      </c>
      <c r="D1216" t="inlineStr">
        <is>
          <t>STRÖMSUND</t>
        </is>
      </c>
      <c r="F1216" t="n">
        <v>30</v>
      </c>
      <c r="G1216" t="n">
        <v>0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</row>
    <row r="1217">
      <c r="A1217" t="inlineStr">
        <is>
          <t>A 72629-2021</t>
        </is>
      </c>
      <c r="B1217" s="1" t="n">
        <v>44545</v>
      </c>
      <c r="C1217" s="1" t="n">
        <v>45156</v>
      </c>
      <c r="D1217" t="inlineStr">
        <is>
          <t>STRÖMSUND</t>
        </is>
      </c>
      <c r="F1217" t="n">
        <v>2.2</v>
      </c>
      <c r="G1217" t="n">
        <v>0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</row>
    <row r="1218">
      <c r="A1218" t="inlineStr">
        <is>
          <t>A 72543-2021</t>
        </is>
      </c>
      <c r="B1218" s="1" t="n">
        <v>44546</v>
      </c>
      <c r="C1218" s="1" t="n">
        <v>45156</v>
      </c>
      <c r="D1218" t="inlineStr">
        <is>
          <t>STRÖMSUND</t>
        </is>
      </c>
      <c r="F1218" t="n">
        <v>3.7</v>
      </c>
      <c r="G1218" t="n">
        <v>0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</row>
    <row r="1219">
      <c r="A1219" t="inlineStr">
        <is>
          <t>A 72749-2021</t>
        </is>
      </c>
      <c r="B1219" s="1" t="n">
        <v>44546</v>
      </c>
      <c r="C1219" s="1" t="n">
        <v>45156</v>
      </c>
      <c r="D1219" t="inlineStr">
        <is>
          <t>STRÖMSUND</t>
        </is>
      </c>
      <c r="F1219" t="n">
        <v>35.6</v>
      </c>
      <c r="G1219" t="n">
        <v>0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</row>
    <row r="1220">
      <c r="A1220" t="inlineStr">
        <is>
          <t>A 72827-2021</t>
        </is>
      </c>
      <c r="B1220" s="1" t="n">
        <v>44547</v>
      </c>
      <c r="C1220" s="1" t="n">
        <v>45156</v>
      </c>
      <c r="D1220" t="inlineStr">
        <is>
          <t>STRÖMSUND</t>
        </is>
      </c>
      <c r="F1220" t="n">
        <v>1.2</v>
      </c>
      <c r="G1220" t="n">
        <v>0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</row>
    <row r="1221">
      <c r="A1221" t="inlineStr">
        <is>
          <t>A 72956-2021</t>
        </is>
      </c>
      <c r="B1221" s="1" t="n">
        <v>44547</v>
      </c>
      <c r="C1221" s="1" t="n">
        <v>45156</v>
      </c>
      <c r="D1221" t="inlineStr">
        <is>
          <t>STRÖMSUND</t>
        </is>
      </c>
      <c r="E1221" t="inlineStr">
        <is>
          <t>SCA</t>
        </is>
      </c>
      <c r="F1221" t="n">
        <v>1.1</v>
      </c>
      <c r="G1221" t="n">
        <v>0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</row>
    <row r="1222">
      <c r="A1222" t="inlineStr">
        <is>
          <t>A 73288-2021</t>
        </is>
      </c>
      <c r="B1222" s="1" t="n">
        <v>44550</v>
      </c>
      <c r="C1222" s="1" t="n">
        <v>45156</v>
      </c>
      <c r="D1222" t="inlineStr">
        <is>
          <t>STRÖMSUND</t>
        </is>
      </c>
      <c r="E1222" t="inlineStr">
        <is>
          <t>SCA</t>
        </is>
      </c>
      <c r="F1222" t="n">
        <v>0.7</v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</row>
    <row r="1223">
      <c r="A1223" t="inlineStr">
        <is>
          <t>A 73289-2021</t>
        </is>
      </c>
      <c r="B1223" s="1" t="n">
        <v>44550</v>
      </c>
      <c r="C1223" s="1" t="n">
        <v>45156</v>
      </c>
      <c r="D1223" t="inlineStr">
        <is>
          <t>STRÖMSUND</t>
        </is>
      </c>
      <c r="E1223" t="inlineStr">
        <is>
          <t>SCA</t>
        </is>
      </c>
      <c r="F1223" t="n">
        <v>0.7</v>
      </c>
      <c r="G1223" t="n">
        <v>0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</row>
    <row r="1224">
      <c r="A1224" t="inlineStr">
        <is>
          <t>A 364-2022</t>
        </is>
      </c>
      <c r="B1224" s="1" t="n">
        <v>44565</v>
      </c>
      <c r="C1224" s="1" t="n">
        <v>45156</v>
      </c>
      <c r="D1224" t="inlineStr">
        <is>
          <t>STRÖMSUND</t>
        </is>
      </c>
      <c r="F1224" t="n">
        <v>9</v>
      </c>
      <c r="G1224" t="n">
        <v>0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</row>
    <row r="1225">
      <c r="A1225" t="inlineStr">
        <is>
          <t>A 817-2022</t>
        </is>
      </c>
      <c r="B1225" s="1" t="n">
        <v>44568</v>
      </c>
      <c r="C1225" s="1" t="n">
        <v>45156</v>
      </c>
      <c r="D1225" t="inlineStr">
        <is>
          <t>STRÖMSUND</t>
        </is>
      </c>
      <c r="F1225" t="n">
        <v>2.8</v>
      </c>
      <c r="G1225" t="n">
        <v>0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</row>
    <row r="1226">
      <c r="A1226" t="inlineStr">
        <is>
          <t>A 829-2022</t>
        </is>
      </c>
      <c r="B1226" s="1" t="n">
        <v>44568</v>
      </c>
      <c r="C1226" s="1" t="n">
        <v>45156</v>
      </c>
      <c r="D1226" t="inlineStr">
        <is>
          <t>STRÖMSUND</t>
        </is>
      </c>
      <c r="F1226" t="n">
        <v>2.5</v>
      </c>
      <c r="G1226" t="n">
        <v>0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</row>
    <row r="1227">
      <c r="A1227" t="inlineStr">
        <is>
          <t>A 1083-2022</t>
        </is>
      </c>
      <c r="B1227" s="1" t="n">
        <v>44571</v>
      </c>
      <c r="C1227" s="1" t="n">
        <v>45156</v>
      </c>
      <c r="D1227" t="inlineStr">
        <is>
          <t>STRÖMSUND</t>
        </is>
      </c>
      <c r="F1227" t="n">
        <v>1.8</v>
      </c>
      <c r="G1227" t="n">
        <v>0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</row>
    <row r="1228">
      <c r="A1228" t="inlineStr">
        <is>
          <t>A 1107-2022</t>
        </is>
      </c>
      <c r="B1228" s="1" t="n">
        <v>44571</v>
      </c>
      <c r="C1228" s="1" t="n">
        <v>45156</v>
      </c>
      <c r="D1228" t="inlineStr">
        <is>
          <t>STRÖMSUND</t>
        </is>
      </c>
      <c r="F1228" t="n">
        <v>5.2</v>
      </c>
      <c r="G1228" t="n">
        <v>0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</row>
    <row r="1229">
      <c r="A1229" t="inlineStr">
        <is>
          <t>A 1339-2022</t>
        </is>
      </c>
      <c r="B1229" s="1" t="n">
        <v>44572</v>
      </c>
      <c r="C1229" s="1" t="n">
        <v>45156</v>
      </c>
      <c r="D1229" t="inlineStr">
        <is>
          <t>STRÖMSUND</t>
        </is>
      </c>
      <c r="F1229" t="n">
        <v>3</v>
      </c>
      <c r="G1229" t="n">
        <v>0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</row>
    <row r="1230">
      <c r="A1230" t="inlineStr">
        <is>
          <t>A 2485-2022</t>
        </is>
      </c>
      <c r="B1230" s="1" t="n">
        <v>44579</v>
      </c>
      <c r="C1230" s="1" t="n">
        <v>45156</v>
      </c>
      <c r="D1230" t="inlineStr">
        <is>
          <t>STRÖMSUND</t>
        </is>
      </c>
      <c r="F1230" t="n">
        <v>2.4</v>
      </c>
      <c r="G1230" t="n">
        <v>0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</row>
    <row r="1231">
      <c r="A1231" t="inlineStr">
        <is>
          <t>A 2554-2022</t>
        </is>
      </c>
      <c r="B1231" s="1" t="n">
        <v>44579</v>
      </c>
      <c r="C1231" s="1" t="n">
        <v>45156</v>
      </c>
      <c r="D1231" t="inlineStr">
        <is>
          <t>STRÖMSUND</t>
        </is>
      </c>
      <c r="F1231" t="n">
        <v>5</v>
      </c>
      <c r="G1231" t="n">
        <v>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</row>
    <row r="1232">
      <c r="A1232" t="inlineStr">
        <is>
          <t>A 2760-2022</t>
        </is>
      </c>
      <c r="B1232" s="1" t="n">
        <v>44580</v>
      </c>
      <c r="C1232" s="1" t="n">
        <v>45156</v>
      </c>
      <c r="D1232" t="inlineStr">
        <is>
          <t>STRÖMSUND</t>
        </is>
      </c>
      <c r="E1232" t="inlineStr">
        <is>
          <t>SCA</t>
        </is>
      </c>
      <c r="F1232" t="n">
        <v>4.3</v>
      </c>
      <c r="G1232" t="n">
        <v>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</row>
    <row r="1233">
      <c r="A1233" t="inlineStr">
        <is>
          <t>A 3165-2022</t>
        </is>
      </c>
      <c r="B1233" s="1" t="n">
        <v>44582</v>
      </c>
      <c r="C1233" s="1" t="n">
        <v>45156</v>
      </c>
      <c r="D1233" t="inlineStr">
        <is>
          <t>STRÖMSUND</t>
        </is>
      </c>
      <c r="F1233" t="n">
        <v>2.5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</row>
    <row r="1234">
      <c r="A1234" t="inlineStr">
        <is>
          <t>A 3114-2022</t>
        </is>
      </c>
      <c r="B1234" s="1" t="n">
        <v>44582</v>
      </c>
      <c r="C1234" s="1" t="n">
        <v>45156</v>
      </c>
      <c r="D1234" t="inlineStr">
        <is>
          <t>STRÖMSUND</t>
        </is>
      </c>
      <c r="F1234" t="n">
        <v>7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</row>
    <row r="1235">
      <c r="A1235" t="inlineStr">
        <is>
          <t>A 3538-2022</t>
        </is>
      </c>
      <c r="B1235" s="1" t="n">
        <v>44585</v>
      </c>
      <c r="C1235" s="1" t="n">
        <v>45156</v>
      </c>
      <c r="D1235" t="inlineStr">
        <is>
          <t>STRÖMSUND</t>
        </is>
      </c>
      <c r="E1235" t="inlineStr">
        <is>
          <t>SCA</t>
        </is>
      </c>
      <c r="F1235" t="n">
        <v>6.6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</row>
    <row r="1236">
      <c r="A1236" t="inlineStr">
        <is>
          <t>A 3719-2022</t>
        </is>
      </c>
      <c r="B1236" s="1" t="n">
        <v>44586</v>
      </c>
      <c r="C1236" s="1" t="n">
        <v>45156</v>
      </c>
      <c r="D1236" t="inlineStr">
        <is>
          <t>STRÖMSUND</t>
        </is>
      </c>
      <c r="F1236" t="n">
        <v>1.1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</row>
    <row r="1237">
      <c r="A1237" t="inlineStr">
        <is>
          <t>A 3721-2022</t>
        </is>
      </c>
      <c r="B1237" s="1" t="n">
        <v>44586</v>
      </c>
      <c r="C1237" s="1" t="n">
        <v>45156</v>
      </c>
      <c r="D1237" t="inlineStr">
        <is>
          <t>STRÖMSUND</t>
        </is>
      </c>
      <c r="F1237" t="n">
        <v>0.6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</row>
    <row r="1238">
      <c r="A1238" t="inlineStr">
        <is>
          <t>A 4023-2022</t>
        </is>
      </c>
      <c r="B1238" s="1" t="n">
        <v>44587</v>
      </c>
      <c r="C1238" s="1" t="n">
        <v>45156</v>
      </c>
      <c r="D1238" t="inlineStr">
        <is>
          <t>STRÖMSUND</t>
        </is>
      </c>
      <c r="E1238" t="inlineStr">
        <is>
          <t>SCA</t>
        </is>
      </c>
      <c r="F1238" t="n">
        <v>15.2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</row>
    <row r="1239">
      <c r="A1239" t="inlineStr">
        <is>
          <t>A 4455-2022</t>
        </is>
      </c>
      <c r="B1239" s="1" t="n">
        <v>44589</v>
      </c>
      <c r="C1239" s="1" t="n">
        <v>45156</v>
      </c>
      <c r="D1239" t="inlineStr">
        <is>
          <t>STRÖMSUND</t>
        </is>
      </c>
      <c r="F1239" t="n">
        <v>2.8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</row>
    <row r="1240">
      <c r="A1240" t="inlineStr">
        <is>
          <t>A 4602-2022</t>
        </is>
      </c>
      <c r="B1240" s="1" t="n">
        <v>44589</v>
      </c>
      <c r="C1240" s="1" t="n">
        <v>45156</v>
      </c>
      <c r="D1240" t="inlineStr">
        <is>
          <t>STRÖMSUND</t>
        </is>
      </c>
      <c r="F1240" t="n">
        <v>9.5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</row>
    <row r="1241">
      <c r="A1241" t="inlineStr">
        <is>
          <t>A 4460-2022</t>
        </is>
      </c>
      <c r="B1241" s="1" t="n">
        <v>44589</v>
      </c>
      <c r="C1241" s="1" t="n">
        <v>45156</v>
      </c>
      <c r="D1241" t="inlineStr">
        <is>
          <t>STRÖMSUND</t>
        </is>
      </c>
      <c r="F1241" t="n">
        <v>4.5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</row>
    <row r="1242">
      <c r="A1242" t="inlineStr">
        <is>
          <t>A 4464-2022</t>
        </is>
      </c>
      <c r="B1242" s="1" t="n">
        <v>44589</v>
      </c>
      <c r="C1242" s="1" t="n">
        <v>45156</v>
      </c>
      <c r="D1242" t="inlineStr">
        <is>
          <t>STRÖMSUND</t>
        </is>
      </c>
      <c r="F1242" t="n">
        <v>5.4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</row>
    <row r="1243">
      <c r="A1243" t="inlineStr">
        <is>
          <t>A 4858-2022</t>
        </is>
      </c>
      <c r="B1243" s="1" t="n">
        <v>44592</v>
      </c>
      <c r="C1243" s="1" t="n">
        <v>45156</v>
      </c>
      <c r="D1243" t="inlineStr">
        <is>
          <t>STRÖMSUND</t>
        </is>
      </c>
      <c r="E1243" t="inlineStr">
        <is>
          <t>SCA</t>
        </is>
      </c>
      <c r="F1243" t="n">
        <v>4.4</v>
      </c>
      <c r="G1243" t="n">
        <v>0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</row>
    <row r="1244">
      <c r="A1244" t="inlineStr">
        <is>
          <t>A 4931-2022</t>
        </is>
      </c>
      <c r="B1244" s="1" t="n">
        <v>44593</v>
      </c>
      <c r="C1244" s="1" t="n">
        <v>45156</v>
      </c>
      <c r="D1244" t="inlineStr">
        <is>
          <t>STRÖMSUND</t>
        </is>
      </c>
      <c r="F1244" t="n">
        <v>41.9</v>
      </c>
      <c r="G1244" t="n">
        <v>0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</row>
    <row r="1245">
      <c r="A1245" t="inlineStr">
        <is>
          <t>A 5416-2022</t>
        </is>
      </c>
      <c r="B1245" s="1" t="n">
        <v>44595</v>
      </c>
      <c r="C1245" s="1" t="n">
        <v>45156</v>
      </c>
      <c r="D1245" t="inlineStr">
        <is>
          <t>STRÖMSUND</t>
        </is>
      </c>
      <c r="F1245" t="n">
        <v>1.9</v>
      </c>
      <c r="G1245" t="n">
        <v>0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</row>
    <row r="1246">
      <c r="A1246" t="inlineStr">
        <is>
          <t>A 6150-2022</t>
        </is>
      </c>
      <c r="B1246" s="1" t="n">
        <v>44599</v>
      </c>
      <c r="C1246" s="1" t="n">
        <v>45156</v>
      </c>
      <c r="D1246" t="inlineStr">
        <is>
          <t>STRÖMSUND</t>
        </is>
      </c>
      <c r="F1246" t="n">
        <v>0.9</v>
      </c>
      <c r="G1246" t="n">
        <v>0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</row>
    <row r="1247">
      <c r="A1247" t="inlineStr">
        <is>
          <t>A 6055-2022</t>
        </is>
      </c>
      <c r="B1247" s="1" t="n">
        <v>44599</v>
      </c>
      <c r="C1247" s="1" t="n">
        <v>45156</v>
      </c>
      <c r="D1247" t="inlineStr">
        <is>
          <t>STRÖMSUND</t>
        </is>
      </c>
      <c r="F1247" t="n">
        <v>2.8</v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</row>
    <row r="1248">
      <c r="A1248" t="inlineStr">
        <is>
          <t>A 7023-2022</t>
        </is>
      </c>
      <c r="B1248" s="1" t="n">
        <v>44603</v>
      </c>
      <c r="C1248" s="1" t="n">
        <v>45156</v>
      </c>
      <c r="D1248" t="inlineStr">
        <is>
          <t>STRÖMSUND</t>
        </is>
      </c>
      <c r="F1248" t="n">
        <v>11.6</v>
      </c>
      <c r="G1248" t="n">
        <v>0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</row>
    <row r="1249">
      <c r="A1249" t="inlineStr">
        <is>
          <t>A 7260-2022</t>
        </is>
      </c>
      <c r="B1249" s="1" t="n">
        <v>44606</v>
      </c>
      <c r="C1249" s="1" t="n">
        <v>45156</v>
      </c>
      <c r="D1249" t="inlineStr">
        <is>
          <t>STRÖMSUND</t>
        </is>
      </c>
      <c r="E1249" t="inlineStr">
        <is>
          <t>SCA</t>
        </is>
      </c>
      <c r="F1249" t="n">
        <v>76.40000000000001</v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</row>
    <row r="1250">
      <c r="A1250" t="inlineStr">
        <is>
          <t>A 8066-2022</t>
        </is>
      </c>
      <c r="B1250" s="1" t="n">
        <v>44609</v>
      </c>
      <c r="C1250" s="1" t="n">
        <v>45156</v>
      </c>
      <c r="D1250" t="inlineStr">
        <is>
          <t>STRÖMSUND</t>
        </is>
      </c>
      <c r="F1250" t="n">
        <v>11.9</v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</row>
    <row r="1251">
      <c r="A1251" t="inlineStr">
        <is>
          <t>A 8239-2022</t>
        </is>
      </c>
      <c r="B1251" s="1" t="n">
        <v>44609</v>
      </c>
      <c r="C1251" s="1" t="n">
        <v>45156</v>
      </c>
      <c r="D1251" t="inlineStr">
        <is>
          <t>STRÖMSUND</t>
        </is>
      </c>
      <c r="E1251" t="inlineStr">
        <is>
          <t>SCA</t>
        </is>
      </c>
      <c r="F1251" t="n">
        <v>1.4</v>
      </c>
      <c r="G1251" t="n">
        <v>0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</row>
    <row r="1252">
      <c r="A1252" t="inlineStr">
        <is>
          <t>A 9957-2022</t>
        </is>
      </c>
      <c r="B1252" s="1" t="n">
        <v>44620</v>
      </c>
      <c r="C1252" s="1" t="n">
        <v>45156</v>
      </c>
      <c r="D1252" t="inlineStr">
        <is>
          <t>STRÖMSUND</t>
        </is>
      </c>
      <c r="F1252" t="n">
        <v>1.2</v>
      </c>
      <c r="G1252" t="n">
        <v>0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</row>
    <row r="1253">
      <c r="A1253" t="inlineStr">
        <is>
          <t>A 10136-2022</t>
        </is>
      </c>
      <c r="B1253" s="1" t="n">
        <v>44621</v>
      </c>
      <c r="C1253" s="1" t="n">
        <v>45156</v>
      </c>
      <c r="D1253" t="inlineStr">
        <is>
          <t>STRÖMSUND</t>
        </is>
      </c>
      <c r="E1253" t="inlineStr">
        <is>
          <t>SCA</t>
        </is>
      </c>
      <c r="F1253" t="n">
        <v>0.4</v>
      </c>
      <c r="G1253" t="n">
        <v>0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</row>
    <row r="1254">
      <c r="A1254" t="inlineStr">
        <is>
          <t>A 10144-2022</t>
        </is>
      </c>
      <c r="B1254" s="1" t="n">
        <v>44621</v>
      </c>
      <c r="C1254" s="1" t="n">
        <v>45156</v>
      </c>
      <c r="D1254" t="inlineStr">
        <is>
          <t>STRÖMSUND</t>
        </is>
      </c>
      <c r="E1254" t="inlineStr">
        <is>
          <t>SCA</t>
        </is>
      </c>
      <c r="F1254" t="n">
        <v>7.3</v>
      </c>
      <c r="G1254" t="n">
        <v>0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</row>
    <row r="1255">
      <c r="A1255" t="inlineStr">
        <is>
          <t>A 10647-2022</t>
        </is>
      </c>
      <c r="B1255" s="1" t="n">
        <v>44624</v>
      </c>
      <c r="C1255" s="1" t="n">
        <v>45156</v>
      </c>
      <c r="D1255" t="inlineStr">
        <is>
          <t>STRÖMSUND</t>
        </is>
      </c>
      <c r="F1255" t="n">
        <v>1</v>
      </c>
      <c r="G1255" t="n">
        <v>0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</row>
    <row r="1256">
      <c r="A1256" t="inlineStr">
        <is>
          <t>A 10656-2022</t>
        </is>
      </c>
      <c r="B1256" s="1" t="n">
        <v>44624</v>
      </c>
      <c r="C1256" s="1" t="n">
        <v>45156</v>
      </c>
      <c r="D1256" t="inlineStr">
        <is>
          <t>STRÖMSUND</t>
        </is>
      </c>
      <c r="F1256" t="n">
        <v>2.5</v>
      </c>
      <c r="G1256" t="n">
        <v>0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</row>
    <row r="1257">
      <c r="A1257" t="inlineStr">
        <is>
          <t>A 10698-2022</t>
        </is>
      </c>
      <c r="B1257" s="1" t="n">
        <v>44624</v>
      </c>
      <c r="C1257" s="1" t="n">
        <v>45156</v>
      </c>
      <c r="D1257" t="inlineStr">
        <is>
          <t>STRÖMSUND</t>
        </is>
      </c>
      <c r="E1257" t="inlineStr">
        <is>
          <t>SCA</t>
        </is>
      </c>
      <c r="F1257" t="n">
        <v>0.3</v>
      </c>
      <c r="G1257" t="n">
        <v>0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</row>
    <row r="1258">
      <c r="A1258" t="inlineStr">
        <is>
          <t>A 10904-2022</t>
        </is>
      </c>
      <c r="B1258" s="1" t="n">
        <v>44627</v>
      </c>
      <c r="C1258" s="1" t="n">
        <v>45156</v>
      </c>
      <c r="D1258" t="inlineStr">
        <is>
          <t>STRÖMSUND</t>
        </is>
      </c>
      <c r="F1258" t="n">
        <v>4.3</v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</row>
    <row r="1259">
      <c r="A1259" t="inlineStr">
        <is>
          <t>A 11856-2022</t>
        </is>
      </c>
      <c r="B1259" s="1" t="n">
        <v>44635</v>
      </c>
      <c r="C1259" s="1" t="n">
        <v>45156</v>
      </c>
      <c r="D1259" t="inlineStr">
        <is>
          <t>STRÖMSUND</t>
        </is>
      </c>
      <c r="F1259" t="n">
        <v>7.4</v>
      </c>
      <c r="G1259" t="n">
        <v>0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</row>
    <row r="1260">
      <c r="A1260" t="inlineStr">
        <is>
          <t>A 12822-2022</t>
        </is>
      </c>
      <c r="B1260" s="1" t="n">
        <v>44642</v>
      </c>
      <c r="C1260" s="1" t="n">
        <v>45156</v>
      </c>
      <c r="D1260" t="inlineStr">
        <is>
          <t>STRÖMSUND</t>
        </is>
      </c>
      <c r="F1260" t="n">
        <v>2.2</v>
      </c>
      <c r="G1260" t="n">
        <v>0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</row>
    <row r="1261">
      <c r="A1261" t="inlineStr">
        <is>
          <t>A 13098-2022</t>
        </is>
      </c>
      <c r="B1261" s="1" t="n">
        <v>44643</v>
      </c>
      <c r="C1261" s="1" t="n">
        <v>45156</v>
      </c>
      <c r="D1261" t="inlineStr">
        <is>
          <t>STRÖMSUND</t>
        </is>
      </c>
      <c r="E1261" t="inlineStr">
        <is>
          <t>SCA</t>
        </is>
      </c>
      <c r="F1261" t="n">
        <v>1.2</v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</row>
    <row r="1262">
      <c r="A1262" t="inlineStr">
        <is>
          <t>A 14043-2022</t>
        </is>
      </c>
      <c r="B1262" s="1" t="n">
        <v>44650</v>
      </c>
      <c r="C1262" s="1" t="n">
        <v>45156</v>
      </c>
      <c r="D1262" t="inlineStr">
        <is>
          <t>STRÖMSUND</t>
        </is>
      </c>
      <c r="F1262" t="n">
        <v>11.6</v>
      </c>
      <c r="G1262" t="n">
        <v>0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</row>
    <row r="1263">
      <c r="A1263" t="inlineStr">
        <is>
          <t>A 14281-2022</t>
        </is>
      </c>
      <c r="B1263" s="1" t="n">
        <v>44651</v>
      </c>
      <c r="C1263" s="1" t="n">
        <v>45156</v>
      </c>
      <c r="D1263" t="inlineStr">
        <is>
          <t>STRÖMSUND</t>
        </is>
      </c>
      <c r="F1263" t="n">
        <v>2.9</v>
      </c>
      <c r="G1263" t="n">
        <v>0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</row>
    <row r="1264">
      <c r="A1264" t="inlineStr">
        <is>
          <t>A 14283-2022</t>
        </is>
      </c>
      <c r="B1264" s="1" t="n">
        <v>44651</v>
      </c>
      <c r="C1264" s="1" t="n">
        <v>45156</v>
      </c>
      <c r="D1264" t="inlineStr">
        <is>
          <t>STRÖMSUND</t>
        </is>
      </c>
      <c r="E1264" t="inlineStr">
        <is>
          <t>SCA</t>
        </is>
      </c>
      <c r="F1264" t="n">
        <v>10.6</v>
      </c>
      <c r="G1264" t="n">
        <v>0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</row>
    <row r="1265">
      <c r="A1265" t="inlineStr">
        <is>
          <t>A 14289-2022</t>
        </is>
      </c>
      <c r="B1265" s="1" t="n">
        <v>44651</v>
      </c>
      <c r="C1265" s="1" t="n">
        <v>45156</v>
      </c>
      <c r="D1265" t="inlineStr">
        <is>
          <t>STRÖMSUND</t>
        </is>
      </c>
      <c r="E1265" t="inlineStr">
        <is>
          <t>SCA</t>
        </is>
      </c>
      <c r="F1265" t="n">
        <v>6.1</v>
      </c>
      <c r="G1265" t="n">
        <v>0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</row>
    <row r="1266">
      <c r="A1266" t="inlineStr">
        <is>
          <t>A 14288-2022</t>
        </is>
      </c>
      <c r="B1266" s="1" t="n">
        <v>44651</v>
      </c>
      <c r="C1266" s="1" t="n">
        <v>45156</v>
      </c>
      <c r="D1266" t="inlineStr">
        <is>
          <t>STRÖMSUND</t>
        </is>
      </c>
      <c r="E1266" t="inlineStr">
        <is>
          <t>SCA</t>
        </is>
      </c>
      <c r="F1266" t="n">
        <v>3.7</v>
      </c>
      <c r="G1266" t="n">
        <v>0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</row>
    <row r="1267">
      <c r="A1267" t="inlineStr">
        <is>
          <t>A 14292-2022</t>
        </is>
      </c>
      <c r="B1267" s="1" t="n">
        <v>44651</v>
      </c>
      <c r="C1267" s="1" t="n">
        <v>45156</v>
      </c>
      <c r="D1267" t="inlineStr">
        <is>
          <t>STRÖMSUND</t>
        </is>
      </c>
      <c r="E1267" t="inlineStr">
        <is>
          <t>SCA</t>
        </is>
      </c>
      <c r="F1267" t="n">
        <v>4.5</v>
      </c>
      <c r="G1267" t="n">
        <v>0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</row>
    <row r="1268">
      <c r="A1268" t="inlineStr">
        <is>
          <t>A 14441-2022</t>
        </is>
      </c>
      <c r="B1268" s="1" t="n">
        <v>44652</v>
      </c>
      <c r="C1268" s="1" t="n">
        <v>45156</v>
      </c>
      <c r="D1268" t="inlineStr">
        <is>
          <t>STRÖMSUND</t>
        </is>
      </c>
      <c r="E1268" t="inlineStr">
        <is>
          <t>SCA</t>
        </is>
      </c>
      <c r="F1268" t="n">
        <v>1.4</v>
      </c>
      <c r="G1268" t="n">
        <v>0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</row>
    <row r="1269">
      <c r="A1269" t="inlineStr">
        <is>
          <t>A 14557-2022</t>
        </is>
      </c>
      <c r="B1269" s="1" t="n">
        <v>44655</v>
      </c>
      <c r="C1269" s="1" t="n">
        <v>45156</v>
      </c>
      <c r="D1269" t="inlineStr">
        <is>
          <t>STRÖMSUND</t>
        </is>
      </c>
      <c r="F1269" t="n">
        <v>3</v>
      </c>
      <c r="G1269" t="n">
        <v>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</row>
    <row r="1270">
      <c r="A1270" t="inlineStr">
        <is>
          <t>A 14703-2022</t>
        </is>
      </c>
      <c r="B1270" s="1" t="n">
        <v>44655</v>
      </c>
      <c r="C1270" s="1" t="n">
        <v>45156</v>
      </c>
      <c r="D1270" t="inlineStr">
        <is>
          <t>STRÖMSUND</t>
        </is>
      </c>
      <c r="E1270" t="inlineStr">
        <is>
          <t>SCA</t>
        </is>
      </c>
      <c r="F1270" t="n">
        <v>2.7</v>
      </c>
      <c r="G1270" t="n">
        <v>0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</row>
    <row r="1271">
      <c r="A1271" t="inlineStr">
        <is>
          <t>A 14550-2022</t>
        </is>
      </c>
      <c r="B1271" s="1" t="n">
        <v>44655</v>
      </c>
      <c r="C1271" s="1" t="n">
        <v>45156</v>
      </c>
      <c r="D1271" t="inlineStr">
        <is>
          <t>STRÖMSUND</t>
        </is>
      </c>
      <c r="F1271" t="n">
        <v>8</v>
      </c>
      <c r="G1271" t="n">
        <v>0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</row>
    <row r="1272">
      <c r="A1272" t="inlineStr">
        <is>
          <t>A 15141-2022</t>
        </is>
      </c>
      <c r="B1272" s="1" t="n">
        <v>44658</v>
      </c>
      <c r="C1272" s="1" t="n">
        <v>45156</v>
      </c>
      <c r="D1272" t="inlineStr">
        <is>
          <t>STRÖMSUND</t>
        </is>
      </c>
      <c r="F1272" t="n">
        <v>35</v>
      </c>
      <c r="G1272" t="n">
        <v>0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</row>
    <row r="1273">
      <c r="A1273" t="inlineStr">
        <is>
          <t>A 15149-2022</t>
        </is>
      </c>
      <c r="B1273" s="1" t="n">
        <v>44658</v>
      </c>
      <c r="C1273" s="1" t="n">
        <v>45156</v>
      </c>
      <c r="D1273" t="inlineStr">
        <is>
          <t>STRÖMSUND</t>
        </is>
      </c>
      <c r="F1273" t="n">
        <v>10.6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</row>
    <row r="1274">
      <c r="A1274" t="inlineStr">
        <is>
          <t>A 15259-2022</t>
        </is>
      </c>
      <c r="B1274" s="1" t="n">
        <v>44659</v>
      </c>
      <c r="C1274" s="1" t="n">
        <v>45156</v>
      </c>
      <c r="D1274" t="inlineStr">
        <is>
          <t>STRÖMSUND</t>
        </is>
      </c>
      <c r="F1274" t="n">
        <v>52.4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</row>
    <row r="1275">
      <c r="A1275" t="inlineStr">
        <is>
          <t>A 15522-2022</t>
        </is>
      </c>
      <c r="B1275" s="1" t="n">
        <v>44662</v>
      </c>
      <c r="C1275" s="1" t="n">
        <v>45156</v>
      </c>
      <c r="D1275" t="inlineStr">
        <is>
          <t>STRÖMSUND</t>
        </is>
      </c>
      <c r="F1275" t="n">
        <v>41.8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</row>
    <row r="1276">
      <c r="A1276" t="inlineStr">
        <is>
          <t>A 15546-2022</t>
        </is>
      </c>
      <c r="B1276" s="1" t="n">
        <v>44662</v>
      </c>
      <c r="C1276" s="1" t="n">
        <v>45156</v>
      </c>
      <c r="D1276" t="inlineStr">
        <is>
          <t>STRÖMSUND</t>
        </is>
      </c>
      <c r="F1276" t="n">
        <v>12.3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</row>
    <row r="1277">
      <c r="A1277" t="inlineStr">
        <is>
          <t>A 15407-2022</t>
        </is>
      </c>
      <c r="B1277" s="1" t="n">
        <v>44662</v>
      </c>
      <c r="C1277" s="1" t="n">
        <v>45156</v>
      </c>
      <c r="D1277" t="inlineStr">
        <is>
          <t>STRÖMSUND</t>
        </is>
      </c>
      <c r="F1277" t="n">
        <v>9.199999999999999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</row>
    <row r="1278">
      <c r="A1278" t="inlineStr">
        <is>
          <t>A 15971-2022</t>
        </is>
      </c>
      <c r="B1278" s="1" t="n">
        <v>44664</v>
      </c>
      <c r="C1278" s="1" t="n">
        <v>45156</v>
      </c>
      <c r="D1278" t="inlineStr">
        <is>
          <t>STRÖMSUND</t>
        </is>
      </c>
      <c r="E1278" t="inlineStr">
        <is>
          <t>SCA</t>
        </is>
      </c>
      <c r="F1278" t="n">
        <v>4.3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</row>
    <row r="1279">
      <c r="A1279" t="inlineStr">
        <is>
          <t>A 15865-2022</t>
        </is>
      </c>
      <c r="B1279" s="1" t="n">
        <v>44664</v>
      </c>
      <c r="C1279" s="1" t="n">
        <v>45156</v>
      </c>
      <c r="D1279" t="inlineStr">
        <is>
          <t>STRÖMSUND</t>
        </is>
      </c>
      <c r="F1279" t="n">
        <v>1.7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</row>
    <row r="1280">
      <c r="A1280" t="inlineStr">
        <is>
          <t>A 16140-2022</t>
        </is>
      </c>
      <c r="B1280" s="1" t="n">
        <v>44665</v>
      </c>
      <c r="C1280" s="1" t="n">
        <v>45156</v>
      </c>
      <c r="D1280" t="inlineStr">
        <is>
          <t>STRÖMSUND</t>
        </is>
      </c>
      <c r="F1280" t="n">
        <v>17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</row>
    <row r="1281">
      <c r="A1281" t="inlineStr">
        <is>
          <t>A 16317-2022</t>
        </is>
      </c>
      <c r="B1281" s="1" t="n">
        <v>44670</v>
      </c>
      <c r="C1281" s="1" t="n">
        <v>45156</v>
      </c>
      <c r="D1281" t="inlineStr">
        <is>
          <t>STRÖMSUND</t>
        </is>
      </c>
      <c r="F1281" t="n">
        <v>3.1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</row>
    <row r="1282">
      <c r="A1282" t="inlineStr">
        <is>
          <t>A 16311-2022</t>
        </is>
      </c>
      <c r="B1282" s="1" t="n">
        <v>44670</v>
      </c>
      <c r="C1282" s="1" t="n">
        <v>45156</v>
      </c>
      <c r="D1282" t="inlineStr">
        <is>
          <t>STRÖMSUND</t>
        </is>
      </c>
      <c r="F1282" t="n">
        <v>2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</row>
    <row r="1283">
      <c r="A1283" t="inlineStr">
        <is>
          <t>A 21844-2022</t>
        </is>
      </c>
      <c r="B1283" s="1" t="n">
        <v>44678</v>
      </c>
      <c r="C1283" s="1" t="n">
        <v>45156</v>
      </c>
      <c r="D1283" t="inlineStr">
        <is>
          <t>STRÖMSUND</t>
        </is>
      </c>
      <c r="F1283" t="n">
        <v>2.2</v>
      </c>
      <c r="G1283" t="n">
        <v>0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</row>
    <row r="1284">
      <c r="A1284" t="inlineStr">
        <is>
          <t>A 17752-2022</t>
        </is>
      </c>
      <c r="B1284" s="1" t="n">
        <v>44680</v>
      </c>
      <c r="C1284" s="1" t="n">
        <v>45156</v>
      </c>
      <c r="D1284" t="inlineStr">
        <is>
          <t>STRÖMSUND</t>
        </is>
      </c>
      <c r="E1284" t="inlineStr">
        <is>
          <t>SCA</t>
        </is>
      </c>
      <c r="F1284" t="n">
        <v>2.7</v>
      </c>
      <c r="G1284" t="n">
        <v>0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</row>
    <row r="1285">
      <c r="A1285" t="inlineStr">
        <is>
          <t>A 17754-2022</t>
        </is>
      </c>
      <c r="B1285" s="1" t="n">
        <v>44680</v>
      </c>
      <c r="C1285" s="1" t="n">
        <v>45156</v>
      </c>
      <c r="D1285" t="inlineStr">
        <is>
          <t>STRÖMSUND</t>
        </is>
      </c>
      <c r="E1285" t="inlineStr">
        <is>
          <t>SCA</t>
        </is>
      </c>
      <c r="F1285" t="n">
        <v>2.4</v>
      </c>
      <c r="G1285" t="n">
        <v>0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</row>
    <row r="1286">
      <c r="A1286" t="inlineStr">
        <is>
          <t>A 18205-2022</t>
        </is>
      </c>
      <c r="B1286" s="1" t="n">
        <v>44684</v>
      </c>
      <c r="C1286" s="1" t="n">
        <v>45156</v>
      </c>
      <c r="D1286" t="inlineStr">
        <is>
          <t>STRÖMSUND</t>
        </is>
      </c>
      <c r="E1286" t="inlineStr">
        <is>
          <t>SCA</t>
        </is>
      </c>
      <c r="F1286" t="n">
        <v>4.7</v>
      </c>
      <c r="G1286" t="n">
        <v>0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</row>
    <row r="1287">
      <c r="A1287" t="inlineStr">
        <is>
          <t>A 18572-2022</t>
        </is>
      </c>
      <c r="B1287" s="1" t="n">
        <v>44686</v>
      </c>
      <c r="C1287" s="1" t="n">
        <v>45156</v>
      </c>
      <c r="D1287" t="inlineStr">
        <is>
          <t>STRÖMSUND</t>
        </is>
      </c>
      <c r="E1287" t="inlineStr">
        <is>
          <t>SCA</t>
        </is>
      </c>
      <c r="F1287" t="n">
        <v>0.8</v>
      </c>
      <c r="G1287" t="n">
        <v>0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</row>
    <row r="1288">
      <c r="A1288" t="inlineStr">
        <is>
          <t>A 19209-2022</t>
        </is>
      </c>
      <c r="B1288" s="1" t="n">
        <v>44691</v>
      </c>
      <c r="C1288" s="1" t="n">
        <v>45156</v>
      </c>
      <c r="D1288" t="inlineStr">
        <is>
          <t>STRÖMSUND</t>
        </is>
      </c>
      <c r="E1288" t="inlineStr">
        <is>
          <t>SCA</t>
        </is>
      </c>
      <c r="F1288" t="n">
        <v>2.4</v>
      </c>
      <c r="G1288" t="n">
        <v>0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</row>
    <row r="1289">
      <c r="A1289" t="inlineStr">
        <is>
          <t>A 19823-2022</t>
        </is>
      </c>
      <c r="B1289" s="1" t="n">
        <v>44694</v>
      </c>
      <c r="C1289" s="1" t="n">
        <v>45156</v>
      </c>
      <c r="D1289" t="inlineStr">
        <is>
          <t>STRÖMSUND</t>
        </is>
      </c>
      <c r="E1289" t="inlineStr">
        <is>
          <t>SCA</t>
        </is>
      </c>
      <c r="F1289" t="n">
        <v>4.4</v>
      </c>
      <c r="G1289" t="n">
        <v>0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</row>
    <row r="1290">
      <c r="A1290" t="inlineStr">
        <is>
          <t>A 20073-2022</t>
        </is>
      </c>
      <c r="B1290" s="1" t="n">
        <v>44697</v>
      </c>
      <c r="C1290" s="1" t="n">
        <v>45156</v>
      </c>
      <c r="D1290" t="inlineStr">
        <is>
          <t>STRÖMSUND</t>
        </is>
      </c>
      <c r="E1290" t="inlineStr">
        <is>
          <t>SCA</t>
        </is>
      </c>
      <c r="F1290" t="n">
        <v>2</v>
      </c>
      <c r="G1290" t="n">
        <v>0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</row>
    <row r="1291">
      <c r="A1291" t="inlineStr">
        <is>
          <t>A 20072-2022</t>
        </is>
      </c>
      <c r="B1291" s="1" t="n">
        <v>44697</v>
      </c>
      <c r="C1291" s="1" t="n">
        <v>45156</v>
      </c>
      <c r="D1291" t="inlineStr">
        <is>
          <t>STRÖMSUND</t>
        </is>
      </c>
      <c r="E1291" t="inlineStr">
        <is>
          <t>SCA</t>
        </is>
      </c>
      <c r="F1291" t="n">
        <v>5</v>
      </c>
      <c r="G1291" t="n">
        <v>0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</row>
    <row r="1292">
      <c r="A1292" t="inlineStr">
        <is>
          <t>A 20266-2022</t>
        </is>
      </c>
      <c r="B1292" s="1" t="n">
        <v>44698</v>
      </c>
      <c r="C1292" s="1" t="n">
        <v>45156</v>
      </c>
      <c r="D1292" t="inlineStr">
        <is>
          <t>STRÖMSUND</t>
        </is>
      </c>
      <c r="F1292" t="n">
        <v>1.1</v>
      </c>
      <c r="G1292" t="n">
        <v>0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</row>
    <row r="1293">
      <c r="A1293" t="inlineStr">
        <is>
          <t>A 20334-2022</t>
        </is>
      </c>
      <c r="B1293" s="1" t="n">
        <v>44699</v>
      </c>
      <c r="C1293" s="1" t="n">
        <v>45156</v>
      </c>
      <c r="D1293" t="inlineStr">
        <is>
          <t>STRÖMSUND</t>
        </is>
      </c>
      <c r="E1293" t="inlineStr">
        <is>
          <t>Holmen skog AB</t>
        </is>
      </c>
      <c r="F1293" t="n">
        <v>0.6</v>
      </c>
      <c r="G1293" t="n">
        <v>0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</row>
    <row r="1294">
      <c r="A1294" t="inlineStr">
        <is>
          <t>A 20339-2022</t>
        </is>
      </c>
      <c r="B1294" s="1" t="n">
        <v>44699</v>
      </c>
      <c r="C1294" s="1" t="n">
        <v>45156</v>
      </c>
      <c r="D1294" t="inlineStr">
        <is>
          <t>STRÖMSUND</t>
        </is>
      </c>
      <c r="E1294" t="inlineStr">
        <is>
          <t>Holmen skog AB</t>
        </is>
      </c>
      <c r="F1294" t="n">
        <v>0.5</v>
      </c>
      <c r="G1294" t="n">
        <v>0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</row>
    <row r="1295">
      <c r="A1295" t="inlineStr">
        <is>
          <t>A 20432-2022</t>
        </is>
      </c>
      <c r="B1295" s="1" t="n">
        <v>44699</v>
      </c>
      <c r="C1295" s="1" t="n">
        <v>45156</v>
      </c>
      <c r="D1295" t="inlineStr">
        <is>
          <t>STRÖMSUND</t>
        </is>
      </c>
      <c r="E1295" t="inlineStr">
        <is>
          <t>SCA</t>
        </is>
      </c>
      <c r="F1295" t="n">
        <v>99.59999999999999</v>
      </c>
      <c r="G1295" t="n">
        <v>0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</row>
    <row r="1296">
      <c r="A1296" t="inlineStr">
        <is>
          <t>A 20331-2022</t>
        </is>
      </c>
      <c r="B1296" s="1" t="n">
        <v>44699</v>
      </c>
      <c r="C1296" s="1" t="n">
        <v>45156</v>
      </c>
      <c r="D1296" t="inlineStr">
        <is>
          <t>STRÖMSUND</t>
        </is>
      </c>
      <c r="E1296" t="inlineStr">
        <is>
          <t>Holmen skog AB</t>
        </is>
      </c>
      <c r="F1296" t="n">
        <v>0.8</v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</row>
    <row r="1297">
      <c r="A1297" t="inlineStr">
        <is>
          <t>A 20596-2022</t>
        </is>
      </c>
      <c r="B1297" s="1" t="n">
        <v>44700</v>
      </c>
      <c r="C1297" s="1" t="n">
        <v>45156</v>
      </c>
      <c r="D1297" t="inlineStr">
        <is>
          <t>STRÖMSUND</t>
        </is>
      </c>
      <c r="F1297" t="n">
        <v>13.6</v>
      </c>
      <c r="G1297" t="n">
        <v>0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</row>
    <row r="1298">
      <c r="A1298" t="inlineStr">
        <is>
          <t>A 20708-2022</t>
        </is>
      </c>
      <c r="B1298" s="1" t="n">
        <v>44700</v>
      </c>
      <c r="C1298" s="1" t="n">
        <v>45156</v>
      </c>
      <c r="D1298" t="inlineStr">
        <is>
          <t>STRÖMSUND</t>
        </is>
      </c>
      <c r="E1298" t="inlineStr">
        <is>
          <t>SCA</t>
        </is>
      </c>
      <c r="F1298" t="n">
        <v>1.4</v>
      </c>
      <c r="G1298" t="n">
        <v>0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</row>
    <row r="1299">
      <c r="A1299" t="inlineStr">
        <is>
          <t>A 20965-2022</t>
        </is>
      </c>
      <c r="B1299" s="1" t="n">
        <v>44701</v>
      </c>
      <c r="C1299" s="1" t="n">
        <v>45156</v>
      </c>
      <c r="D1299" t="inlineStr">
        <is>
          <t>STRÖMSUND</t>
        </is>
      </c>
      <c r="E1299" t="inlineStr">
        <is>
          <t>SCA</t>
        </is>
      </c>
      <c r="F1299" t="n">
        <v>4.1</v>
      </c>
      <c r="G1299" t="n">
        <v>0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</row>
    <row r="1300">
      <c r="A1300" t="inlineStr">
        <is>
          <t>A 20865-2022</t>
        </is>
      </c>
      <c r="B1300" s="1" t="n">
        <v>44701</v>
      </c>
      <c r="C1300" s="1" t="n">
        <v>45156</v>
      </c>
      <c r="D1300" t="inlineStr">
        <is>
          <t>STRÖMSUND</t>
        </is>
      </c>
      <c r="E1300" t="inlineStr">
        <is>
          <t>Holmen skog AB</t>
        </is>
      </c>
      <c r="F1300" t="n">
        <v>10.2</v>
      </c>
      <c r="G1300" t="n">
        <v>0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</row>
    <row r="1301">
      <c r="A1301" t="inlineStr">
        <is>
          <t>A 21812-2022</t>
        </is>
      </c>
      <c r="B1301" s="1" t="n">
        <v>44708</v>
      </c>
      <c r="C1301" s="1" t="n">
        <v>45156</v>
      </c>
      <c r="D1301" t="inlineStr">
        <is>
          <t>STRÖMSUND</t>
        </is>
      </c>
      <c r="E1301" t="inlineStr">
        <is>
          <t>SCA</t>
        </is>
      </c>
      <c r="F1301" t="n">
        <v>12.6</v>
      </c>
      <c r="G1301" t="n">
        <v>0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</row>
    <row r="1302">
      <c r="A1302" t="inlineStr">
        <is>
          <t>A 21771-2022</t>
        </is>
      </c>
      <c r="B1302" s="1" t="n">
        <v>44708</v>
      </c>
      <c r="C1302" s="1" t="n">
        <v>45156</v>
      </c>
      <c r="D1302" t="inlineStr">
        <is>
          <t>STRÖMSUND</t>
        </is>
      </c>
      <c r="F1302" t="n">
        <v>10</v>
      </c>
      <c r="G1302" t="n">
        <v>0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</row>
    <row r="1303">
      <c r="A1303" t="inlineStr">
        <is>
          <t>A 22026-2022</t>
        </is>
      </c>
      <c r="B1303" s="1" t="n">
        <v>44711</v>
      </c>
      <c r="C1303" s="1" t="n">
        <v>45156</v>
      </c>
      <c r="D1303" t="inlineStr">
        <is>
          <t>STRÖMSUND</t>
        </is>
      </c>
      <c r="F1303" t="n">
        <v>5.8</v>
      </c>
      <c r="G1303" t="n">
        <v>0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</row>
    <row r="1304">
      <c r="A1304" t="inlineStr">
        <is>
          <t>A 22338-2022</t>
        </is>
      </c>
      <c r="B1304" s="1" t="n">
        <v>44712</v>
      </c>
      <c r="C1304" s="1" t="n">
        <v>45156</v>
      </c>
      <c r="D1304" t="inlineStr">
        <is>
          <t>STRÖMSUND</t>
        </is>
      </c>
      <c r="E1304" t="inlineStr">
        <is>
          <t>SCA</t>
        </is>
      </c>
      <c r="F1304" t="n">
        <v>4.6</v>
      </c>
      <c r="G1304" t="n">
        <v>0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</row>
    <row r="1305">
      <c r="A1305" t="inlineStr">
        <is>
          <t>A 22558-2022</t>
        </is>
      </c>
      <c r="B1305" s="1" t="n">
        <v>44713</v>
      </c>
      <c r="C1305" s="1" t="n">
        <v>45156</v>
      </c>
      <c r="D1305" t="inlineStr">
        <is>
          <t>STRÖMSUND</t>
        </is>
      </c>
      <c r="E1305" t="inlineStr">
        <is>
          <t>SCA</t>
        </is>
      </c>
      <c r="F1305" t="n">
        <v>9.199999999999999</v>
      </c>
      <c r="G1305" t="n">
        <v>0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</row>
    <row r="1306">
      <c r="A1306" t="inlineStr">
        <is>
          <t>A 22564-2022</t>
        </is>
      </c>
      <c r="B1306" s="1" t="n">
        <v>44713</v>
      </c>
      <c r="C1306" s="1" t="n">
        <v>45156</v>
      </c>
      <c r="D1306" t="inlineStr">
        <is>
          <t>STRÖMSUND</t>
        </is>
      </c>
      <c r="E1306" t="inlineStr">
        <is>
          <t>SCA</t>
        </is>
      </c>
      <c r="F1306" t="n">
        <v>7.9</v>
      </c>
      <c r="G1306" t="n">
        <v>0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</row>
    <row r="1307">
      <c r="A1307" t="inlineStr">
        <is>
          <t>A 22659-2022</t>
        </is>
      </c>
      <c r="B1307" s="1" t="n">
        <v>44714</v>
      </c>
      <c r="C1307" s="1" t="n">
        <v>45156</v>
      </c>
      <c r="D1307" t="inlineStr">
        <is>
          <t>STRÖMSUND</t>
        </is>
      </c>
      <c r="F1307" t="n">
        <v>2.6</v>
      </c>
      <c r="G1307" t="n">
        <v>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</row>
    <row r="1308">
      <c r="A1308" t="inlineStr">
        <is>
          <t>A 22616-2022</t>
        </is>
      </c>
      <c r="B1308" s="1" t="n">
        <v>44714</v>
      </c>
      <c r="C1308" s="1" t="n">
        <v>45156</v>
      </c>
      <c r="D1308" t="inlineStr">
        <is>
          <t>STRÖMSUND</t>
        </is>
      </c>
      <c r="F1308" t="n">
        <v>0.7</v>
      </c>
      <c r="G1308" t="n">
        <v>0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</row>
    <row r="1309">
      <c r="A1309" t="inlineStr">
        <is>
          <t>A 22814-2022</t>
        </is>
      </c>
      <c r="B1309" s="1" t="n">
        <v>44715</v>
      </c>
      <c r="C1309" s="1" t="n">
        <v>45156</v>
      </c>
      <c r="D1309" t="inlineStr">
        <is>
          <t>STRÖMSUND</t>
        </is>
      </c>
      <c r="F1309" t="n">
        <v>6.5</v>
      </c>
      <c r="G1309" t="n">
        <v>0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</row>
    <row r="1310">
      <c r="A1310" t="inlineStr">
        <is>
          <t>A 22961-2022</t>
        </is>
      </c>
      <c r="B1310" s="1" t="n">
        <v>44715</v>
      </c>
      <c r="C1310" s="1" t="n">
        <v>45156</v>
      </c>
      <c r="D1310" t="inlineStr">
        <is>
          <t>STRÖMSUND</t>
        </is>
      </c>
      <c r="E1310" t="inlineStr">
        <is>
          <t>SCA</t>
        </is>
      </c>
      <c r="F1310" t="n">
        <v>4.8</v>
      </c>
      <c r="G1310" t="n">
        <v>0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</row>
    <row r="1311">
      <c r="A1311" t="inlineStr">
        <is>
          <t>A 23128-2022</t>
        </is>
      </c>
      <c r="B1311" s="1" t="n">
        <v>44719</v>
      </c>
      <c r="C1311" s="1" t="n">
        <v>45156</v>
      </c>
      <c r="D1311" t="inlineStr">
        <is>
          <t>STRÖMSUND</t>
        </is>
      </c>
      <c r="F1311" t="n">
        <v>3.7</v>
      </c>
      <c r="G1311" t="n">
        <v>0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</row>
    <row r="1312">
      <c r="A1312" t="inlineStr">
        <is>
          <t>A 23209-2022</t>
        </is>
      </c>
      <c r="B1312" s="1" t="n">
        <v>44719</v>
      </c>
      <c r="C1312" s="1" t="n">
        <v>45156</v>
      </c>
      <c r="D1312" t="inlineStr">
        <is>
          <t>STRÖMSUND</t>
        </is>
      </c>
      <c r="E1312" t="inlineStr">
        <is>
          <t>SCA</t>
        </is>
      </c>
      <c r="F1312" t="n">
        <v>5.2</v>
      </c>
      <c r="G1312" t="n">
        <v>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</row>
    <row r="1313">
      <c r="A1313" t="inlineStr">
        <is>
          <t>A 24488-2022</t>
        </is>
      </c>
      <c r="B1313" s="1" t="n">
        <v>44726</v>
      </c>
      <c r="C1313" s="1" t="n">
        <v>45156</v>
      </c>
      <c r="D1313" t="inlineStr">
        <is>
          <t>STRÖMSUND</t>
        </is>
      </c>
      <c r="F1313" t="n">
        <v>19.1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</row>
    <row r="1314">
      <c r="A1314" t="inlineStr">
        <is>
          <t>A 24509-2022</t>
        </is>
      </c>
      <c r="B1314" s="1" t="n">
        <v>44726</v>
      </c>
      <c r="C1314" s="1" t="n">
        <v>45156</v>
      </c>
      <c r="D1314" t="inlineStr">
        <is>
          <t>STRÖMSUND</t>
        </is>
      </c>
      <c r="F1314" t="n">
        <v>6.9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</row>
    <row r="1315">
      <c r="A1315" t="inlineStr">
        <is>
          <t>A 24508-2022</t>
        </is>
      </c>
      <c r="B1315" s="1" t="n">
        <v>44726</v>
      </c>
      <c r="C1315" s="1" t="n">
        <v>45156</v>
      </c>
      <c r="D1315" t="inlineStr">
        <is>
          <t>STRÖMSUND</t>
        </is>
      </c>
      <c r="F1315" t="n">
        <v>5.2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</row>
    <row r="1316">
      <c r="A1316" t="inlineStr">
        <is>
          <t>A 24728-2022</t>
        </is>
      </c>
      <c r="B1316" s="1" t="n">
        <v>44727</v>
      </c>
      <c r="C1316" s="1" t="n">
        <v>45156</v>
      </c>
      <c r="D1316" t="inlineStr">
        <is>
          <t>STRÖMSUND</t>
        </is>
      </c>
      <c r="E1316" t="inlineStr">
        <is>
          <t>SCA</t>
        </is>
      </c>
      <c r="F1316" t="n">
        <v>2.8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</row>
    <row r="1317">
      <c r="A1317" t="inlineStr">
        <is>
          <t>A 24928-2022</t>
        </is>
      </c>
      <c r="B1317" s="1" t="n">
        <v>44728</v>
      </c>
      <c r="C1317" s="1" t="n">
        <v>45156</v>
      </c>
      <c r="D1317" t="inlineStr">
        <is>
          <t>STRÖMSUND</t>
        </is>
      </c>
      <c r="E1317" t="inlineStr">
        <is>
          <t>Kyrkan</t>
        </is>
      </c>
      <c r="F1317" t="n">
        <v>11.1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</row>
    <row r="1318">
      <c r="A1318" t="inlineStr">
        <is>
          <t>A 24918-2022</t>
        </is>
      </c>
      <c r="B1318" s="1" t="n">
        <v>44728</v>
      </c>
      <c r="C1318" s="1" t="n">
        <v>45156</v>
      </c>
      <c r="D1318" t="inlineStr">
        <is>
          <t>STRÖMSUND</t>
        </is>
      </c>
      <c r="E1318" t="inlineStr">
        <is>
          <t>Kyrkan</t>
        </is>
      </c>
      <c r="F1318" t="n">
        <v>2.2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</row>
    <row r="1319">
      <c r="A1319" t="inlineStr">
        <is>
          <t>A 24965-2022</t>
        </is>
      </c>
      <c r="B1319" s="1" t="n">
        <v>44728</v>
      </c>
      <c r="C1319" s="1" t="n">
        <v>45156</v>
      </c>
      <c r="D1319" t="inlineStr">
        <is>
          <t>STRÖMSUND</t>
        </is>
      </c>
      <c r="F1319" t="n">
        <v>20.5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</row>
    <row r="1320">
      <c r="A1320" t="inlineStr">
        <is>
          <t>A 25021-2022</t>
        </is>
      </c>
      <c r="B1320" s="1" t="n">
        <v>44728</v>
      </c>
      <c r="C1320" s="1" t="n">
        <v>45156</v>
      </c>
      <c r="D1320" t="inlineStr">
        <is>
          <t>STRÖMSUND</t>
        </is>
      </c>
      <c r="E1320" t="inlineStr">
        <is>
          <t>SCA</t>
        </is>
      </c>
      <c r="F1320" t="n">
        <v>2.4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</row>
    <row r="1321">
      <c r="A1321" t="inlineStr">
        <is>
          <t>A 25018-2022</t>
        </is>
      </c>
      <c r="B1321" s="1" t="n">
        <v>44728</v>
      </c>
      <c r="C1321" s="1" t="n">
        <v>45156</v>
      </c>
      <c r="D1321" t="inlineStr">
        <is>
          <t>STRÖMSUND</t>
        </is>
      </c>
      <c r="E1321" t="inlineStr">
        <is>
          <t>SCA</t>
        </is>
      </c>
      <c r="F1321" t="n">
        <v>8.4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</row>
    <row r="1322">
      <c r="A1322" t="inlineStr">
        <is>
          <t>A 25085-2022</t>
        </is>
      </c>
      <c r="B1322" s="1" t="n">
        <v>44729</v>
      </c>
      <c r="C1322" s="1" t="n">
        <v>45156</v>
      </c>
      <c r="D1322" t="inlineStr">
        <is>
          <t>STRÖMSUND</t>
        </is>
      </c>
      <c r="F1322" t="n">
        <v>4.9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</row>
    <row r="1323">
      <c r="A1323" t="inlineStr">
        <is>
          <t>A 25662-2022</t>
        </is>
      </c>
      <c r="B1323" s="1" t="n">
        <v>44732</v>
      </c>
      <c r="C1323" s="1" t="n">
        <v>45156</v>
      </c>
      <c r="D1323" t="inlineStr">
        <is>
          <t>STRÖMSUND</t>
        </is>
      </c>
      <c r="E1323" t="inlineStr">
        <is>
          <t>SCA</t>
        </is>
      </c>
      <c r="F1323" t="n">
        <v>0.8</v>
      </c>
      <c r="G1323" t="n">
        <v>0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</row>
    <row r="1324">
      <c r="A1324" t="inlineStr">
        <is>
          <t>A 25843-2022</t>
        </is>
      </c>
      <c r="B1324" s="1" t="n">
        <v>44733</v>
      </c>
      <c r="C1324" s="1" t="n">
        <v>45156</v>
      </c>
      <c r="D1324" t="inlineStr">
        <is>
          <t>STRÖMSUND</t>
        </is>
      </c>
      <c r="E1324" t="inlineStr">
        <is>
          <t>Kyrkan</t>
        </is>
      </c>
      <c r="F1324" t="n">
        <v>12.2</v>
      </c>
      <c r="G1324" t="n">
        <v>0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</row>
    <row r="1325">
      <c r="A1325" t="inlineStr">
        <is>
          <t>A 26132-2022</t>
        </is>
      </c>
      <c r="B1325" s="1" t="n">
        <v>44734</v>
      </c>
      <c r="C1325" s="1" t="n">
        <v>45156</v>
      </c>
      <c r="D1325" t="inlineStr">
        <is>
          <t>STRÖMSUND</t>
        </is>
      </c>
      <c r="E1325" t="inlineStr">
        <is>
          <t>SCA</t>
        </is>
      </c>
      <c r="F1325" t="n">
        <v>1.3</v>
      </c>
      <c r="G1325" t="n">
        <v>0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</row>
    <row r="1326">
      <c r="A1326" t="inlineStr">
        <is>
          <t>A 27032-2022</t>
        </is>
      </c>
      <c r="B1326" s="1" t="n">
        <v>44740</v>
      </c>
      <c r="C1326" s="1" t="n">
        <v>45156</v>
      </c>
      <c r="D1326" t="inlineStr">
        <is>
          <t>STRÖMSUND</t>
        </is>
      </c>
      <c r="E1326" t="inlineStr">
        <is>
          <t>SCA</t>
        </is>
      </c>
      <c r="F1326" t="n">
        <v>2.2</v>
      </c>
      <c r="G1326" t="n">
        <v>0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</row>
    <row r="1327">
      <c r="A1327" t="inlineStr">
        <is>
          <t>A 27290-2022</t>
        </is>
      </c>
      <c r="B1327" s="1" t="n">
        <v>44741</v>
      </c>
      <c r="C1327" s="1" t="n">
        <v>45156</v>
      </c>
      <c r="D1327" t="inlineStr">
        <is>
          <t>STRÖMSUND</t>
        </is>
      </c>
      <c r="E1327" t="inlineStr">
        <is>
          <t>SCA</t>
        </is>
      </c>
      <c r="F1327" t="n">
        <v>5.8</v>
      </c>
      <c r="G1327" t="n">
        <v>0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</row>
    <row r="1328">
      <c r="A1328" t="inlineStr">
        <is>
          <t>A 27334-2022</t>
        </is>
      </c>
      <c r="B1328" s="1" t="n">
        <v>44742</v>
      </c>
      <c r="C1328" s="1" t="n">
        <v>45156</v>
      </c>
      <c r="D1328" t="inlineStr">
        <is>
          <t>STRÖMSUND</t>
        </is>
      </c>
      <c r="F1328" t="n">
        <v>1.3</v>
      </c>
      <c r="G1328" t="n">
        <v>0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</row>
    <row r="1329">
      <c r="A1329" t="inlineStr">
        <is>
          <t>A 27596-2022</t>
        </is>
      </c>
      <c r="B1329" s="1" t="n">
        <v>44742</v>
      </c>
      <c r="C1329" s="1" t="n">
        <v>45156</v>
      </c>
      <c r="D1329" t="inlineStr">
        <is>
          <t>STRÖMSUND</t>
        </is>
      </c>
      <c r="E1329" t="inlineStr">
        <is>
          <t>SCA</t>
        </is>
      </c>
      <c r="F1329" t="n">
        <v>1.8</v>
      </c>
      <c r="G1329" t="n">
        <v>0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</row>
    <row r="1330">
      <c r="A1330" t="inlineStr">
        <is>
          <t>A 27584-2022</t>
        </is>
      </c>
      <c r="B1330" s="1" t="n">
        <v>44742</v>
      </c>
      <c r="C1330" s="1" t="n">
        <v>45156</v>
      </c>
      <c r="D1330" t="inlineStr">
        <is>
          <t>STRÖMSUND</t>
        </is>
      </c>
      <c r="E1330" t="inlineStr">
        <is>
          <t>SCA</t>
        </is>
      </c>
      <c r="F1330" t="n">
        <v>0.5</v>
      </c>
      <c r="G1330" t="n">
        <v>0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</row>
    <row r="1331">
      <c r="A1331" t="inlineStr">
        <is>
          <t>A 27585-2022</t>
        </is>
      </c>
      <c r="B1331" s="1" t="n">
        <v>44742</v>
      </c>
      <c r="C1331" s="1" t="n">
        <v>45156</v>
      </c>
      <c r="D1331" t="inlineStr">
        <is>
          <t>STRÖMSUND</t>
        </is>
      </c>
      <c r="E1331" t="inlineStr">
        <is>
          <t>SCA</t>
        </is>
      </c>
      <c r="F1331" t="n">
        <v>3.2</v>
      </c>
      <c r="G1331" t="n">
        <v>0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</row>
    <row r="1332">
      <c r="A1332" t="inlineStr">
        <is>
          <t>A 27739-2022</t>
        </is>
      </c>
      <c r="B1332" s="1" t="n">
        <v>44743</v>
      </c>
      <c r="C1332" s="1" t="n">
        <v>45156</v>
      </c>
      <c r="D1332" t="inlineStr">
        <is>
          <t>STRÖMSUND</t>
        </is>
      </c>
      <c r="E1332" t="inlineStr">
        <is>
          <t>Holmen skog AB</t>
        </is>
      </c>
      <c r="F1332" t="n">
        <v>18.8</v>
      </c>
      <c r="G1332" t="n">
        <v>0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</row>
    <row r="1333">
      <c r="A1333" t="inlineStr">
        <is>
          <t>A 27930-2022</t>
        </is>
      </c>
      <c r="B1333" s="1" t="n">
        <v>44743</v>
      </c>
      <c r="C1333" s="1" t="n">
        <v>45156</v>
      </c>
      <c r="D1333" t="inlineStr">
        <is>
          <t>STRÖMSUND</t>
        </is>
      </c>
      <c r="E1333" t="inlineStr">
        <is>
          <t>SCA</t>
        </is>
      </c>
      <c r="F1333" t="n">
        <v>2.4</v>
      </c>
      <c r="G1333" t="n">
        <v>0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</row>
    <row r="1334">
      <c r="A1334" t="inlineStr">
        <is>
          <t>A 28207-2022</t>
        </is>
      </c>
      <c r="B1334" s="1" t="n">
        <v>44746</v>
      </c>
      <c r="C1334" s="1" t="n">
        <v>45156</v>
      </c>
      <c r="D1334" t="inlineStr">
        <is>
          <t>STRÖMSUND</t>
        </is>
      </c>
      <c r="F1334" t="n">
        <v>7.5</v>
      </c>
      <c r="G1334" t="n">
        <v>0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</row>
    <row r="1335">
      <c r="A1335" t="inlineStr">
        <is>
          <t>A 28286-2022</t>
        </is>
      </c>
      <c r="B1335" s="1" t="n">
        <v>44746</v>
      </c>
      <c r="C1335" s="1" t="n">
        <v>45156</v>
      </c>
      <c r="D1335" t="inlineStr">
        <is>
          <t>STRÖMSUND</t>
        </is>
      </c>
      <c r="E1335" t="inlineStr">
        <is>
          <t>SCA</t>
        </is>
      </c>
      <c r="F1335" t="n">
        <v>4.9</v>
      </c>
      <c r="G1335" t="n">
        <v>0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</row>
    <row r="1336">
      <c r="A1336" t="inlineStr">
        <is>
          <t>A 28493-2022</t>
        </is>
      </c>
      <c r="B1336" s="1" t="n">
        <v>44747</v>
      </c>
      <c r="C1336" s="1" t="n">
        <v>45156</v>
      </c>
      <c r="D1336" t="inlineStr">
        <is>
          <t>STRÖMSUND</t>
        </is>
      </c>
      <c r="E1336" t="inlineStr">
        <is>
          <t>SCA</t>
        </is>
      </c>
      <c r="F1336" t="n">
        <v>1.8</v>
      </c>
      <c r="G1336" t="n">
        <v>0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</row>
    <row r="1337">
      <c r="A1337" t="inlineStr">
        <is>
          <t>A 28483-2022</t>
        </is>
      </c>
      <c r="B1337" s="1" t="n">
        <v>44747</v>
      </c>
      <c r="C1337" s="1" t="n">
        <v>45156</v>
      </c>
      <c r="D1337" t="inlineStr">
        <is>
          <t>STRÖMSUND</t>
        </is>
      </c>
      <c r="E1337" t="inlineStr">
        <is>
          <t>SCA</t>
        </is>
      </c>
      <c r="F1337" t="n">
        <v>1.7</v>
      </c>
      <c r="G1337" t="n">
        <v>0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</row>
    <row r="1338">
      <c r="A1338" t="inlineStr">
        <is>
          <t>A 28533-2022</t>
        </is>
      </c>
      <c r="B1338" s="1" t="n">
        <v>44748</v>
      </c>
      <c r="C1338" s="1" t="n">
        <v>45156</v>
      </c>
      <c r="D1338" t="inlineStr">
        <is>
          <t>STRÖMSUND</t>
        </is>
      </c>
      <c r="E1338" t="inlineStr">
        <is>
          <t>SCA</t>
        </is>
      </c>
      <c r="F1338" t="n">
        <v>4.6</v>
      </c>
      <c r="G1338" t="n">
        <v>0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</row>
    <row r="1339">
      <c r="A1339" t="inlineStr">
        <is>
          <t>A 28734-2022</t>
        </is>
      </c>
      <c r="B1339" s="1" t="n">
        <v>44748</v>
      </c>
      <c r="C1339" s="1" t="n">
        <v>45156</v>
      </c>
      <c r="D1339" t="inlineStr">
        <is>
          <t>STRÖMSUND</t>
        </is>
      </c>
      <c r="E1339" t="inlineStr">
        <is>
          <t>SCA</t>
        </is>
      </c>
      <c r="F1339" t="n">
        <v>2.1</v>
      </c>
      <c r="G1339" t="n">
        <v>0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</row>
    <row r="1340">
      <c r="A1340" t="inlineStr">
        <is>
          <t>A 28520-2022</t>
        </is>
      </c>
      <c r="B1340" s="1" t="n">
        <v>44748</v>
      </c>
      <c r="C1340" s="1" t="n">
        <v>45156</v>
      </c>
      <c r="D1340" t="inlineStr">
        <is>
          <t>STRÖMSUND</t>
        </is>
      </c>
      <c r="E1340" t="inlineStr">
        <is>
          <t>SCA</t>
        </is>
      </c>
      <c r="F1340" t="n">
        <v>4.4</v>
      </c>
      <c r="G1340" t="n">
        <v>0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</row>
    <row r="1341">
      <c r="A1341" t="inlineStr">
        <is>
          <t>A 28948-2022</t>
        </is>
      </c>
      <c r="B1341" s="1" t="n">
        <v>44749</v>
      </c>
      <c r="C1341" s="1" t="n">
        <v>45156</v>
      </c>
      <c r="D1341" t="inlineStr">
        <is>
          <t>STRÖMSUND</t>
        </is>
      </c>
      <c r="F1341" t="n">
        <v>6.8</v>
      </c>
      <c r="G1341" t="n">
        <v>0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</row>
    <row r="1342">
      <c r="A1342" t="inlineStr">
        <is>
          <t>A 29043-2022</t>
        </is>
      </c>
      <c r="B1342" s="1" t="n">
        <v>44749</v>
      </c>
      <c r="C1342" s="1" t="n">
        <v>45156</v>
      </c>
      <c r="D1342" t="inlineStr">
        <is>
          <t>STRÖMSUND</t>
        </is>
      </c>
      <c r="E1342" t="inlineStr">
        <is>
          <t>SCA</t>
        </is>
      </c>
      <c r="F1342" t="n">
        <v>3.3</v>
      </c>
      <c r="G1342" t="n">
        <v>0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</row>
    <row r="1343">
      <c r="A1343" t="inlineStr">
        <is>
          <t>A 28869-2022</t>
        </is>
      </c>
      <c r="B1343" s="1" t="n">
        <v>44749</v>
      </c>
      <c r="C1343" s="1" t="n">
        <v>45156</v>
      </c>
      <c r="D1343" t="inlineStr">
        <is>
          <t>STRÖMSUND</t>
        </is>
      </c>
      <c r="F1343" t="n">
        <v>0.9</v>
      </c>
      <c r="G1343" t="n">
        <v>0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</row>
    <row r="1344">
      <c r="A1344" t="inlineStr">
        <is>
          <t>A 29042-2022</t>
        </is>
      </c>
      <c r="B1344" s="1" t="n">
        <v>44749</v>
      </c>
      <c r="C1344" s="1" t="n">
        <v>45156</v>
      </c>
      <c r="D1344" t="inlineStr">
        <is>
          <t>STRÖMSUND</t>
        </is>
      </c>
      <c r="E1344" t="inlineStr">
        <is>
          <t>SCA</t>
        </is>
      </c>
      <c r="F1344" t="n">
        <v>1.4</v>
      </c>
      <c r="G1344" t="n">
        <v>0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</row>
    <row r="1345">
      <c r="A1345" t="inlineStr">
        <is>
          <t>A 29276-2022</t>
        </is>
      </c>
      <c r="B1345" s="1" t="n">
        <v>44750</v>
      </c>
      <c r="C1345" s="1" t="n">
        <v>45156</v>
      </c>
      <c r="D1345" t="inlineStr">
        <is>
          <t>STRÖMSUND</t>
        </is>
      </c>
      <c r="F1345" t="n">
        <v>18.8</v>
      </c>
      <c r="G1345" t="n">
        <v>0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</row>
    <row r="1346">
      <c r="A1346" t="inlineStr">
        <is>
          <t>A 29353-2022</t>
        </is>
      </c>
      <c r="B1346" s="1" t="n">
        <v>44750</v>
      </c>
      <c r="C1346" s="1" t="n">
        <v>45156</v>
      </c>
      <c r="D1346" t="inlineStr">
        <is>
          <t>STRÖMSUND</t>
        </is>
      </c>
      <c r="F1346" t="n">
        <v>7.4</v>
      </c>
      <c r="G1346" t="n">
        <v>0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</row>
    <row r="1347">
      <c r="A1347" t="inlineStr">
        <is>
          <t>A 29545-2022</t>
        </is>
      </c>
      <c r="B1347" s="1" t="n">
        <v>44753</v>
      </c>
      <c r="C1347" s="1" t="n">
        <v>45156</v>
      </c>
      <c r="D1347" t="inlineStr">
        <is>
          <t>STRÖMSUND</t>
        </is>
      </c>
      <c r="E1347" t="inlineStr">
        <is>
          <t>SCA</t>
        </is>
      </c>
      <c r="F1347" t="n">
        <v>7.3</v>
      </c>
      <c r="G1347" t="n">
        <v>0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</row>
    <row r="1348">
      <c r="A1348" t="inlineStr">
        <is>
          <t>A 29542-2022</t>
        </is>
      </c>
      <c r="B1348" s="1" t="n">
        <v>44753</v>
      </c>
      <c r="C1348" s="1" t="n">
        <v>45156</v>
      </c>
      <c r="D1348" t="inlineStr">
        <is>
          <t>STRÖMSUND</t>
        </is>
      </c>
      <c r="E1348" t="inlineStr">
        <is>
          <t>SCA</t>
        </is>
      </c>
      <c r="F1348" t="n">
        <v>4</v>
      </c>
      <c r="G1348" t="n">
        <v>0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</row>
    <row r="1349">
      <c r="A1349" t="inlineStr">
        <is>
          <t>A 29679-2022</t>
        </is>
      </c>
      <c r="B1349" s="1" t="n">
        <v>44754</v>
      </c>
      <c r="C1349" s="1" t="n">
        <v>45156</v>
      </c>
      <c r="D1349" t="inlineStr">
        <is>
          <t>STRÖMSUND</t>
        </is>
      </c>
      <c r="E1349" t="inlineStr">
        <is>
          <t>SCA</t>
        </is>
      </c>
      <c r="F1349" t="n">
        <v>19.2</v>
      </c>
      <c r="G1349" t="n">
        <v>0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</row>
    <row r="1350">
      <c r="A1350" t="inlineStr">
        <is>
          <t>A 29830-2022</t>
        </is>
      </c>
      <c r="B1350" s="1" t="n">
        <v>44755</v>
      </c>
      <c r="C1350" s="1" t="n">
        <v>45156</v>
      </c>
      <c r="D1350" t="inlineStr">
        <is>
          <t>STRÖMSUND</t>
        </is>
      </c>
      <c r="E1350" t="inlineStr">
        <is>
          <t>SCA</t>
        </is>
      </c>
      <c r="F1350" t="n">
        <v>1.9</v>
      </c>
      <c r="G1350" t="n">
        <v>0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</row>
    <row r="1351">
      <c r="A1351" t="inlineStr">
        <is>
          <t>A 30036-2022</t>
        </is>
      </c>
      <c r="B1351" s="1" t="n">
        <v>44756</v>
      </c>
      <c r="C1351" s="1" t="n">
        <v>45156</v>
      </c>
      <c r="D1351" t="inlineStr">
        <is>
          <t>STRÖMSUND</t>
        </is>
      </c>
      <c r="E1351" t="inlineStr">
        <is>
          <t>SCA</t>
        </is>
      </c>
      <c r="F1351" t="n">
        <v>6.5</v>
      </c>
      <c r="G1351" t="n">
        <v>0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</row>
    <row r="1352">
      <c r="A1352" t="inlineStr">
        <is>
          <t>A 30022-2022</t>
        </is>
      </c>
      <c r="B1352" s="1" t="n">
        <v>44756</v>
      </c>
      <c r="C1352" s="1" t="n">
        <v>45156</v>
      </c>
      <c r="D1352" t="inlineStr">
        <is>
          <t>STRÖMSUND</t>
        </is>
      </c>
      <c r="E1352" t="inlineStr">
        <is>
          <t>SCA</t>
        </is>
      </c>
      <c r="F1352" t="n">
        <v>2.5</v>
      </c>
      <c r="G1352" t="n">
        <v>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</row>
    <row r="1353">
      <c r="A1353" t="inlineStr">
        <is>
          <t>A 30044-2022</t>
        </is>
      </c>
      <c r="B1353" s="1" t="n">
        <v>44756</v>
      </c>
      <c r="C1353" s="1" t="n">
        <v>45156</v>
      </c>
      <c r="D1353" t="inlineStr">
        <is>
          <t>STRÖMSUND</t>
        </is>
      </c>
      <c r="E1353" t="inlineStr">
        <is>
          <t>SCA</t>
        </is>
      </c>
      <c r="F1353" t="n">
        <v>2.7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</row>
    <row r="1354">
      <c r="A1354" t="inlineStr">
        <is>
          <t>A 30086-2022</t>
        </is>
      </c>
      <c r="B1354" s="1" t="n">
        <v>44757</v>
      </c>
      <c r="C1354" s="1" t="n">
        <v>45156</v>
      </c>
      <c r="D1354" t="inlineStr">
        <is>
          <t>STRÖMSUND</t>
        </is>
      </c>
      <c r="F1354" t="n">
        <v>2.1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</row>
    <row r="1355">
      <c r="A1355" t="inlineStr">
        <is>
          <t>A 30226-2022</t>
        </is>
      </c>
      <c r="B1355" s="1" t="n">
        <v>44757</v>
      </c>
      <c r="C1355" s="1" t="n">
        <v>45156</v>
      </c>
      <c r="D1355" t="inlineStr">
        <is>
          <t>STRÖMSUND</t>
        </is>
      </c>
      <c r="E1355" t="inlineStr">
        <is>
          <t>SCA</t>
        </is>
      </c>
      <c r="F1355" t="n">
        <v>2.2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</row>
    <row r="1356">
      <c r="A1356" t="inlineStr">
        <is>
          <t>A 30230-2022</t>
        </is>
      </c>
      <c r="B1356" s="1" t="n">
        <v>44757</v>
      </c>
      <c r="C1356" s="1" t="n">
        <v>45156</v>
      </c>
      <c r="D1356" t="inlineStr">
        <is>
          <t>STRÖMSUND</t>
        </is>
      </c>
      <c r="E1356" t="inlineStr">
        <is>
          <t>SCA</t>
        </is>
      </c>
      <c r="F1356" t="n">
        <v>3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</row>
    <row r="1357">
      <c r="A1357" t="inlineStr">
        <is>
          <t>A 31507-2022</t>
        </is>
      </c>
      <c r="B1357" s="1" t="n">
        <v>44774</v>
      </c>
      <c r="C1357" s="1" t="n">
        <v>45156</v>
      </c>
      <c r="D1357" t="inlineStr">
        <is>
          <t>STRÖMSUND</t>
        </is>
      </c>
      <c r="E1357" t="inlineStr">
        <is>
          <t>SCA</t>
        </is>
      </c>
      <c r="F1357" t="n">
        <v>3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</row>
    <row r="1358">
      <c r="A1358" t="inlineStr">
        <is>
          <t>A 31442-2022</t>
        </is>
      </c>
      <c r="B1358" s="1" t="n">
        <v>44774</v>
      </c>
      <c r="C1358" s="1" t="n">
        <v>45156</v>
      </c>
      <c r="D1358" t="inlineStr">
        <is>
          <t>STRÖMSUND</t>
        </is>
      </c>
      <c r="E1358" t="inlineStr">
        <is>
          <t>SCA</t>
        </is>
      </c>
      <c r="F1358" t="n">
        <v>1.1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</row>
    <row r="1359">
      <c r="A1359" t="inlineStr">
        <is>
          <t>A 31506-2022</t>
        </is>
      </c>
      <c r="B1359" s="1" t="n">
        <v>44774</v>
      </c>
      <c r="C1359" s="1" t="n">
        <v>45156</v>
      </c>
      <c r="D1359" t="inlineStr">
        <is>
          <t>STRÖMSUND</t>
        </is>
      </c>
      <c r="E1359" t="inlineStr">
        <is>
          <t>SCA</t>
        </is>
      </c>
      <c r="F1359" t="n">
        <v>0.4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</row>
    <row r="1360">
      <c r="A1360" t="inlineStr">
        <is>
          <t>A 32118-2022</t>
        </is>
      </c>
      <c r="B1360" s="1" t="n">
        <v>44778</v>
      </c>
      <c r="C1360" s="1" t="n">
        <v>45156</v>
      </c>
      <c r="D1360" t="inlineStr">
        <is>
          <t>STRÖMSUND</t>
        </is>
      </c>
      <c r="E1360" t="inlineStr">
        <is>
          <t>SCA</t>
        </is>
      </c>
      <c r="F1360" t="n">
        <v>2.9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</row>
    <row r="1361">
      <c r="A1361" t="inlineStr">
        <is>
          <t>A 32125-2022</t>
        </is>
      </c>
      <c r="B1361" s="1" t="n">
        <v>44778</v>
      </c>
      <c r="C1361" s="1" t="n">
        <v>45156</v>
      </c>
      <c r="D1361" t="inlineStr">
        <is>
          <t>STRÖMSUND</t>
        </is>
      </c>
      <c r="E1361" t="inlineStr">
        <is>
          <t>SCA</t>
        </is>
      </c>
      <c r="F1361" t="n">
        <v>1.5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</row>
    <row r="1362">
      <c r="A1362" t="inlineStr">
        <is>
          <t>A 32153-2022</t>
        </is>
      </c>
      <c r="B1362" s="1" t="n">
        <v>44781</v>
      </c>
      <c r="C1362" s="1" t="n">
        <v>45156</v>
      </c>
      <c r="D1362" t="inlineStr">
        <is>
          <t>STRÖMSUND</t>
        </is>
      </c>
      <c r="F1362" t="n">
        <v>27.4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</row>
    <row r="1363">
      <c r="A1363" t="inlineStr">
        <is>
          <t>A 32996-2022</t>
        </is>
      </c>
      <c r="B1363" s="1" t="n">
        <v>44784</v>
      </c>
      <c r="C1363" s="1" t="n">
        <v>45156</v>
      </c>
      <c r="D1363" t="inlineStr">
        <is>
          <t>STRÖMSUND</t>
        </is>
      </c>
      <c r="E1363" t="inlineStr">
        <is>
          <t>SCA</t>
        </is>
      </c>
      <c r="F1363" t="n">
        <v>2.9</v>
      </c>
      <c r="G1363" t="n">
        <v>0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</row>
    <row r="1364">
      <c r="A1364" t="inlineStr">
        <is>
          <t>A 32932-2022</t>
        </is>
      </c>
      <c r="B1364" s="1" t="n">
        <v>44784</v>
      </c>
      <c r="C1364" s="1" t="n">
        <v>45156</v>
      </c>
      <c r="D1364" t="inlineStr">
        <is>
          <t>STRÖMSUND</t>
        </is>
      </c>
      <c r="F1364" t="n">
        <v>1.6</v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</row>
    <row r="1365">
      <c r="A1365" t="inlineStr">
        <is>
          <t>A 33224-2022</t>
        </is>
      </c>
      <c r="B1365" s="1" t="n">
        <v>44785</v>
      </c>
      <c r="C1365" s="1" t="n">
        <v>45156</v>
      </c>
      <c r="D1365" t="inlineStr">
        <is>
          <t>STRÖMSUND</t>
        </is>
      </c>
      <c r="E1365" t="inlineStr">
        <is>
          <t>SCA</t>
        </is>
      </c>
      <c r="F1365" t="n">
        <v>2.7</v>
      </c>
      <c r="G1365" t="n">
        <v>0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</row>
    <row r="1366">
      <c r="A1366" t="inlineStr">
        <is>
          <t>A 33223-2022</t>
        </is>
      </c>
      <c r="B1366" s="1" t="n">
        <v>44785</v>
      </c>
      <c r="C1366" s="1" t="n">
        <v>45156</v>
      </c>
      <c r="D1366" t="inlineStr">
        <is>
          <t>STRÖMSUND</t>
        </is>
      </c>
      <c r="E1366" t="inlineStr">
        <is>
          <t>SCA</t>
        </is>
      </c>
      <c r="F1366" t="n">
        <v>4.4</v>
      </c>
      <c r="G1366" t="n">
        <v>0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</row>
    <row r="1367">
      <c r="A1367" t="inlineStr">
        <is>
          <t>A 33054-2022</t>
        </is>
      </c>
      <c r="B1367" s="1" t="n">
        <v>44785</v>
      </c>
      <c r="C1367" s="1" t="n">
        <v>45156</v>
      </c>
      <c r="D1367" t="inlineStr">
        <is>
          <t>STRÖMSUND</t>
        </is>
      </c>
      <c r="F1367" t="n">
        <v>5</v>
      </c>
      <c r="G1367" t="n">
        <v>0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</row>
    <row r="1368">
      <c r="A1368" t="inlineStr">
        <is>
          <t>A 33501-2022</t>
        </is>
      </c>
      <c r="B1368" s="1" t="n">
        <v>44788</v>
      </c>
      <c r="C1368" s="1" t="n">
        <v>45156</v>
      </c>
      <c r="D1368" t="inlineStr">
        <is>
          <t>STRÖMSUND</t>
        </is>
      </c>
      <c r="F1368" t="n">
        <v>2.1</v>
      </c>
      <c r="G1368" t="n">
        <v>0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</row>
    <row r="1369">
      <c r="A1369" t="inlineStr">
        <is>
          <t>A 33499-2022</t>
        </is>
      </c>
      <c r="B1369" s="1" t="n">
        <v>44788</v>
      </c>
      <c r="C1369" s="1" t="n">
        <v>45156</v>
      </c>
      <c r="D1369" t="inlineStr">
        <is>
          <t>STRÖMSUND</t>
        </is>
      </c>
      <c r="F1369" t="n">
        <v>1.1</v>
      </c>
      <c r="G1369" t="n">
        <v>0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</row>
    <row r="1370">
      <c r="A1370" t="inlineStr">
        <is>
          <t>A 33987-2022</t>
        </is>
      </c>
      <c r="B1370" s="1" t="n">
        <v>44790</v>
      </c>
      <c r="C1370" s="1" t="n">
        <v>45156</v>
      </c>
      <c r="D1370" t="inlineStr">
        <is>
          <t>STRÖMSUND</t>
        </is>
      </c>
      <c r="E1370" t="inlineStr">
        <is>
          <t>SCA</t>
        </is>
      </c>
      <c r="F1370" t="n">
        <v>0.5</v>
      </c>
      <c r="G1370" t="n">
        <v>0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</row>
    <row r="1371">
      <c r="A1371" t="inlineStr">
        <is>
          <t>A 34011-2022</t>
        </is>
      </c>
      <c r="B1371" s="1" t="n">
        <v>44790</v>
      </c>
      <c r="C1371" s="1" t="n">
        <v>45156</v>
      </c>
      <c r="D1371" t="inlineStr">
        <is>
          <t>STRÖMSUND</t>
        </is>
      </c>
      <c r="E1371" t="inlineStr">
        <is>
          <t>SCA</t>
        </is>
      </c>
      <c r="F1371" t="n">
        <v>1.5</v>
      </c>
      <c r="G1371" t="n">
        <v>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</row>
    <row r="1372">
      <c r="A1372" t="inlineStr">
        <is>
          <t>A 33985-2022</t>
        </is>
      </c>
      <c r="B1372" s="1" t="n">
        <v>44790</v>
      </c>
      <c r="C1372" s="1" t="n">
        <v>45156</v>
      </c>
      <c r="D1372" t="inlineStr">
        <is>
          <t>STRÖMSUND</t>
        </is>
      </c>
      <c r="E1372" t="inlineStr">
        <is>
          <t>SCA</t>
        </is>
      </c>
      <c r="F1372" t="n">
        <v>2.8</v>
      </c>
      <c r="G1372" t="n">
        <v>0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</row>
    <row r="1373">
      <c r="A1373" t="inlineStr">
        <is>
          <t>A 33988-2022</t>
        </is>
      </c>
      <c r="B1373" s="1" t="n">
        <v>44790</v>
      </c>
      <c r="C1373" s="1" t="n">
        <v>45156</v>
      </c>
      <c r="D1373" t="inlineStr">
        <is>
          <t>STRÖMSUND</t>
        </is>
      </c>
      <c r="E1373" t="inlineStr">
        <is>
          <t>SCA</t>
        </is>
      </c>
      <c r="F1373" t="n">
        <v>1.9</v>
      </c>
      <c r="G1373" t="n">
        <v>0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</row>
    <row r="1374">
      <c r="A1374" t="inlineStr">
        <is>
          <t>A 34244-2022</t>
        </is>
      </c>
      <c r="B1374" s="1" t="n">
        <v>44791</v>
      </c>
      <c r="C1374" s="1" t="n">
        <v>45156</v>
      </c>
      <c r="D1374" t="inlineStr">
        <is>
          <t>STRÖMSUND</t>
        </is>
      </c>
      <c r="F1374" t="n">
        <v>0.8</v>
      </c>
      <c r="G1374" t="n">
        <v>0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</row>
    <row r="1375">
      <c r="A1375" t="inlineStr">
        <is>
          <t>A 34264-2022</t>
        </is>
      </c>
      <c r="B1375" s="1" t="n">
        <v>44791</v>
      </c>
      <c r="C1375" s="1" t="n">
        <v>45156</v>
      </c>
      <c r="D1375" t="inlineStr">
        <is>
          <t>STRÖMSUND</t>
        </is>
      </c>
      <c r="E1375" t="inlineStr">
        <is>
          <t>SCA</t>
        </is>
      </c>
      <c r="F1375" t="n">
        <v>2.4</v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</row>
    <row r="1376">
      <c r="A1376" t="inlineStr">
        <is>
          <t>A 34339-2022</t>
        </is>
      </c>
      <c r="B1376" s="1" t="n">
        <v>44792</v>
      </c>
      <c r="C1376" s="1" t="n">
        <v>45156</v>
      </c>
      <c r="D1376" t="inlineStr">
        <is>
          <t>STRÖMSUND</t>
        </is>
      </c>
      <c r="F1376" t="n">
        <v>1.6</v>
      </c>
      <c r="G1376" t="n">
        <v>0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</row>
    <row r="1377">
      <c r="A1377" t="inlineStr">
        <is>
          <t>A 34550-2022</t>
        </is>
      </c>
      <c r="B1377" s="1" t="n">
        <v>44793</v>
      </c>
      <c r="C1377" s="1" t="n">
        <v>45156</v>
      </c>
      <c r="D1377" t="inlineStr">
        <is>
          <t>STRÖMSUND</t>
        </is>
      </c>
      <c r="E1377" t="inlineStr">
        <is>
          <t>SCA</t>
        </is>
      </c>
      <c r="F1377" t="n">
        <v>1</v>
      </c>
      <c r="G1377" t="n">
        <v>0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</row>
    <row r="1378">
      <c r="A1378" t="inlineStr">
        <is>
          <t>A 34920-2022</t>
        </is>
      </c>
      <c r="B1378" s="1" t="n">
        <v>44796</v>
      </c>
      <c r="C1378" s="1" t="n">
        <v>45156</v>
      </c>
      <c r="D1378" t="inlineStr">
        <is>
          <t>STRÖMSUND</t>
        </is>
      </c>
      <c r="F1378" t="n">
        <v>1.8</v>
      </c>
      <c r="G1378" t="n">
        <v>0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</row>
    <row r="1379">
      <c r="A1379" t="inlineStr">
        <is>
          <t>A 35233-2022</t>
        </is>
      </c>
      <c r="B1379" s="1" t="n">
        <v>44797</v>
      </c>
      <c r="C1379" s="1" t="n">
        <v>45156</v>
      </c>
      <c r="D1379" t="inlineStr">
        <is>
          <t>STRÖMSUND</t>
        </is>
      </c>
      <c r="E1379" t="inlineStr">
        <is>
          <t>SCA</t>
        </is>
      </c>
      <c r="F1379" t="n">
        <v>2.7</v>
      </c>
      <c r="G1379" t="n">
        <v>0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</row>
    <row r="1380">
      <c r="A1380" t="inlineStr">
        <is>
          <t>A 35240-2022</t>
        </is>
      </c>
      <c r="B1380" s="1" t="n">
        <v>44797</v>
      </c>
      <c r="C1380" s="1" t="n">
        <v>45156</v>
      </c>
      <c r="D1380" t="inlineStr">
        <is>
          <t>STRÖMSUND</t>
        </is>
      </c>
      <c r="E1380" t="inlineStr">
        <is>
          <t>SCA</t>
        </is>
      </c>
      <c r="F1380" t="n">
        <v>3.9</v>
      </c>
      <c r="G1380" t="n">
        <v>0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</row>
    <row r="1381">
      <c r="A1381" t="inlineStr">
        <is>
          <t>A 35234-2022</t>
        </is>
      </c>
      <c r="B1381" s="1" t="n">
        <v>44797</v>
      </c>
      <c r="C1381" s="1" t="n">
        <v>45156</v>
      </c>
      <c r="D1381" t="inlineStr">
        <is>
          <t>STRÖMSUND</t>
        </is>
      </c>
      <c r="E1381" t="inlineStr">
        <is>
          <t>SCA</t>
        </is>
      </c>
      <c r="F1381" t="n">
        <v>19.1</v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</row>
    <row r="1382">
      <c r="A1382" t="inlineStr">
        <is>
          <t>A 35241-2022</t>
        </is>
      </c>
      <c r="B1382" s="1" t="n">
        <v>44797</v>
      </c>
      <c r="C1382" s="1" t="n">
        <v>45156</v>
      </c>
      <c r="D1382" t="inlineStr">
        <is>
          <t>STRÖMSUND</t>
        </is>
      </c>
      <c r="E1382" t="inlineStr">
        <is>
          <t>SCA</t>
        </is>
      </c>
      <c r="F1382" t="n">
        <v>1.5</v>
      </c>
      <c r="G1382" t="n">
        <v>0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</row>
    <row r="1383">
      <c r="A1383" t="inlineStr">
        <is>
          <t>A 35295-2022</t>
        </is>
      </c>
      <c r="B1383" s="1" t="n">
        <v>44798</v>
      </c>
      <c r="C1383" s="1" t="n">
        <v>45156</v>
      </c>
      <c r="D1383" t="inlineStr">
        <is>
          <t>STRÖMSUND</t>
        </is>
      </c>
      <c r="E1383" t="inlineStr">
        <is>
          <t>Kommuner</t>
        </is>
      </c>
      <c r="F1383" t="n">
        <v>1.4</v>
      </c>
      <c r="G1383" t="n">
        <v>0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</row>
    <row r="1384">
      <c r="A1384" t="inlineStr">
        <is>
          <t>A 35321-2022</t>
        </is>
      </c>
      <c r="B1384" s="1" t="n">
        <v>44798</v>
      </c>
      <c r="C1384" s="1" t="n">
        <v>45156</v>
      </c>
      <c r="D1384" t="inlineStr">
        <is>
          <t>STRÖMSUND</t>
        </is>
      </c>
      <c r="E1384" t="inlineStr">
        <is>
          <t>Kommuner</t>
        </is>
      </c>
      <c r="F1384" t="n">
        <v>1.2</v>
      </c>
      <c r="G1384" t="n">
        <v>0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</row>
    <row r="1385">
      <c r="A1385" t="inlineStr">
        <is>
          <t>A 35375-2022</t>
        </is>
      </c>
      <c r="B1385" s="1" t="n">
        <v>44798</v>
      </c>
      <c r="C1385" s="1" t="n">
        <v>45156</v>
      </c>
      <c r="D1385" t="inlineStr">
        <is>
          <t>STRÖMSUND</t>
        </is>
      </c>
      <c r="E1385" t="inlineStr">
        <is>
          <t>Kommuner</t>
        </is>
      </c>
      <c r="F1385" t="n">
        <v>3.9</v>
      </c>
      <c r="G1385" t="n">
        <v>0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</row>
    <row r="1386">
      <c r="A1386" t="inlineStr">
        <is>
          <t>A 35308-2022</t>
        </is>
      </c>
      <c r="B1386" s="1" t="n">
        <v>44798</v>
      </c>
      <c r="C1386" s="1" t="n">
        <v>45156</v>
      </c>
      <c r="D1386" t="inlineStr">
        <is>
          <t>STRÖMSUND</t>
        </is>
      </c>
      <c r="E1386" t="inlineStr">
        <is>
          <t>Kommuner</t>
        </is>
      </c>
      <c r="F1386" t="n">
        <v>8.4</v>
      </c>
      <c r="G1386" t="n">
        <v>0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</row>
    <row r="1387">
      <c r="A1387" t="inlineStr">
        <is>
          <t>A 35329-2022</t>
        </is>
      </c>
      <c r="B1387" s="1" t="n">
        <v>44798</v>
      </c>
      <c r="C1387" s="1" t="n">
        <v>45156</v>
      </c>
      <c r="D1387" t="inlineStr">
        <is>
          <t>STRÖMSUND</t>
        </is>
      </c>
      <c r="E1387" t="inlineStr">
        <is>
          <t>Kommuner</t>
        </is>
      </c>
      <c r="F1387" t="n">
        <v>3.3</v>
      </c>
      <c r="G1387" t="n">
        <v>0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</row>
    <row r="1388">
      <c r="A1388" t="inlineStr">
        <is>
          <t>A 35377-2022</t>
        </is>
      </c>
      <c r="B1388" s="1" t="n">
        <v>44798</v>
      </c>
      <c r="C1388" s="1" t="n">
        <v>45156</v>
      </c>
      <c r="D1388" t="inlineStr">
        <is>
          <t>STRÖMSUND</t>
        </is>
      </c>
      <c r="E1388" t="inlineStr">
        <is>
          <t>Kommuner</t>
        </is>
      </c>
      <c r="F1388" t="n">
        <v>3.4</v>
      </c>
      <c r="G1388" t="n">
        <v>0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</row>
    <row r="1389">
      <c r="A1389" t="inlineStr">
        <is>
          <t>A 35694-2022</t>
        </is>
      </c>
      <c r="B1389" s="1" t="n">
        <v>44799</v>
      </c>
      <c r="C1389" s="1" t="n">
        <v>45156</v>
      </c>
      <c r="D1389" t="inlineStr">
        <is>
          <t>STRÖMSUND</t>
        </is>
      </c>
      <c r="F1389" t="n">
        <v>1.9</v>
      </c>
      <c r="G1389" t="n">
        <v>0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</row>
    <row r="1390">
      <c r="A1390" t="inlineStr">
        <is>
          <t>A 35971-2022</t>
        </is>
      </c>
      <c r="B1390" s="1" t="n">
        <v>44802</v>
      </c>
      <c r="C1390" s="1" t="n">
        <v>45156</v>
      </c>
      <c r="D1390" t="inlineStr">
        <is>
          <t>STRÖMSUND</t>
        </is>
      </c>
      <c r="E1390" t="inlineStr">
        <is>
          <t>Sveaskog</t>
        </is>
      </c>
      <c r="F1390" t="n">
        <v>17.2</v>
      </c>
      <c r="G1390" t="n">
        <v>0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</row>
    <row r="1391">
      <c r="A1391" t="inlineStr">
        <is>
          <t>A 36382-2022</t>
        </is>
      </c>
      <c r="B1391" s="1" t="n">
        <v>44803</v>
      </c>
      <c r="C1391" s="1" t="n">
        <v>45156</v>
      </c>
      <c r="D1391" t="inlineStr">
        <is>
          <t>STRÖMSUND</t>
        </is>
      </c>
      <c r="E1391" t="inlineStr">
        <is>
          <t>SCA</t>
        </is>
      </c>
      <c r="F1391" t="n">
        <v>12.6</v>
      </c>
      <c r="G1391" t="n">
        <v>0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</row>
    <row r="1392">
      <c r="A1392" t="inlineStr">
        <is>
          <t>A 36559-2022</t>
        </is>
      </c>
      <c r="B1392" s="1" t="n">
        <v>44804</v>
      </c>
      <c r="C1392" s="1" t="n">
        <v>45156</v>
      </c>
      <c r="D1392" t="inlineStr">
        <is>
          <t>STRÖMSUND</t>
        </is>
      </c>
      <c r="E1392" t="inlineStr">
        <is>
          <t>Holmen skog AB</t>
        </is>
      </c>
      <c r="F1392" t="n">
        <v>4.3</v>
      </c>
      <c r="G1392" t="n">
        <v>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</row>
    <row r="1393">
      <c r="A1393" t="inlineStr">
        <is>
          <t>A 36581-2022</t>
        </is>
      </c>
      <c r="B1393" s="1" t="n">
        <v>44804</v>
      </c>
      <c r="C1393" s="1" t="n">
        <v>45156</v>
      </c>
      <c r="D1393" t="inlineStr">
        <is>
          <t>STRÖMSUND</t>
        </is>
      </c>
      <c r="E1393" t="inlineStr">
        <is>
          <t>Holmen skog AB</t>
        </is>
      </c>
      <c r="F1393" t="n">
        <v>2.2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</row>
    <row r="1394">
      <c r="A1394" t="inlineStr">
        <is>
          <t>A 36689-2022</t>
        </is>
      </c>
      <c r="B1394" s="1" t="n">
        <v>44804</v>
      </c>
      <c r="C1394" s="1" t="n">
        <v>45156</v>
      </c>
      <c r="D1394" t="inlineStr">
        <is>
          <t>STRÖMSUND</t>
        </is>
      </c>
      <c r="E1394" t="inlineStr">
        <is>
          <t>SCA</t>
        </is>
      </c>
      <c r="F1394" t="n">
        <v>2.9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</row>
    <row r="1395">
      <c r="A1395" t="inlineStr">
        <is>
          <t>A 37090-2022</t>
        </is>
      </c>
      <c r="B1395" s="1" t="n">
        <v>44806</v>
      </c>
      <c r="C1395" s="1" t="n">
        <v>45156</v>
      </c>
      <c r="D1395" t="inlineStr">
        <is>
          <t>STRÖMSUND</t>
        </is>
      </c>
      <c r="E1395" t="inlineStr">
        <is>
          <t>Kommuner</t>
        </is>
      </c>
      <c r="F1395" t="n">
        <v>0.8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</row>
    <row r="1396">
      <c r="A1396" t="inlineStr">
        <is>
          <t>A 37104-2022</t>
        </is>
      </c>
      <c r="B1396" s="1" t="n">
        <v>44806</v>
      </c>
      <c r="C1396" s="1" t="n">
        <v>45156</v>
      </c>
      <c r="D1396" t="inlineStr">
        <is>
          <t>STRÖMSUND</t>
        </is>
      </c>
      <c r="E1396" t="inlineStr">
        <is>
          <t>Kommuner</t>
        </is>
      </c>
      <c r="F1396" t="n">
        <v>1.8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</row>
    <row r="1397">
      <c r="A1397" t="inlineStr">
        <is>
          <t>A 37084-2022</t>
        </is>
      </c>
      <c r="B1397" s="1" t="n">
        <v>44806</v>
      </c>
      <c r="C1397" s="1" t="n">
        <v>45156</v>
      </c>
      <c r="D1397" t="inlineStr">
        <is>
          <t>STRÖMSUND</t>
        </is>
      </c>
      <c r="E1397" t="inlineStr">
        <is>
          <t>Kommuner</t>
        </is>
      </c>
      <c r="F1397" t="n">
        <v>3.8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</row>
    <row r="1398">
      <c r="A1398" t="inlineStr">
        <is>
          <t>A 37100-2022</t>
        </is>
      </c>
      <c r="B1398" s="1" t="n">
        <v>44806</v>
      </c>
      <c r="C1398" s="1" t="n">
        <v>45156</v>
      </c>
      <c r="D1398" t="inlineStr">
        <is>
          <t>STRÖMSUND</t>
        </is>
      </c>
      <c r="E1398" t="inlineStr">
        <is>
          <t>Kommuner</t>
        </is>
      </c>
      <c r="F1398" t="n">
        <v>1.8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</row>
    <row r="1399">
      <c r="A1399" t="inlineStr">
        <is>
          <t>A 37097-2022</t>
        </is>
      </c>
      <c r="B1399" s="1" t="n">
        <v>44806</v>
      </c>
      <c r="C1399" s="1" t="n">
        <v>45156</v>
      </c>
      <c r="D1399" t="inlineStr">
        <is>
          <t>STRÖMSUND</t>
        </is>
      </c>
      <c r="E1399" t="inlineStr">
        <is>
          <t>Kommuner</t>
        </is>
      </c>
      <c r="F1399" t="n">
        <v>3.1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</row>
    <row r="1400">
      <c r="A1400" t="inlineStr">
        <is>
          <t>A 37102-2022</t>
        </is>
      </c>
      <c r="B1400" s="1" t="n">
        <v>44806</v>
      </c>
      <c r="C1400" s="1" t="n">
        <v>45156</v>
      </c>
      <c r="D1400" t="inlineStr">
        <is>
          <t>STRÖMSUND</t>
        </is>
      </c>
      <c r="E1400" t="inlineStr">
        <is>
          <t>Kommuner</t>
        </is>
      </c>
      <c r="F1400" t="n">
        <v>0.3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</row>
    <row r="1401">
      <c r="A1401" t="inlineStr">
        <is>
          <t>A 37231-2022</t>
        </is>
      </c>
      <c r="B1401" s="1" t="n">
        <v>44806</v>
      </c>
      <c r="C1401" s="1" t="n">
        <v>45156</v>
      </c>
      <c r="D1401" t="inlineStr">
        <is>
          <t>STRÖMSUND</t>
        </is>
      </c>
      <c r="E1401" t="inlineStr">
        <is>
          <t>SCA</t>
        </is>
      </c>
      <c r="F1401" t="n">
        <v>0.4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</row>
    <row r="1402">
      <c r="A1402" t="inlineStr">
        <is>
          <t>A 37078-2022</t>
        </is>
      </c>
      <c r="B1402" s="1" t="n">
        <v>44806</v>
      </c>
      <c r="C1402" s="1" t="n">
        <v>45156</v>
      </c>
      <c r="D1402" t="inlineStr">
        <is>
          <t>STRÖMSUND</t>
        </is>
      </c>
      <c r="E1402" t="inlineStr">
        <is>
          <t>Kommuner</t>
        </is>
      </c>
      <c r="F1402" t="n">
        <v>2.7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</row>
    <row r="1403">
      <c r="A1403" t="inlineStr">
        <is>
          <t>A 37093-2022</t>
        </is>
      </c>
      <c r="B1403" s="1" t="n">
        <v>44806</v>
      </c>
      <c r="C1403" s="1" t="n">
        <v>45156</v>
      </c>
      <c r="D1403" t="inlineStr">
        <is>
          <t>STRÖMSUND</t>
        </is>
      </c>
      <c r="E1403" t="inlineStr">
        <is>
          <t>Kommuner</t>
        </is>
      </c>
      <c r="F1403" t="n">
        <v>0.3</v>
      </c>
      <c r="G1403" t="n">
        <v>0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</row>
    <row r="1404">
      <c r="A1404" t="inlineStr">
        <is>
          <t>A 37107-2022</t>
        </is>
      </c>
      <c r="B1404" s="1" t="n">
        <v>44806</v>
      </c>
      <c r="C1404" s="1" t="n">
        <v>45156</v>
      </c>
      <c r="D1404" t="inlineStr">
        <is>
          <t>STRÖMSUND</t>
        </is>
      </c>
      <c r="E1404" t="inlineStr">
        <is>
          <t>Kommuner</t>
        </is>
      </c>
      <c r="F1404" t="n">
        <v>1</v>
      </c>
      <c r="G1404" t="n">
        <v>0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</row>
    <row r="1405">
      <c r="A1405" t="inlineStr">
        <is>
          <t>A 38017-2022</t>
        </is>
      </c>
      <c r="B1405" s="1" t="n">
        <v>44811</v>
      </c>
      <c r="C1405" s="1" t="n">
        <v>45156</v>
      </c>
      <c r="D1405" t="inlineStr">
        <is>
          <t>STRÖMSUND</t>
        </is>
      </c>
      <c r="F1405" t="n">
        <v>6.8</v>
      </c>
      <c r="G1405" t="n">
        <v>0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</row>
    <row r="1406">
      <c r="A1406" t="inlineStr">
        <is>
          <t>A 38415-2022</t>
        </is>
      </c>
      <c r="B1406" s="1" t="n">
        <v>44812</v>
      </c>
      <c r="C1406" s="1" t="n">
        <v>45156</v>
      </c>
      <c r="D1406" t="inlineStr">
        <is>
          <t>STRÖMSUND</t>
        </is>
      </c>
      <c r="E1406" t="inlineStr">
        <is>
          <t>SCA</t>
        </is>
      </c>
      <c r="F1406" t="n">
        <v>0.6</v>
      </c>
      <c r="G1406" t="n">
        <v>0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</row>
    <row r="1407">
      <c r="A1407" t="inlineStr">
        <is>
          <t>A 38414-2022</t>
        </is>
      </c>
      <c r="B1407" s="1" t="n">
        <v>44812</v>
      </c>
      <c r="C1407" s="1" t="n">
        <v>45156</v>
      </c>
      <c r="D1407" t="inlineStr">
        <is>
          <t>STRÖMSUND</t>
        </is>
      </c>
      <c r="E1407" t="inlineStr">
        <is>
          <t>SCA</t>
        </is>
      </c>
      <c r="F1407" t="n">
        <v>1.5</v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</row>
    <row r="1408">
      <c r="A1408" t="inlineStr">
        <is>
          <t>A 38413-2022</t>
        </is>
      </c>
      <c r="B1408" s="1" t="n">
        <v>44812</v>
      </c>
      <c r="C1408" s="1" t="n">
        <v>45156</v>
      </c>
      <c r="D1408" t="inlineStr">
        <is>
          <t>STRÖMSUND</t>
        </is>
      </c>
      <c r="E1408" t="inlineStr">
        <is>
          <t>SCA</t>
        </is>
      </c>
      <c r="F1408" t="n">
        <v>5.1</v>
      </c>
      <c r="G1408" t="n">
        <v>0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</row>
    <row r="1409">
      <c r="A1409" t="inlineStr">
        <is>
          <t>A 38661-2022</t>
        </is>
      </c>
      <c r="B1409" s="1" t="n">
        <v>44813</v>
      </c>
      <c r="C1409" s="1" t="n">
        <v>45156</v>
      </c>
      <c r="D1409" t="inlineStr">
        <is>
          <t>STRÖMSUND</t>
        </is>
      </c>
      <c r="F1409" t="n">
        <v>3.1</v>
      </c>
      <c r="G1409" t="n">
        <v>0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</row>
    <row r="1410">
      <c r="A1410" t="inlineStr">
        <is>
          <t>A 39689-2022</t>
        </is>
      </c>
      <c r="B1410" s="1" t="n">
        <v>44818</v>
      </c>
      <c r="C1410" s="1" t="n">
        <v>45156</v>
      </c>
      <c r="D1410" t="inlineStr">
        <is>
          <t>STRÖMSUND</t>
        </is>
      </c>
      <c r="E1410" t="inlineStr">
        <is>
          <t>SCA</t>
        </is>
      </c>
      <c r="F1410" t="n">
        <v>7.7</v>
      </c>
      <c r="G1410" t="n">
        <v>0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</row>
    <row r="1411">
      <c r="A1411" t="inlineStr">
        <is>
          <t>A 39882-2022</t>
        </is>
      </c>
      <c r="B1411" s="1" t="n">
        <v>44819</v>
      </c>
      <c r="C1411" s="1" t="n">
        <v>45156</v>
      </c>
      <c r="D1411" t="inlineStr">
        <is>
          <t>STRÖMSUND</t>
        </is>
      </c>
      <c r="E1411" t="inlineStr">
        <is>
          <t>Sveaskog</t>
        </is>
      </c>
      <c r="F1411" t="n">
        <v>32.6</v>
      </c>
      <c r="G1411" t="n">
        <v>0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</row>
    <row r="1412">
      <c r="A1412" t="inlineStr">
        <is>
          <t>A 39889-2022</t>
        </is>
      </c>
      <c r="B1412" s="1" t="n">
        <v>44819</v>
      </c>
      <c r="C1412" s="1" t="n">
        <v>45156</v>
      </c>
      <c r="D1412" t="inlineStr">
        <is>
          <t>STRÖMSUND</t>
        </is>
      </c>
      <c r="E1412" t="inlineStr">
        <is>
          <t>Sveaskog</t>
        </is>
      </c>
      <c r="F1412" t="n">
        <v>17</v>
      </c>
      <c r="G1412" t="n">
        <v>0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</row>
    <row r="1413">
      <c r="A1413" t="inlineStr">
        <is>
          <t>A 40275-2022</t>
        </is>
      </c>
      <c r="B1413" s="1" t="n">
        <v>44820</v>
      </c>
      <c r="C1413" s="1" t="n">
        <v>45156</v>
      </c>
      <c r="D1413" t="inlineStr">
        <is>
          <t>STRÖMSUND</t>
        </is>
      </c>
      <c r="E1413" t="inlineStr">
        <is>
          <t>SCA</t>
        </is>
      </c>
      <c r="F1413" t="n">
        <v>4.1</v>
      </c>
      <c r="G1413" t="n">
        <v>0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</row>
    <row r="1414">
      <c r="A1414" t="inlineStr">
        <is>
          <t>A 40862-2022</t>
        </is>
      </c>
      <c r="B1414" s="1" t="n">
        <v>44820</v>
      </c>
      <c r="C1414" s="1" t="n">
        <v>45156</v>
      </c>
      <c r="D1414" t="inlineStr">
        <is>
          <t>STRÖMSUND</t>
        </is>
      </c>
      <c r="F1414" t="n">
        <v>2</v>
      </c>
      <c r="G1414" t="n">
        <v>0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</row>
    <row r="1415">
      <c r="A1415" t="inlineStr">
        <is>
          <t>A 40272-2022</t>
        </is>
      </c>
      <c r="B1415" s="1" t="n">
        <v>44820</v>
      </c>
      <c r="C1415" s="1" t="n">
        <v>45156</v>
      </c>
      <c r="D1415" t="inlineStr">
        <is>
          <t>STRÖMSUND</t>
        </is>
      </c>
      <c r="E1415" t="inlineStr">
        <is>
          <t>SCA</t>
        </is>
      </c>
      <c r="F1415" t="n">
        <v>1.7</v>
      </c>
      <c r="G1415" t="n">
        <v>0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</row>
    <row r="1416">
      <c r="A1416" t="inlineStr">
        <is>
          <t>A 40617-2022</t>
        </is>
      </c>
      <c r="B1416" s="1" t="n">
        <v>44823</v>
      </c>
      <c r="C1416" s="1" t="n">
        <v>45156</v>
      </c>
      <c r="D1416" t="inlineStr">
        <is>
          <t>STRÖMSUND</t>
        </is>
      </c>
      <c r="E1416" t="inlineStr">
        <is>
          <t>SCA</t>
        </is>
      </c>
      <c r="F1416" t="n">
        <v>9.199999999999999</v>
      </c>
      <c r="G1416" t="n">
        <v>0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</row>
    <row r="1417">
      <c r="A1417" t="inlineStr">
        <is>
          <t>A 40602-2022</t>
        </is>
      </c>
      <c r="B1417" s="1" t="n">
        <v>44823</v>
      </c>
      <c r="C1417" s="1" t="n">
        <v>45156</v>
      </c>
      <c r="D1417" t="inlineStr">
        <is>
          <t>STRÖMSUND</t>
        </is>
      </c>
      <c r="F1417" t="n">
        <v>1.6</v>
      </c>
      <c r="G1417" t="n">
        <v>0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</row>
    <row r="1418">
      <c r="A1418" t="inlineStr">
        <is>
          <t>A 40936-2022</t>
        </is>
      </c>
      <c r="B1418" s="1" t="n">
        <v>44823</v>
      </c>
      <c r="C1418" s="1" t="n">
        <v>45156</v>
      </c>
      <c r="D1418" t="inlineStr">
        <is>
          <t>STRÖMSUND</t>
        </is>
      </c>
      <c r="F1418" t="n">
        <v>13</v>
      </c>
      <c r="G1418" t="n">
        <v>0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</row>
    <row r="1419">
      <c r="A1419" t="inlineStr">
        <is>
          <t>A 40840-2022</t>
        </is>
      </c>
      <c r="B1419" s="1" t="n">
        <v>44824</v>
      </c>
      <c r="C1419" s="1" t="n">
        <v>45156</v>
      </c>
      <c r="D1419" t="inlineStr">
        <is>
          <t>STRÖMSUND</t>
        </is>
      </c>
      <c r="E1419" t="inlineStr">
        <is>
          <t>SCA</t>
        </is>
      </c>
      <c r="F1419" t="n">
        <v>1.9</v>
      </c>
      <c r="G1419" t="n">
        <v>0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</row>
    <row r="1420">
      <c r="A1420" t="inlineStr">
        <is>
          <t>A 41821-2022</t>
        </is>
      </c>
      <c r="B1420" s="1" t="n">
        <v>44827</v>
      </c>
      <c r="C1420" s="1" t="n">
        <v>45156</v>
      </c>
      <c r="D1420" t="inlineStr">
        <is>
          <t>STRÖMSUND</t>
        </is>
      </c>
      <c r="E1420" t="inlineStr">
        <is>
          <t>SCA</t>
        </is>
      </c>
      <c r="F1420" t="n">
        <v>1.2</v>
      </c>
      <c r="G1420" t="n">
        <v>0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</row>
    <row r="1421">
      <c r="A1421" t="inlineStr">
        <is>
          <t>A 41972-2022</t>
        </is>
      </c>
      <c r="B1421" s="1" t="n">
        <v>44830</v>
      </c>
      <c r="C1421" s="1" t="n">
        <v>45156</v>
      </c>
      <c r="D1421" t="inlineStr">
        <is>
          <t>STRÖMSUND</t>
        </is>
      </c>
      <c r="E1421" t="inlineStr">
        <is>
          <t>Sveaskog</t>
        </is>
      </c>
      <c r="F1421" t="n">
        <v>13</v>
      </c>
      <c r="G1421" t="n">
        <v>0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</row>
    <row r="1422">
      <c r="A1422" t="inlineStr">
        <is>
          <t>A 42237-2022</t>
        </is>
      </c>
      <c r="B1422" s="1" t="n">
        <v>44830</v>
      </c>
      <c r="C1422" s="1" t="n">
        <v>45156</v>
      </c>
      <c r="D1422" t="inlineStr">
        <is>
          <t>STRÖMSUND</t>
        </is>
      </c>
      <c r="F1422" t="n">
        <v>3.7</v>
      </c>
      <c r="G1422" t="n">
        <v>0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</row>
    <row r="1423">
      <c r="A1423" t="inlineStr">
        <is>
          <t>A 42902-2022</t>
        </is>
      </c>
      <c r="B1423" s="1" t="n">
        <v>44832</v>
      </c>
      <c r="C1423" s="1" t="n">
        <v>45156</v>
      </c>
      <c r="D1423" t="inlineStr">
        <is>
          <t>STRÖMSUND</t>
        </is>
      </c>
      <c r="E1423" t="inlineStr">
        <is>
          <t>SCA</t>
        </is>
      </c>
      <c r="F1423" t="n">
        <v>0.7</v>
      </c>
      <c r="G1423" t="n">
        <v>0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</row>
    <row r="1424">
      <c r="A1424" t="inlineStr">
        <is>
          <t>A 42770-2022</t>
        </is>
      </c>
      <c r="B1424" s="1" t="n">
        <v>44832</v>
      </c>
      <c r="C1424" s="1" t="n">
        <v>45156</v>
      </c>
      <c r="D1424" t="inlineStr">
        <is>
          <t>STRÖMSUND</t>
        </is>
      </c>
      <c r="F1424" t="n">
        <v>4.4</v>
      </c>
      <c r="G1424" t="n">
        <v>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</row>
    <row r="1425">
      <c r="A1425" t="inlineStr">
        <is>
          <t>A 42896-2022</t>
        </is>
      </c>
      <c r="B1425" s="1" t="n">
        <v>44832</v>
      </c>
      <c r="C1425" s="1" t="n">
        <v>45156</v>
      </c>
      <c r="D1425" t="inlineStr">
        <is>
          <t>STRÖMSUND</t>
        </is>
      </c>
      <c r="E1425" t="inlineStr">
        <is>
          <t>SCA</t>
        </is>
      </c>
      <c r="F1425" t="n">
        <v>7.2</v>
      </c>
      <c r="G1425" t="n">
        <v>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</row>
    <row r="1426">
      <c r="A1426" t="inlineStr">
        <is>
          <t>A 43146-2022</t>
        </is>
      </c>
      <c r="B1426" s="1" t="n">
        <v>44833</v>
      </c>
      <c r="C1426" s="1" t="n">
        <v>45156</v>
      </c>
      <c r="D1426" t="inlineStr">
        <is>
          <t>STRÖMSUND</t>
        </is>
      </c>
      <c r="E1426" t="inlineStr">
        <is>
          <t>SCA</t>
        </is>
      </c>
      <c r="F1426" t="n">
        <v>33.3</v>
      </c>
      <c r="G1426" t="n">
        <v>0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</row>
    <row r="1427">
      <c r="A1427" t="inlineStr">
        <is>
          <t>A 43165-2022</t>
        </is>
      </c>
      <c r="B1427" s="1" t="n">
        <v>44833</v>
      </c>
      <c r="C1427" s="1" t="n">
        <v>45156</v>
      </c>
      <c r="D1427" t="inlineStr">
        <is>
          <t>STRÖMSUND</t>
        </is>
      </c>
      <c r="E1427" t="inlineStr">
        <is>
          <t>SCA</t>
        </is>
      </c>
      <c r="F1427" t="n">
        <v>1.8</v>
      </c>
      <c r="G1427" t="n">
        <v>0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</row>
    <row r="1428">
      <c r="A1428" t="inlineStr">
        <is>
          <t>A 43607-2022</t>
        </is>
      </c>
      <c r="B1428" s="1" t="n">
        <v>44834</v>
      </c>
      <c r="C1428" s="1" t="n">
        <v>45156</v>
      </c>
      <c r="D1428" t="inlineStr">
        <is>
          <t>STRÖMSUND</t>
        </is>
      </c>
      <c r="F1428" t="n">
        <v>7</v>
      </c>
      <c r="G1428" t="n">
        <v>0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</row>
    <row r="1429">
      <c r="A1429" t="inlineStr">
        <is>
          <t>A 43432-2022</t>
        </is>
      </c>
      <c r="B1429" s="1" t="n">
        <v>44834</v>
      </c>
      <c r="C1429" s="1" t="n">
        <v>45156</v>
      </c>
      <c r="D1429" t="inlineStr">
        <is>
          <t>STRÖMSUND</t>
        </is>
      </c>
      <c r="E1429" t="inlineStr">
        <is>
          <t>SCA</t>
        </is>
      </c>
      <c r="F1429" t="n">
        <v>4</v>
      </c>
      <c r="G1429" t="n">
        <v>0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</row>
    <row r="1430">
      <c r="A1430" t="inlineStr">
        <is>
          <t>A 43622-2022</t>
        </is>
      </c>
      <c r="B1430" s="1" t="n">
        <v>44834</v>
      </c>
      <c r="C1430" s="1" t="n">
        <v>45156</v>
      </c>
      <c r="D1430" t="inlineStr">
        <is>
          <t>STRÖMSUND</t>
        </is>
      </c>
      <c r="F1430" t="n">
        <v>8.6</v>
      </c>
      <c r="G1430" t="n">
        <v>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</row>
    <row r="1431">
      <c r="A1431" t="inlineStr">
        <is>
          <t>A 45969-2022</t>
        </is>
      </c>
      <c r="B1431" s="1" t="n">
        <v>44834</v>
      </c>
      <c r="C1431" s="1" t="n">
        <v>45156</v>
      </c>
      <c r="D1431" t="inlineStr">
        <is>
          <t>STRÖMSUND</t>
        </is>
      </c>
      <c r="F1431" t="n">
        <v>1.6</v>
      </c>
      <c r="G1431" t="n">
        <v>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</row>
    <row r="1432">
      <c r="A1432" t="inlineStr">
        <is>
          <t>A 43453-2022</t>
        </is>
      </c>
      <c r="B1432" s="1" t="n">
        <v>44835</v>
      </c>
      <c r="C1432" s="1" t="n">
        <v>45156</v>
      </c>
      <c r="D1432" t="inlineStr">
        <is>
          <t>STRÖMSUND</t>
        </is>
      </c>
      <c r="E1432" t="inlineStr">
        <is>
          <t>SCA</t>
        </is>
      </c>
      <c r="F1432" t="n">
        <v>10.9</v>
      </c>
      <c r="G1432" t="n">
        <v>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</row>
    <row r="1433">
      <c r="A1433" t="inlineStr">
        <is>
          <t>A 43790-2022</t>
        </is>
      </c>
      <c r="B1433" s="1" t="n">
        <v>44837</v>
      </c>
      <c r="C1433" s="1" t="n">
        <v>45156</v>
      </c>
      <c r="D1433" t="inlineStr">
        <is>
          <t>STRÖMSUND</t>
        </is>
      </c>
      <c r="E1433" t="inlineStr">
        <is>
          <t>SCA</t>
        </is>
      </c>
      <c r="F1433" t="n">
        <v>1.5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</row>
    <row r="1434">
      <c r="A1434" t="inlineStr">
        <is>
          <t>A 44450-2022</t>
        </is>
      </c>
      <c r="B1434" s="1" t="n">
        <v>44839</v>
      </c>
      <c r="C1434" s="1" t="n">
        <v>45156</v>
      </c>
      <c r="D1434" t="inlineStr">
        <is>
          <t>STRÖMSUND</t>
        </is>
      </c>
      <c r="E1434" t="inlineStr">
        <is>
          <t>SCA</t>
        </is>
      </c>
      <c r="F1434" t="n">
        <v>1.3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</row>
    <row r="1435">
      <c r="A1435" t="inlineStr">
        <is>
          <t>A 44452-2022</t>
        </is>
      </c>
      <c r="B1435" s="1" t="n">
        <v>44839</v>
      </c>
      <c r="C1435" s="1" t="n">
        <v>45156</v>
      </c>
      <c r="D1435" t="inlineStr">
        <is>
          <t>STRÖMSUND</t>
        </is>
      </c>
      <c r="E1435" t="inlineStr">
        <is>
          <t>SCA</t>
        </is>
      </c>
      <c r="F1435" t="n">
        <v>1.4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</row>
    <row r="1436">
      <c r="A1436" t="inlineStr">
        <is>
          <t>A 44429-2022</t>
        </is>
      </c>
      <c r="B1436" s="1" t="n">
        <v>44839</v>
      </c>
      <c r="C1436" s="1" t="n">
        <v>45156</v>
      </c>
      <c r="D1436" t="inlineStr">
        <is>
          <t>STRÖMSUND</t>
        </is>
      </c>
      <c r="E1436" t="inlineStr">
        <is>
          <t>SCA</t>
        </is>
      </c>
      <c r="F1436" t="n">
        <v>52.1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</row>
    <row r="1437">
      <c r="A1437" t="inlineStr">
        <is>
          <t>A 44641-2022</t>
        </is>
      </c>
      <c r="B1437" s="1" t="n">
        <v>44839</v>
      </c>
      <c r="C1437" s="1" t="n">
        <v>45156</v>
      </c>
      <c r="D1437" t="inlineStr">
        <is>
          <t>STRÖMSUND</t>
        </is>
      </c>
      <c r="E1437" t="inlineStr">
        <is>
          <t>Kommuner</t>
        </is>
      </c>
      <c r="F1437" t="n">
        <v>2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</row>
    <row r="1438">
      <c r="A1438" t="inlineStr">
        <is>
          <t>A 44449-2022</t>
        </is>
      </c>
      <c r="B1438" s="1" t="n">
        <v>44839</v>
      </c>
      <c r="C1438" s="1" t="n">
        <v>45156</v>
      </c>
      <c r="D1438" t="inlineStr">
        <is>
          <t>STRÖMSUND</t>
        </is>
      </c>
      <c r="E1438" t="inlineStr">
        <is>
          <t>SCA</t>
        </is>
      </c>
      <c r="F1438" t="n">
        <v>0.9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</row>
    <row r="1439">
      <c r="A1439" t="inlineStr">
        <is>
          <t>A 44096-2022</t>
        </is>
      </c>
      <c r="B1439" s="1" t="n">
        <v>44839</v>
      </c>
      <c r="C1439" s="1" t="n">
        <v>45156</v>
      </c>
      <c r="D1439" t="inlineStr">
        <is>
          <t>STRÖMSUND</t>
        </is>
      </c>
      <c r="E1439" t="inlineStr">
        <is>
          <t>Holmen skog AB</t>
        </is>
      </c>
      <c r="F1439" t="n">
        <v>6.2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</row>
    <row r="1440">
      <c r="A1440" t="inlineStr">
        <is>
          <t>A 44249-2022</t>
        </is>
      </c>
      <c r="B1440" s="1" t="n">
        <v>44839</v>
      </c>
      <c r="C1440" s="1" t="n">
        <v>45156</v>
      </c>
      <c r="D1440" t="inlineStr">
        <is>
          <t>STRÖMSUND</t>
        </is>
      </c>
      <c r="F1440" t="n">
        <v>1.4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</row>
    <row r="1441">
      <c r="A1441" t="inlineStr">
        <is>
          <t>A 44744-2022</t>
        </is>
      </c>
      <c r="B1441" s="1" t="n">
        <v>44840</v>
      </c>
      <c r="C1441" s="1" t="n">
        <v>45156</v>
      </c>
      <c r="D1441" t="inlineStr">
        <is>
          <t>STRÖMSUND</t>
        </is>
      </c>
      <c r="E1441" t="inlineStr">
        <is>
          <t>SCA</t>
        </is>
      </c>
      <c r="F1441" t="n">
        <v>3.3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</row>
    <row r="1442">
      <c r="A1442" t="inlineStr">
        <is>
          <t>A 45140-2022</t>
        </is>
      </c>
      <c r="B1442" s="1" t="n">
        <v>44840</v>
      </c>
      <c r="C1442" s="1" t="n">
        <v>45156</v>
      </c>
      <c r="D1442" t="inlineStr">
        <is>
          <t>STRÖMSUND</t>
        </is>
      </c>
      <c r="F1442" t="n">
        <v>10.7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</row>
    <row r="1443">
      <c r="A1443" t="inlineStr">
        <is>
          <t>A 45308-2022</t>
        </is>
      </c>
      <c r="B1443" s="1" t="n">
        <v>44841</v>
      </c>
      <c r="C1443" s="1" t="n">
        <v>45156</v>
      </c>
      <c r="D1443" t="inlineStr">
        <is>
          <t>STRÖMSUND</t>
        </is>
      </c>
      <c r="F1443" t="n">
        <v>1.1</v>
      </c>
      <c r="G1443" t="n">
        <v>0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</row>
    <row r="1444">
      <c r="A1444" t="inlineStr">
        <is>
          <t>A 45072-2022</t>
        </is>
      </c>
      <c r="B1444" s="1" t="n">
        <v>44841</v>
      </c>
      <c r="C1444" s="1" t="n">
        <v>45156</v>
      </c>
      <c r="D1444" t="inlineStr">
        <is>
          <t>STRÖMSUND</t>
        </is>
      </c>
      <c r="E1444" t="inlineStr">
        <is>
          <t>SCA</t>
        </is>
      </c>
      <c r="F1444" t="n">
        <v>2.5</v>
      </c>
      <c r="G1444" t="n">
        <v>0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</row>
    <row r="1445">
      <c r="A1445" t="inlineStr">
        <is>
          <t>A 45326-2022</t>
        </is>
      </c>
      <c r="B1445" s="1" t="n">
        <v>44841</v>
      </c>
      <c r="C1445" s="1" t="n">
        <v>45156</v>
      </c>
      <c r="D1445" t="inlineStr">
        <is>
          <t>STRÖMSUND</t>
        </is>
      </c>
      <c r="F1445" t="n">
        <v>1.5</v>
      </c>
      <c r="G1445" t="n">
        <v>0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</row>
    <row r="1446">
      <c r="A1446" t="inlineStr">
        <is>
          <t>A 45398-2022</t>
        </is>
      </c>
      <c r="B1446" s="1" t="n">
        <v>44841</v>
      </c>
      <c r="C1446" s="1" t="n">
        <v>45156</v>
      </c>
      <c r="D1446" t="inlineStr">
        <is>
          <t>STRÖMSUND</t>
        </is>
      </c>
      <c r="F1446" t="n">
        <v>11.6</v>
      </c>
      <c r="G1446" t="n">
        <v>0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</row>
    <row r="1447">
      <c r="A1447" t="inlineStr">
        <is>
          <t>A 45331-2022</t>
        </is>
      </c>
      <c r="B1447" s="1" t="n">
        <v>44841</v>
      </c>
      <c r="C1447" s="1" t="n">
        <v>45156</v>
      </c>
      <c r="D1447" t="inlineStr">
        <is>
          <t>STRÖMSUND</t>
        </is>
      </c>
      <c r="F1447" t="n">
        <v>1.9</v>
      </c>
      <c r="G1447" t="n">
        <v>0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</row>
    <row r="1448">
      <c r="A1448" t="inlineStr">
        <is>
          <t>A 46054-2022</t>
        </is>
      </c>
      <c r="B1448" s="1" t="n">
        <v>44846</v>
      </c>
      <c r="C1448" s="1" t="n">
        <v>45156</v>
      </c>
      <c r="D1448" t="inlineStr">
        <is>
          <t>STRÖMSUND</t>
        </is>
      </c>
      <c r="E1448" t="inlineStr">
        <is>
          <t>SCA</t>
        </is>
      </c>
      <c r="F1448" t="n">
        <v>0.8</v>
      </c>
      <c r="G1448" t="n">
        <v>0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</row>
    <row r="1449">
      <c r="A1449" t="inlineStr">
        <is>
          <t>A 47320-2022</t>
        </is>
      </c>
      <c r="B1449" s="1" t="n">
        <v>44846</v>
      </c>
      <c r="C1449" s="1" t="n">
        <v>45156</v>
      </c>
      <c r="D1449" t="inlineStr">
        <is>
          <t>STRÖMSUND</t>
        </is>
      </c>
      <c r="F1449" t="n">
        <v>6.5</v>
      </c>
      <c r="G1449" t="n">
        <v>0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</row>
    <row r="1450">
      <c r="A1450" t="inlineStr">
        <is>
          <t>A 46975-2022</t>
        </is>
      </c>
      <c r="B1450" s="1" t="n">
        <v>44851</v>
      </c>
      <c r="C1450" s="1" t="n">
        <v>45156</v>
      </c>
      <c r="D1450" t="inlineStr">
        <is>
          <t>STRÖMSUND</t>
        </is>
      </c>
      <c r="E1450" t="inlineStr">
        <is>
          <t>SCA</t>
        </is>
      </c>
      <c r="F1450" t="n">
        <v>7.2</v>
      </c>
      <c r="G1450" t="n">
        <v>0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</row>
    <row r="1451">
      <c r="A1451" t="inlineStr">
        <is>
          <t>A 46987-2022</t>
        </is>
      </c>
      <c r="B1451" s="1" t="n">
        <v>44851</v>
      </c>
      <c r="C1451" s="1" t="n">
        <v>45156</v>
      </c>
      <c r="D1451" t="inlineStr">
        <is>
          <t>STRÖMSUND</t>
        </is>
      </c>
      <c r="E1451" t="inlineStr">
        <is>
          <t>SCA</t>
        </is>
      </c>
      <c r="F1451" t="n">
        <v>1.5</v>
      </c>
      <c r="G1451" t="n">
        <v>0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</row>
    <row r="1452">
      <c r="A1452" t="inlineStr">
        <is>
          <t>A 46976-2022</t>
        </is>
      </c>
      <c r="B1452" s="1" t="n">
        <v>44851</v>
      </c>
      <c r="C1452" s="1" t="n">
        <v>45156</v>
      </c>
      <c r="D1452" t="inlineStr">
        <is>
          <t>STRÖMSUND</t>
        </is>
      </c>
      <c r="E1452" t="inlineStr">
        <is>
          <t>SCA</t>
        </is>
      </c>
      <c r="F1452" t="n">
        <v>2.7</v>
      </c>
      <c r="G1452" t="n">
        <v>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</row>
    <row r="1453">
      <c r="A1453" t="inlineStr">
        <is>
          <t>A 46959-2022</t>
        </is>
      </c>
      <c r="B1453" s="1" t="n">
        <v>44851</v>
      </c>
      <c r="C1453" s="1" t="n">
        <v>45156</v>
      </c>
      <c r="D1453" t="inlineStr">
        <is>
          <t>STRÖMSUND</t>
        </is>
      </c>
      <c r="F1453" t="n">
        <v>10.6</v>
      </c>
      <c r="G1453" t="n">
        <v>0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</row>
    <row r="1454">
      <c r="A1454" t="inlineStr">
        <is>
          <t>A 47290-2022</t>
        </is>
      </c>
      <c r="B1454" s="1" t="n">
        <v>44852</v>
      </c>
      <c r="C1454" s="1" t="n">
        <v>45156</v>
      </c>
      <c r="D1454" t="inlineStr">
        <is>
          <t>STRÖMSUND</t>
        </is>
      </c>
      <c r="E1454" t="inlineStr">
        <is>
          <t>SCA</t>
        </is>
      </c>
      <c r="F1454" t="n">
        <v>9</v>
      </c>
      <c r="G1454" t="n">
        <v>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</row>
    <row r="1455">
      <c r="A1455" t="inlineStr">
        <is>
          <t>A 47291-2022</t>
        </is>
      </c>
      <c r="B1455" s="1" t="n">
        <v>44852</v>
      </c>
      <c r="C1455" s="1" t="n">
        <v>45156</v>
      </c>
      <c r="D1455" t="inlineStr">
        <is>
          <t>STRÖMSUND</t>
        </is>
      </c>
      <c r="E1455" t="inlineStr">
        <is>
          <t>SCA</t>
        </is>
      </c>
      <c r="F1455" t="n">
        <v>4.2</v>
      </c>
      <c r="G1455" t="n">
        <v>0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</row>
    <row r="1456">
      <c r="A1456" t="inlineStr">
        <is>
          <t>A 47271-2022</t>
        </is>
      </c>
      <c r="B1456" s="1" t="n">
        <v>44852</v>
      </c>
      <c r="C1456" s="1" t="n">
        <v>45156</v>
      </c>
      <c r="D1456" t="inlineStr">
        <is>
          <t>STRÖMSUND</t>
        </is>
      </c>
      <c r="E1456" t="inlineStr">
        <is>
          <t>SCA</t>
        </is>
      </c>
      <c r="F1456" t="n">
        <v>1.7</v>
      </c>
      <c r="G1456" t="n">
        <v>0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</row>
    <row r="1457">
      <c r="A1457" t="inlineStr">
        <is>
          <t>A 47577-2022</t>
        </is>
      </c>
      <c r="B1457" s="1" t="n">
        <v>44853</v>
      </c>
      <c r="C1457" s="1" t="n">
        <v>45156</v>
      </c>
      <c r="D1457" t="inlineStr">
        <is>
          <t>STRÖMSUND</t>
        </is>
      </c>
      <c r="E1457" t="inlineStr">
        <is>
          <t>SCA</t>
        </is>
      </c>
      <c r="F1457" t="n">
        <v>6.4</v>
      </c>
      <c r="G1457" t="n">
        <v>0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</row>
    <row r="1458">
      <c r="A1458" t="inlineStr">
        <is>
          <t>A 47391-2022</t>
        </is>
      </c>
      <c r="B1458" s="1" t="n">
        <v>44853</v>
      </c>
      <c r="C1458" s="1" t="n">
        <v>45156</v>
      </c>
      <c r="D1458" t="inlineStr">
        <is>
          <t>STRÖMSUND</t>
        </is>
      </c>
      <c r="E1458" t="inlineStr">
        <is>
          <t>Holmen skog AB</t>
        </is>
      </c>
      <c r="F1458" t="n">
        <v>11.8</v>
      </c>
      <c r="G1458" t="n">
        <v>0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</row>
    <row r="1459">
      <c r="A1459" t="inlineStr">
        <is>
          <t>A 47578-2022</t>
        </is>
      </c>
      <c r="B1459" s="1" t="n">
        <v>44853</v>
      </c>
      <c r="C1459" s="1" t="n">
        <v>45156</v>
      </c>
      <c r="D1459" t="inlineStr">
        <is>
          <t>STRÖMSUND</t>
        </is>
      </c>
      <c r="E1459" t="inlineStr">
        <is>
          <t>SCA</t>
        </is>
      </c>
      <c r="F1459" t="n">
        <v>1.5</v>
      </c>
      <c r="G1459" t="n">
        <v>0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</row>
    <row r="1460">
      <c r="A1460" t="inlineStr">
        <is>
          <t>A 48564-2022</t>
        </is>
      </c>
      <c r="B1460" s="1" t="n">
        <v>44854</v>
      </c>
      <c r="C1460" s="1" t="n">
        <v>45156</v>
      </c>
      <c r="D1460" t="inlineStr">
        <is>
          <t>STRÖMSUND</t>
        </is>
      </c>
      <c r="F1460" t="n">
        <v>10.2</v>
      </c>
      <c r="G1460" t="n">
        <v>0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</row>
    <row r="1461">
      <c r="A1461" t="inlineStr">
        <is>
          <t>A 47636-2022</t>
        </is>
      </c>
      <c r="B1461" s="1" t="n">
        <v>44854</v>
      </c>
      <c r="C1461" s="1" t="n">
        <v>45156</v>
      </c>
      <c r="D1461" t="inlineStr">
        <is>
          <t>STRÖMSUND</t>
        </is>
      </c>
      <c r="E1461" t="inlineStr">
        <is>
          <t>Holmen skog AB</t>
        </is>
      </c>
      <c r="F1461" t="n">
        <v>18.7</v>
      </c>
      <c r="G1461" t="n">
        <v>0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</row>
    <row r="1462">
      <c r="A1462" t="inlineStr">
        <is>
          <t>A 48547-2022</t>
        </is>
      </c>
      <c r="B1462" s="1" t="n">
        <v>44858</v>
      </c>
      <c r="C1462" s="1" t="n">
        <v>45156</v>
      </c>
      <c r="D1462" t="inlineStr">
        <is>
          <t>STRÖMSUND</t>
        </is>
      </c>
      <c r="E1462" t="inlineStr">
        <is>
          <t>SCA</t>
        </is>
      </c>
      <c r="F1462" t="n">
        <v>3</v>
      </c>
      <c r="G1462" t="n">
        <v>0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</row>
    <row r="1463">
      <c r="A1463" t="inlineStr">
        <is>
          <t>A 49287-2022</t>
        </is>
      </c>
      <c r="B1463" s="1" t="n">
        <v>44858</v>
      </c>
      <c r="C1463" s="1" t="n">
        <v>45156</v>
      </c>
      <c r="D1463" t="inlineStr">
        <is>
          <t>STRÖMSUND</t>
        </is>
      </c>
      <c r="F1463" t="n">
        <v>200</v>
      </c>
      <c r="G1463" t="n">
        <v>0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</row>
    <row r="1464">
      <c r="A1464" t="inlineStr">
        <is>
          <t>A 48505-2022</t>
        </is>
      </c>
      <c r="B1464" s="1" t="n">
        <v>44858</v>
      </c>
      <c r="C1464" s="1" t="n">
        <v>45156</v>
      </c>
      <c r="D1464" t="inlineStr">
        <is>
          <t>STRÖMSUND</t>
        </is>
      </c>
      <c r="E1464" t="inlineStr">
        <is>
          <t>SCA</t>
        </is>
      </c>
      <c r="F1464" t="n">
        <v>3.1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</row>
    <row r="1465">
      <c r="A1465" t="inlineStr">
        <is>
          <t>A 48531-2022</t>
        </is>
      </c>
      <c r="B1465" s="1" t="n">
        <v>44858</v>
      </c>
      <c r="C1465" s="1" t="n">
        <v>45156</v>
      </c>
      <c r="D1465" t="inlineStr">
        <is>
          <t>STRÖMSUND</t>
        </is>
      </c>
      <c r="E1465" t="inlineStr">
        <is>
          <t>SCA</t>
        </is>
      </c>
      <c r="F1465" t="n">
        <v>3.6</v>
      </c>
      <c r="G1465" t="n">
        <v>0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</row>
    <row r="1466">
      <c r="A1466" t="inlineStr">
        <is>
          <t>A 48545-2022</t>
        </is>
      </c>
      <c r="B1466" s="1" t="n">
        <v>44858</v>
      </c>
      <c r="C1466" s="1" t="n">
        <v>45156</v>
      </c>
      <c r="D1466" t="inlineStr">
        <is>
          <t>STRÖMSUND</t>
        </is>
      </c>
      <c r="E1466" t="inlineStr">
        <is>
          <t>SCA</t>
        </is>
      </c>
      <c r="F1466" t="n">
        <v>3.1</v>
      </c>
      <c r="G1466" t="n">
        <v>0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</row>
    <row r="1467">
      <c r="A1467" t="inlineStr">
        <is>
          <t>A 48546-2022</t>
        </is>
      </c>
      <c r="B1467" s="1" t="n">
        <v>44858</v>
      </c>
      <c r="C1467" s="1" t="n">
        <v>45156</v>
      </c>
      <c r="D1467" t="inlineStr">
        <is>
          <t>STRÖMSUND</t>
        </is>
      </c>
      <c r="E1467" t="inlineStr">
        <is>
          <t>SCA</t>
        </is>
      </c>
      <c r="F1467" t="n">
        <v>2.9</v>
      </c>
      <c r="G1467" t="n">
        <v>0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</row>
    <row r="1468">
      <c r="A1468" t="inlineStr">
        <is>
          <t>A 48333-2022</t>
        </is>
      </c>
      <c r="B1468" s="1" t="n">
        <v>44858</v>
      </c>
      <c r="C1468" s="1" t="n">
        <v>45156</v>
      </c>
      <c r="D1468" t="inlineStr">
        <is>
          <t>STRÖMSUND</t>
        </is>
      </c>
      <c r="F1468" t="n">
        <v>2.5</v>
      </c>
      <c r="G1468" t="n">
        <v>0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</row>
    <row r="1469">
      <c r="A1469" t="inlineStr">
        <is>
          <t>A 49631-2022</t>
        </is>
      </c>
      <c r="B1469" s="1" t="n">
        <v>44859</v>
      </c>
      <c r="C1469" s="1" t="n">
        <v>45156</v>
      </c>
      <c r="D1469" t="inlineStr">
        <is>
          <t>STRÖMSUND</t>
        </is>
      </c>
      <c r="F1469" t="n">
        <v>6.1</v>
      </c>
      <c r="G1469" t="n">
        <v>0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</row>
    <row r="1470">
      <c r="A1470" t="inlineStr">
        <is>
          <t>A 48926-2022</t>
        </is>
      </c>
      <c r="B1470" s="1" t="n">
        <v>44859</v>
      </c>
      <c r="C1470" s="1" t="n">
        <v>45156</v>
      </c>
      <c r="D1470" t="inlineStr">
        <is>
          <t>STRÖMSUND</t>
        </is>
      </c>
      <c r="E1470" t="inlineStr">
        <is>
          <t>SCA</t>
        </is>
      </c>
      <c r="F1470" t="n">
        <v>5.9</v>
      </c>
      <c r="G1470" t="n">
        <v>0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</row>
    <row r="1471">
      <c r="A1471" t="inlineStr">
        <is>
          <t>A 49752-2022</t>
        </is>
      </c>
      <c r="B1471" s="1" t="n">
        <v>44859</v>
      </c>
      <c r="C1471" s="1" t="n">
        <v>45156</v>
      </c>
      <c r="D1471" t="inlineStr">
        <is>
          <t>STRÖMSUND</t>
        </is>
      </c>
      <c r="F1471" t="n">
        <v>4.5</v>
      </c>
      <c r="G1471" t="n">
        <v>0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</row>
    <row r="1472">
      <c r="A1472" t="inlineStr">
        <is>
          <t>A 50313-2022</t>
        </is>
      </c>
      <c r="B1472" s="1" t="n">
        <v>44865</v>
      </c>
      <c r="C1472" s="1" t="n">
        <v>45156</v>
      </c>
      <c r="D1472" t="inlineStr">
        <is>
          <t>STRÖMSUND</t>
        </is>
      </c>
      <c r="E1472" t="inlineStr">
        <is>
          <t>SCA</t>
        </is>
      </c>
      <c r="F1472" t="n">
        <v>1.5</v>
      </c>
      <c r="G1472" t="n">
        <v>0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</row>
    <row r="1473">
      <c r="A1473" t="inlineStr">
        <is>
          <t>A 50317-2022</t>
        </is>
      </c>
      <c r="B1473" s="1" t="n">
        <v>44865</v>
      </c>
      <c r="C1473" s="1" t="n">
        <v>45156</v>
      </c>
      <c r="D1473" t="inlineStr">
        <is>
          <t>STRÖMSUND</t>
        </is>
      </c>
      <c r="E1473" t="inlineStr">
        <is>
          <t>SCA</t>
        </is>
      </c>
      <c r="F1473" t="n">
        <v>19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</row>
    <row r="1474">
      <c r="A1474" t="inlineStr">
        <is>
          <t>A 50315-2022</t>
        </is>
      </c>
      <c r="B1474" s="1" t="n">
        <v>44865</v>
      </c>
      <c r="C1474" s="1" t="n">
        <v>45156</v>
      </c>
      <c r="D1474" t="inlineStr">
        <is>
          <t>STRÖMSUND</t>
        </is>
      </c>
      <c r="E1474" t="inlineStr">
        <is>
          <t>SCA</t>
        </is>
      </c>
      <c r="F1474" t="n">
        <v>1.4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</row>
    <row r="1475">
      <c r="A1475" t="inlineStr">
        <is>
          <t>A 50646-2022</t>
        </is>
      </c>
      <c r="B1475" s="1" t="n">
        <v>44866</v>
      </c>
      <c r="C1475" s="1" t="n">
        <v>45156</v>
      </c>
      <c r="D1475" t="inlineStr">
        <is>
          <t>STRÖMSUND</t>
        </is>
      </c>
      <c r="E1475" t="inlineStr">
        <is>
          <t>SCA</t>
        </is>
      </c>
      <c r="F1475" t="n">
        <v>4.5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</row>
    <row r="1476">
      <c r="A1476" t="inlineStr">
        <is>
          <t>A 50681-2022</t>
        </is>
      </c>
      <c r="B1476" s="1" t="n">
        <v>44866</v>
      </c>
      <c r="C1476" s="1" t="n">
        <v>45156</v>
      </c>
      <c r="D1476" t="inlineStr">
        <is>
          <t>STRÖMSUND</t>
        </is>
      </c>
      <c r="E1476" t="inlineStr">
        <is>
          <t>SCA</t>
        </is>
      </c>
      <c r="F1476" t="n">
        <v>2.5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</row>
    <row r="1477">
      <c r="A1477" t="inlineStr">
        <is>
          <t>A 50680-2022</t>
        </is>
      </c>
      <c r="B1477" s="1" t="n">
        <v>44866</v>
      </c>
      <c r="C1477" s="1" t="n">
        <v>45156</v>
      </c>
      <c r="D1477" t="inlineStr">
        <is>
          <t>STRÖMSUND</t>
        </is>
      </c>
      <c r="E1477" t="inlineStr">
        <is>
          <t>SCA</t>
        </is>
      </c>
      <c r="F1477" t="n">
        <v>3.7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</row>
    <row r="1478">
      <c r="A1478" t="inlineStr">
        <is>
          <t>A 51344-2022</t>
        </is>
      </c>
      <c r="B1478" s="1" t="n">
        <v>44866</v>
      </c>
      <c r="C1478" s="1" t="n">
        <v>45156</v>
      </c>
      <c r="D1478" t="inlineStr">
        <is>
          <t>STRÖMSUND</t>
        </is>
      </c>
      <c r="F1478" t="n">
        <v>1.7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</row>
    <row r="1479">
      <c r="A1479" t="inlineStr">
        <is>
          <t>A 51013-2022</t>
        </is>
      </c>
      <c r="B1479" s="1" t="n">
        <v>44867</v>
      </c>
      <c r="C1479" s="1" t="n">
        <v>45156</v>
      </c>
      <c r="D1479" t="inlineStr">
        <is>
          <t>STRÖMSUND</t>
        </is>
      </c>
      <c r="F1479" t="n">
        <v>11.2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</row>
    <row r="1480">
      <c r="A1480" t="inlineStr">
        <is>
          <t>A 51703-2022</t>
        </is>
      </c>
      <c r="B1480" s="1" t="n">
        <v>44867</v>
      </c>
      <c r="C1480" s="1" t="n">
        <v>45156</v>
      </c>
      <c r="D1480" t="inlineStr">
        <is>
          <t>STRÖMSUND</t>
        </is>
      </c>
      <c r="F1480" t="n">
        <v>4.5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</row>
    <row r="1481">
      <c r="A1481" t="inlineStr">
        <is>
          <t>A 51015-2022</t>
        </is>
      </c>
      <c r="B1481" s="1" t="n">
        <v>44867</v>
      </c>
      <c r="C1481" s="1" t="n">
        <v>45156</v>
      </c>
      <c r="D1481" t="inlineStr">
        <is>
          <t>STRÖMSUND</t>
        </is>
      </c>
      <c r="E1481" t="inlineStr">
        <is>
          <t>SCA</t>
        </is>
      </c>
      <c r="F1481" t="n">
        <v>8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</row>
    <row r="1482">
      <c r="A1482" t="inlineStr">
        <is>
          <t>A 51889-2022</t>
        </is>
      </c>
      <c r="B1482" s="1" t="n">
        <v>44867</v>
      </c>
      <c r="C1482" s="1" t="n">
        <v>45156</v>
      </c>
      <c r="D1482" t="inlineStr">
        <is>
          <t>STRÖMSUND</t>
        </is>
      </c>
      <c r="F1482" t="n">
        <v>2.5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</row>
    <row r="1483">
      <c r="A1483" t="inlineStr">
        <is>
          <t>A 52181-2022</t>
        </is>
      </c>
      <c r="B1483" s="1" t="n">
        <v>44868</v>
      </c>
      <c r="C1483" s="1" t="n">
        <v>45156</v>
      </c>
      <c r="D1483" t="inlineStr">
        <is>
          <t>STRÖMSUND</t>
        </is>
      </c>
      <c r="F1483" t="n">
        <v>5.7</v>
      </c>
      <c r="G1483" t="n">
        <v>0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</row>
    <row r="1484">
      <c r="A1484" t="inlineStr">
        <is>
          <t>A 51563-2022</t>
        </is>
      </c>
      <c r="B1484" s="1" t="n">
        <v>44869</v>
      </c>
      <c r="C1484" s="1" t="n">
        <v>45156</v>
      </c>
      <c r="D1484" t="inlineStr">
        <is>
          <t>STRÖMSUND</t>
        </is>
      </c>
      <c r="E1484" t="inlineStr">
        <is>
          <t>SCA</t>
        </is>
      </c>
      <c r="F1484" t="n">
        <v>2.4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</row>
    <row r="1485">
      <c r="A1485" t="inlineStr">
        <is>
          <t>A 52806-2022</t>
        </is>
      </c>
      <c r="B1485" s="1" t="n">
        <v>44872</v>
      </c>
      <c r="C1485" s="1" t="n">
        <v>45156</v>
      </c>
      <c r="D1485" t="inlineStr">
        <is>
          <t>STRÖMSUND</t>
        </is>
      </c>
      <c r="F1485" t="n">
        <v>0.8</v>
      </c>
      <c r="G1485" t="n">
        <v>0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</row>
    <row r="1486">
      <c r="A1486" t="inlineStr">
        <is>
          <t>A 52028-2022</t>
        </is>
      </c>
      <c r="B1486" s="1" t="n">
        <v>44872</v>
      </c>
      <c r="C1486" s="1" t="n">
        <v>45156</v>
      </c>
      <c r="D1486" t="inlineStr">
        <is>
          <t>STRÖMSUND</t>
        </is>
      </c>
      <c r="E1486" t="inlineStr">
        <is>
          <t>SCA</t>
        </is>
      </c>
      <c r="F1486" t="n">
        <v>2.7</v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</row>
    <row r="1487">
      <c r="A1487" t="inlineStr">
        <is>
          <t>A 52344-2022</t>
        </is>
      </c>
      <c r="B1487" s="1" t="n">
        <v>44873</v>
      </c>
      <c r="C1487" s="1" t="n">
        <v>45156</v>
      </c>
      <c r="D1487" t="inlineStr">
        <is>
          <t>STRÖMSUND</t>
        </is>
      </c>
      <c r="E1487" t="inlineStr">
        <is>
          <t>SCA</t>
        </is>
      </c>
      <c r="F1487" t="n">
        <v>5.4</v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</row>
    <row r="1488">
      <c r="A1488" t="inlineStr">
        <is>
          <t>A 52345-2022</t>
        </is>
      </c>
      <c r="B1488" s="1" t="n">
        <v>44873</v>
      </c>
      <c r="C1488" s="1" t="n">
        <v>45156</v>
      </c>
      <c r="D1488" t="inlineStr">
        <is>
          <t>STRÖMSUND</t>
        </is>
      </c>
      <c r="E1488" t="inlineStr">
        <is>
          <t>SCA</t>
        </is>
      </c>
      <c r="F1488" t="n">
        <v>4</v>
      </c>
      <c r="G1488" t="n">
        <v>0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</row>
    <row r="1489">
      <c r="A1489" t="inlineStr">
        <is>
          <t>A 53017-2022</t>
        </is>
      </c>
      <c r="B1489" s="1" t="n">
        <v>44875</v>
      </c>
      <c r="C1489" s="1" t="n">
        <v>45156</v>
      </c>
      <c r="D1489" t="inlineStr">
        <is>
          <t>STRÖMSUND</t>
        </is>
      </c>
      <c r="E1489" t="inlineStr">
        <is>
          <t>SCA</t>
        </is>
      </c>
      <c r="F1489" t="n">
        <v>3.6</v>
      </c>
      <c r="G1489" t="n">
        <v>0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</row>
    <row r="1490">
      <c r="A1490" t="inlineStr">
        <is>
          <t>A 53018-2022</t>
        </is>
      </c>
      <c r="B1490" s="1" t="n">
        <v>44875</v>
      </c>
      <c r="C1490" s="1" t="n">
        <v>45156</v>
      </c>
      <c r="D1490" t="inlineStr">
        <is>
          <t>STRÖMSUND</t>
        </is>
      </c>
      <c r="E1490" t="inlineStr">
        <is>
          <t>SCA</t>
        </is>
      </c>
      <c r="F1490" t="n">
        <v>2.7</v>
      </c>
      <c r="G1490" t="n">
        <v>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</row>
    <row r="1491">
      <c r="A1491" t="inlineStr">
        <is>
          <t>A 53149-2022</t>
        </is>
      </c>
      <c r="B1491" s="1" t="n">
        <v>44876</v>
      </c>
      <c r="C1491" s="1" t="n">
        <v>45156</v>
      </c>
      <c r="D1491" t="inlineStr">
        <is>
          <t>STRÖMSUND</t>
        </is>
      </c>
      <c r="E1491" t="inlineStr">
        <is>
          <t>SCA</t>
        </is>
      </c>
      <c r="F1491" t="n">
        <v>2.8</v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</row>
    <row r="1492">
      <c r="A1492" t="inlineStr">
        <is>
          <t>A 53816-2022</t>
        </is>
      </c>
      <c r="B1492" s="1" t="n">
        <v>44876</v>
      </c>
      <c r="C1492" s="1" t="n">
        <v>45156</v>
      </c>
      <c r="D1492" t="inlineStr">
        <is>
          <t>STRÖMSUND</t>
        </is>
      </c>
      <c r="F1492" t="n">
        <v>2.4</v>
      </c>
      <c r="G1492" t="n">
        <v>0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</row>
    <row r="1493">
      <c r="A1493" t="inlineStr">
        <is>
          <t>A 54050-2022</t>
        </is>
      </c>
      <c r="B1493" s="1" t="n">
        <v>44876</v>
      </c>
      <c r="C1493" s="1" t="n">
        <v>45156</v>
      </c>
      <c r="D1493" t="inlineStr">
        <is>
          <t>STRÖMSUND</t>
        </is>
      </c>
      <c r="F1493" t="n">
        <v>5.3</v>
      </c>
      <c r="G1493" t="n">
        <v>0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</row>
    <row r="1494">
      <c r="A1494" t="inlineStr">
        <is>
          <t>A 53338-2022</t>
        </is>
      </c>
      <c r="B1494" s="1" t="n">
        <v>44879</v>
      </c>
      <c r="C1494" s="1" t="n">
        <v>45156</v>
      </c>
      <c r="D1494" t="inlineStr">
        <is>
          <t>STRÖMSUND</t>
        </is>
      </c>
      <c r="F1494" t="n">
        <v>3.6</v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</row>
    <row r="1495">
      <c r="A1495" t="inlineStr">
        <is>
          <t>A 53387-2022</t>
        </is>
      </c>
      <c r="B1495" s="1" t="n">
        <v>44879</v>
      </c>
      <c r="C1495" s="1" t="n">
        <v>45156</v>
      </c>
      <c r="D1495" t="inlineStr">
        <is>
          <t>STRÖMSUND</t>
        </is>
      </c>
      <c r="F1495" t="n">
        <v>4.9</v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</row>
    <row r="1496">
      <c r="A1496" t="inlineStr">
        <is>
          <t>A 53400-2022</t>
        </is>
      </c>
      <c r="B1496" s="1" t="n">
        <v>44879</v>
      </c>
      <c r="C1496" s="1" t="n">
        <v>45156</v>
      </c>
      <c r="D1496" t="inlineStr">
        <is>
          <t>STRÖMSUND</t>
        </is>
      </c>
      <c r="F1496" t="n">
        <v>0.9</v>
      </c>
      <c r="G1496" t="n">
        <v>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</row>
    <row r="1497">
      <c r="A1497" t="inlineStr">
        <is>
          <t>A 53394-2022</t>
        </is>
      </c>
      <c r="B1497" s="1" t="n">
        <v>44879</v>
      </c>
      <c r="C1497" s="1" t="n">
        <v>45156</v>
      </c>
      <c r="D1497" t="inlineStr">
        <is>
          <t>STRÖMSUND</t>
        </is>
      </c>
      <c r="F1497" t="n">
        <v>5.2</v>
      </c>
      <c r="G1497" t="n">
        <v>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</row>
    <row r="1498">
      <c r="A1498" t="inlineStr">
        <is>
          <t>A 55459-2022</t>
        </is>
      </c>
      <c r="B1498" s="1" t="n">
        <v>44882</v>
      </c>
      <c r="C1498" s="1" t="n">
        <v>45156</v>
      </c>
      <c r="D1498" t="inlineStr">
        <is>
          <t>STRÖMSUND</t>
        </is>
      </c>
      <c r="F1498" t="n">
        <v>3.1</v>
      </c>
      <c r="G1498" t="n">
        <v>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</row>
    <row r="1499">
      <c r="A1499" t="inlineStr">
        <is>
          <t>A 54577-2022</t>
        </is>
      </c>
      <c r="B1499" s="1" t="n">
        <v>44882</v>
      </c>
      <c r="C1499" s="1" t="n">
        <v>45156</v>
      </c>
      <c r="D1499" t="inlineStr">
        <is>
          <t>STRÖMSUND</t>
        </is>
      </c>
      <c r="E1499" t="inlineStr">
        <is>
          <t>SCA</t>
        </is>
      </c>
      <c r="F1499" t="n">
        <v>1</v>
      </c>
      <c r="G1499" t="n">
        <v>0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</row>
    <row r="1500">
      <c r="A1500" t="inlineStr">
        <is>
          <t>A 54582-2022</t>
        </is>
      </c>
      <c r="B1500" s="1" t="n">
        <v>44882</v>
      </c>
      <c r="C1500" s="1" t="n">
        <v>45156</v>
      </c>
      <c r="D1500" t="inlineStr">
        <is>
          <t>STRÖMSUND</t>
        </is>
      </c>
      <c r="E1500" t="inlineStr">
        <is>
          <t>SCA</t>
        </is>
      </c>
      <c r="F1500" t="n">
        <v>10.1</v>
      </c>
      <c r="G1500" t="n">
        <v>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</row>
    <row r="1501">
      <c r="A1501" t="inlineStr">
        <is>
          <t>A 55485-2022</t>
        </is>
      </c>
      <c r="B1501" s="1" t="n">
        <v>44882</v>
      </c>
      <c r="C1501" s="1" t="n">
        <v>45156</v>
      </c>
      <c r="D1501" t="inlineStr">
        <is>
          <t>STRÖMSUND</t>
        </is>
      </c>
      <c r="F1501" t="n">
        <v>3.9</v>
      </c>
      <c r="G1501" t="n">
        <v>0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</row>
    <row r="1502">
      <c r="A1502" t="inlineStr">
        <is>
          <t>A 54828-2022</t>
        </is>
      </c>
      <c r="B1502" s="1" t="n">
        <v>44883</v>
      </c>
      <c r="C1502" s="1" t="n">
        <v>45156</v>
      </c>
      <c r="D1502" t="inlineStr">
        <is>
          <t>STRÖMSUND</t>
        </is>
      </c>
      <c r="E1502" t="inlineStr">
        <is>
          <t>SCA</t>
        </is>
      </c>
      <c r="F1502" t="n">
        <v>2.3</v>
      </c>
      <c r="G1502" t="n">
        <v>0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</row>
    <row r="1503">
      <c r="A1503" t="inlineStr">
        <is>
          <t>A 55531-2022</t>
        </is>
      </c>
      <c r="B1503" s="1" t="n">
        <v>44887</v>
      </c>
      <c r="C1503" s="1" t="n">
        <v>45156</v>
      </c>
      <c r="D1503" t="inlineStr">
        <is>
          <t>STRÖMSUND</t>
        </is>
      </c>
      <c r="F1503" t="n">
        <v>2.6</v>
      </c>
      <c r="G1503" t="n">
        <v>0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</row>
    <row r="1504">
      <c r="A1504" t="inlineStr">
        <is>
          <t>A 56196-2022</t>
        </is>
      </c>
      <c r="B1504" s="1" t="n">
        <v>44889</v>
      </c>
      <c r="C1504" s="1" t="n">
        <v>45156</v>
      </c>
      <c r="D1504" t="inlineStr">
        <is>
          <t>STRÖMSUND</t>
        </is>
      </c>
      <c r="E1504" t="inlineStr">
        <is>
          <t>SCA</t>
        </is>
      </c>
      <c r="F1504" t="n">
        <v>5.5</v>
      </c>
      <c r="G1504" t="n">
        <v>0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</row>
    <row r="1505">
      <c r="A1505" t="inlineStr">
        <is>
          <t>A 57754-2022</t>
        </is>
      </c>
      <c r="B1505" s="1" t="n">
        <v>44890</v>
      </c>
      <c r="C1505" s="1" t="n">
        <v>45156</v>
      </c>
      <c r="D1505" t="inlineStr">
        <is>
          <t>STRÖMSUND</t>
        </is>
      </c>
      <c r="E1505" t="inlineStr">
        <is>
          <t>Kyrkan</t>
        </is>
      </c>
      <c r="F1505" t="n">
        <v>1.6</v>
      </c>
      <c r="G1505" t="n">
        <v>0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</row>
    <row r="1506">
      <c r="A1506" t="inlineStr">
        <is>
          <t>A 56413-2022</t>
        </is>
      </c>
      <c r="B1506" s="1" t="n">
        <v>44890</v>
      </c>
      <c r="C1506" s="1" t="n">
        <v>45156</v>
      </c>
      <c r="D1506" t="inlineStr">
        <is>
          <t>STRÖMSUND</t>
        </is>
      </c>
      <c r="E1506" t="inlineStr">
        <is>
          <t>SCA</t>
        </is>
      </c>
      <c r="F1506" t="n">
        <v>2.9</v>
      </c>
      <c r="G1506" t="n">
        <v>0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</row>
    <row r="1507">
      <c r="A1507" t="inlineStr">
        <is>
          <t>A 56412-2022</t>
        </is>
      </c>
      <c r="B1507" s="1" t="n">
        <v>44890</v>
      </c>
      <c r="C1507" s="1" t="n">
        <v>45156</v>
      </c>
      <c r="D1507" t="inlineStr">
        <is>
          <t>STRÖMSUND</t>
        </is>
      </c>
      <c r="E1507" t="inlineStr">
        <is>
          <t>SCA</t>
        </is>
      </c>
      <c r="F1507" t="n">
        <v>8.699999999999999</v>
      </c>
      <c r="G1507" t="n">
        <v>0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</row>
    <row r="1508">
      <c r="A1508" t="inlineStr">
        <is>
          <t>A 57740-2022</t>
        </is>
      </c>
      <c r="B1508" s="1" t="n">
        <v>44890</v>
      </c>
      <c r="C1508" s="1" t="n">
        <v>45156</v>
      </c>
      <c r="D1508" t="inlineStr">
        <is>
          <t>STRÖMSUND</t>
        </is>
      </c>
      <c r="E1508" t="inlineStr">
        <is>
          <t>Kyrkan</t>
        </is>
      </c>
      <c r="F1508" t="n">
        <v>1</v>
      </c>
      <c r="G1508" t="n">
        <v>0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</row>
    <row r="1509">
      <c r="A1509" t="inlineStr">
        <is>
          <t>A 57762-2022</t>
        </is>
      </c>
      <c r="B1509" s="1" t="n">
        <v>44890</v>
      </c>
      <c r="C1509" s="1" t="n">
        <v>45156</v>
      </c>
      <c r="D1509" t="inlineStr">
        <is>
          <t>STRÖMSUND</t>
        </is>
      </c>
      <c r="E1509" t="inlineStr">
        <is>
          <t>Kyrkan</t>
        </is>
      </c>
      <c r="F1509" t="n">
        <v>7.1</v>
      </c>
      <c r="G1509" t="n">
        <v>0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</row>
    <row r="1510">
      <c r="A1510" t="inlineStr">
        <is>
          <t>A 58025-2022</t>
        </is>
      </c>
      <c r="B1510" s="1" t="n">
        <v>44893</v>
      </c>
      <c r="C1510" s="1" t="n">
        <v>45156</v>
      </c>
      <c r="D1510" t="inlineStr">
        <is>
          <t>STRÖMSUND</t>
        </is>
      </c>
      <c r="F1510" t="n">
        <v>8.5</v>
      </c>
      <c r="G1510" t="n">
        <v>0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</row>
    <row r="1511">
      <c r="A1511" t="inlineStr">
        <is>
          <t>A 58037-2022</t>
        </is>
      </c>
      <c r="B1511" s="1" t="n">
        <v>44893</v>
      </c>
      <c r="C1511" s="1" t="n">
        <v>45156</v>
      </c>
      <c r="D1511" t="inlineStr">
        <is>
          <t>STRÖMSUND</t>
        </is>
      </c>
      <c r="F1511" t="n">
        <v>7.5</v>
      </c>
      <c r="G1511" t="n">
        <v>0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</row>
    <row r="1512">
      <c r="A1512" t="inlineStr">
        <is>
          <t>A 58031-2022</t>
        </is>
      </c>
      <c r="B1512" s="1" t="n">
        <v>44893</v>
      </c>
      <c r="C1512" s="1" t="n">
        <v>45156</v>
      </c>
      <c r="D1512" t="inlineStr">
        <is>
          <t>STRÖMSUND</t>
        </is>
      </c>
      <c r="F1512" t="n">
        <v>2.2</v>
      </c>
      <c r="G1512" t="n">
        <v>0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</row>
    <row r="1513">
      <c r="A1513" t="inlineStr">
        <is>
          <t>A 57002-2022</t>
        </is>
      </c>
      <c r="B1513" s="1" t="n">
        <v>44894</v>
      </c>
      <c r="C1513" s="1" t="n">
        <v>45156</v>
      </c>
      <c r="D1513" t="inlineStr">
        <is>
          <t>STRÖMSUND</t>
        </is>
      </c>
      <c r="E1513" t="inlineStr">
        <is>
          <t>SCA</t>
        </is>
      </c>
      <c r="F1513" t="n">
        <v>4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</row>
    <row r="1514">
      <c r="A1514" t="inlineStr">
        <is>
          <t>A 56999-2022</t>
        </is>
      </c>
      <c r="B1514" s="1" t="n">
        <v>44894</v>
      </c>
      <c r="C1514" s="1" t="n">
        <v>45156</v>
      </c>
      <c r="D1514" t="inlineStr">
        <is>
          <t>STRÖMSUND</t>
        </is>
      </c>
      <c r="E1514" t="inlineStr">
        <is>
          <t>SCA</t>
        </is>
      </c>
      <c r="F1514" t="n">
        <v>6.3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</row>
    <row r="1515">
      <c r="A1515" t="inlineStr">
        <is>
          <t>A 57015-2022</t>
        </is>
      </c>
      <c r="B1515" s="1" t="n">
        <v>44894</v>
      </c>
      <c r="C1515" s="1" t="n">
        <v>45156</v>
      </c>
      <c r="D1515" t="inlineStr">
        <is>
          <t>STRÖMSUND</t>
        </is>
      </c>
      <c r="E1515" t="inlineStr">
        <is>
          <t>SCA</t>
        </is>
      </c>
      <c r="F1515" t="n">
        <v>2.8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</row>
    <row r="1516">
      <c r="A1516" t="inlineStr">
        <is>
          <t>A 57016-2022</t>
        </is>
      </c>
      <c r="B1516" s="1" t="n">
        <v>44894</v>
      </c>
      <c r="C1516" s="1" t="n">
        <v>45156</v>
      </c>
      <c r="D1516" t="inlineStr">
        <is>
          <t>STRÖMSUND</t>
        </is>
      </c>
      <c r="E1516" t="inlineStr">
        <is>
          <t>SCA</t>
        </is>
      </c>
      <c r="F1516" t="n">
        <v>2.8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</row>
    <row r="1517">
      <c r="A1517" t="inlineStr">
        <is>
          <t>A 57272-2022</t>
        </is>
      </c>
      <c r="B1517" s="1" t="n">
        <v>44895</v>
      </c>
      <c r="C1517" s="1" t="n">
        <v>45156</v>
      </c>
      <c r="D1517" t="inlineStr">
        <is>
          <t>STRÖMSUND</t>
        </is>
      </c>
      <c r="E1517" t="inlineStr">
        <is>
          <t>SCA</t>
        </is>
      </c>
      <c r="F1517" t="n">
        <v>4.4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</row>
    <row r="1518">
      <c r="A1518" t="inlineStr">
        <is>
          <t>A 57297-2022</t>
        </is>
      </c>
      <c r="B1518" s="1" t="n">
        <v>44895</v>
      </c>
      <c r="C1518" s="1" t="n">
        <v>45156</v>
      </c>
      <c r="D1518" t="inlineStr">
        <is>
          <t>STRÖMSUND</t>
        </is>
      </c>
      <c r="E1518" t="inlineStr">
        <is>
          <t>SCA</t>
        </is>
      </c>
      <c r="F1518" t="n">
        <v>1.8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</row>
    <row r="1519">
      <c r="A1519" t="inlineStr">
        <is>
          <t>A 57844-2022</t>
        </is>
      </c>
      <c r="B1519" s="1" t="n">
        <v>44897</v>
      </c>
      <c r="C1519" s="1" t="n">
        <v>45156</v>
      </c>
      <c r="D1519" t="inlineStr">
        <is>
          <t>STRÖMSUND</t>
        </is>
      </c>
      <c r="E1519" t="inlineStr">
        <is>
          <t>SCA</t>
        </is>
      </c>
      <c r="F1519" t="n">
        <v>6.5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</row>
    <row r="1520">
      <c r="A1520" t="inlineStr">
        <is>
          <t>A 58179-2022</t>
        </is>
      </c>
      <c r="B1520" s="1" t="n">
        <v>44900</v>
      </c>
      <c r="C1520" s="1" t="n">
        <v>45156</v>
      </c>
      <c r="D1520" t="inlineStr">
        <is>
          <t>STRÖMSUND</t>
        </is>
      </c>
      <c r="E1520" t="inlineStr">
        <is>
          <t>SCA</t>
        </is>
      </c>
      <c r="F1520" t="n">
        <v>4.3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</row>
    <row r="1521">
      <c r="A1521" t="inlineStr">
        <is>
          <t>A 59725-2022</t>
        </is>
      </c>
      <c r="B1521" s="1" t="n">
        <v>44900</v>
      </c>
      <c r="C1521" s="1" t="n">
        <v>45156</v>
      </c>
      <c r="D1521" t="inlineStr">
        <is>
          <t>STRÖMSUND</t>
        </is>
      </c>
      <c r="F1521" t="n">
        <v>2.5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</row>
    <row r="1522">
      <c r="A1522" t="inlineStr">
        <is>
          <t>A 58743-2022</t>
        </is>
      </c>
      <c r="B1522" s="1" t="n">
        <v>44902</v>
      </c>
      <c r="C1522" s="1" t="n">
        <v>45156</v>
      </c>
      <c r="D1522" t="inlineStr">
        <is>
          <t>STRÖMSUND</t>
        </is>
      </c>
      <c r="E1522" t="inlineStr">
        <is>
          <t>SCA</t>
        </is>
      </c>
      <c r="F1522" t="n">
        <v>1.1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</row>
    <row r="1523">
      <c r="A1523" t="inlineStr">
        <is>
          <t>A 58744-2022</t>
        </is>
      </c>
      <c r="B1523" s="1" t="n">
        <v>44902</v>
      </c>
      <c r="C1523" s="1" t="n">
        <v>45156</v>
      </c>
      <c r="D1523" t="inlineStr">
        <is>
          <t>STRÖMSUND</t>
        </is>
      </c>
      <c r="E1523" t="inlineStr">
        <is>
          <t>SCA</t>
        </is>
      </c>
      <c r="F1523" t="n">
        <v>3.6</v>
      </c>
      <c r="G1523" t="n">
        <v>0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</row>
    <row r="1524">
      <c r="A1524" t="inlineStr">
        <is>
          <t>A 58905-2022</t>
        </is>
      </c>
      <c r="B1524" s="1" t="n">
        <v>44903</v>
      </c>
      <c r="C1524" s="1" t="n">
        <v>45156</v>
      </c>
      <c r="D1524" t="inlineStr">
        <is>
          <t>STRÖMSUND</t>
        </is>
      </c>
      <c r="F1524" t="n">
        <v>0.7</v>
      </c>
      <c r="G1524" t="n">
        <v>0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</row>
    <row r="1525">
      <c r="A1525" t="inlineStr">
        <is>
          <t>A 59367-2022</t>
        </is>
      </c>
      <c r="B1525" s="1" t="n">
        <v>44904</v>
      </c>
      <c r="C1525" s="1" t="n">
        <v>45156</v>
      </c>
      <c r="D1525" t="inlineStr">
        <is>
          <t>STRÖMSUND</t>
        </is>
      </c>
      <c r="E1525" t="inlineStr">
        <is>
          <t>SCA</t>
        </is>
      </c>
      <c r="F1525" t="n">
        <v>3.3</v>
      </c>
      <c r="G1525" t="n">
        <v>0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</row>
    <row r="1526">
      <c r="A1526" t="inlineStr">
        <is>
          <t>A 59376-2022</t>
        </is>
      </c>
      <c r="B1526" s="1" t="n">
        <v>44904</v>
      </c>
      <c r="C1526" s="1" t="n">
        <v>45156</v>
      </c>
      <c r="D1526" t="inlineStr">
        <is>
          <t>STRÖMSUND</t>
        </is>
      </c>
      <c r="E1526" t="inlineStr">
        <is>
          <t>SCA</t>
        </is>
      </c>
      <c r="F1526" t="n">
        <v>0.7</v>
      </c>
      <c r="G1526" t="n">
        <v>0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</row>
    <row r="1527">
      <c r="A1527" t="inlineStr">
        <is>
          <t>A 60639-2022</t>
        </is>
      </c>
      <c r="B1527" s="1" t="n">
        <v>44907</v>
      </c>
      <c r="C1527" s="1" t="n">
        <v>45156</v>
      </c>
      <c r="D1527" t="inlineStr">
        <is>
          <t>STRÖMSUND</t>
        </is>
      </c>
      <c r="F1527" t="n">
        <v>2.6</v>
      </c>
      <c r="G1527" t="n">
        <v>0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</row>
    <row r="1528">
      <c r="A1528" t="inlineStr">
        <is>
          <t>A 60775-2022</t>
        </is>
      </c>
      <c r="B1528" s="1" t="n">
        <v>44907</v>
      </c>
      <c r="C1528" s="1" t="n">
        <v>45156</v>
      </c>
      <c r="D1528" t="inlineStr">
        <is>
          <t>STRÖMSUND</t>
        </is>
      </c>
      <c r="F1528" t="n">
        <v>1</v>
      </c>
      <c r="G1528" t="n">
        <v>0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</row>
    <row r="1529">
      <c r="A1529" t="inlineStr">
        <is>
          <t>A 59461-2022</t>
        </is>
      </c>
      <c r="B1529" s="1" t="n">
        <v>44907</v>
      </c>
      <c r="C1529" s="1" t="n">
        <v>45156</v>
      </c>
      <c r="D1529" t="inlineStr">
        <is>
          <t>STRÖMSUND</t>
        </is>
      </c>
      <c r="F1529" t="n">
        <v>10.7</v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</row>
    <row r="1530">
      <c r="A1530" t="inlineStr">
        <is>
          <t>A 59912-2022</t>
        </is>
      </c>
      <c r="B1530" s="1" t="n">
        <v>44908</v>
      </c>
      <c r="C1530" s="1" t="n">
        <v>45156</v>
      </c>
      <c r="D1530" t="inlineStr">
        <is>
          <t>STRÖMSUND</t>
        </is>
      </c>
      <c r="F1530" t="n">
        <v>3.3</v>
      </c>
      <c r="G1530" t="n">
        <v>0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</row>
    <row r="1531">
      <c r="A1531" t="inlineStr">
        <is>
          <t>A 60002-2022</t>
        </is>
      </c>
      <c r="B1531" s="1" t="n">
        <v>44909</v>
      </c>
      <c r="C1531" s="1" t="n">
        <v>45156</v>
      </c>
      <c r="D1531" t="inlineStr">
        <is>
          <t>STRÖMSUND</t>
        </is>
      </c>
      <c r="F1531" t="n">
        <v>1.8</v>
      </c>
      <c r="G1531" t="n">
        <v>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</row>
    <row r="1532">
      <c r="A1532" t="inlineStr">
        <is>
          <t>A 60667-2022</t>
        </is>
      </c>
      <c r="B1532" s="1" t="n">
        <v>44911</v>
      </c>
      <c r="C1532" s="1" t="n">
        <v>45156</v>
      </c>
      <c r="D1532" t="inlineStr">
        <is>
          <t>STRÖMSUND</t>
        </is>
      </c>
      <c r="E1532" t="inlineStr">
        <is>
          <t>SCA</t>
        </is>
      </c>
      <c r="F1532" t="n">
        <v>5.1</v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</row>
    <row r="1533">
      <c r="A1533" t="inlineStr">
        <is>
          <t>A 60742-2022</t>
        </is>
      </c>
      <c r="B1533" s="1" t="n">
        <v>44913</v>
      </c>
      <c r="C1533" s="1" t="n">
        <v>45156</v>
      </c>
      <c r="D1533" t="inlineStr">
        <is>
          <t>STRÖMSUND</t>
        </is>
      </c>
      <c r="E1533" t="inlineStr">
        <is>
          <t>SCA</t>
        </is>
      </c>
      <c r="F1533" t="n">
        <v>1.1</v>
      </c>
      <c r="G1533" t="n">
        <v>0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</row>
    <row r="1534">
      <c r="A1534" t="inlineStr">
        <is>
          <t>A 60740-2022</t>
        </is>
      </c>
      <c r="B1534" s="1" t="n">
        <v>44913</v>
      </c>
      <c r="C1534" s="1" t="n">
        <v>45156</v>
      </c>
      <c r="D1534" t="inlineStr">
        <is>
          <t>STRÖMSUND</t>
        </is>
      </c>
      <c r="E1534" t="inlineStr">
        <is>
          <t>SCA</t>
        </is>
      </c>
      <c r="F1534" t="n">
        <v>16.7</v>
      </c>
      <c r="G1534" t="n">
        <v>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</row>
    <row r="1535">
      <c r="A1535" t="inlineStr">
        <is>
          <t>A 60741-2022</t>
        </is>
      </c>
      <c r="B1535" s="1" t="n">
        <v>44913</v>
      </c>
      <c r="C1535" s="1" t="n">
        <v>45156</v>
      </c>
      <c r="D1535" t="inlineStr">
        <is>
          <t>STRÖMSUND</t>
        </is>
      </c>
      <c r="E1535" t="inlineStr">
        <is>
          <t>SCA</t>
        </is>
      </c>
      <c r="F1535" t="n">
        <v>6.7</v>
      </c>
      <c r="G1535" t="n">
        <v>0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</row>
    <row r="1536">
      <c r="A1536" t="inlineStr">
        <is>
          <t>A 60801-2022</t>
        </is>
      </c>
      <c r="B1536" s="1" t="n">
        <v>44914</v>
      </c>
      <c r="C1536" s="1" t="n">
        <v>45156</v>
      </c>
      <c r="D1536" t="inlineStr">
        <is>
          <t>STRÖMSUND</t>
        </is>
      </c>
      <c r="F1536" t="n">
        <v>1.1</v>
      </c>
      <c r="G1536" t="n">
        <v>0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</row>
    <row r="1537">
      <c r="A1537" t="inlineStr">
        <is>
          <t>A 61382-2022</t>
        </is>
      </c>
      <c r="B1537" s="1" t="n">
        <v>44915</v>
      </c>
      <c r="C1537" s="1" t="n">
        <v>45156</v>
      </c>
      <c r="D1537" t="inlineStr">
        <is>
          <t>STRÖMSUND</t>
        </is>
      </c>
      <c r="F1537" t="n">
        <v>3.8</v>
      </c>
      <c r="G1537" t="n">
        <v>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</row>
    <row r="1538">
      <c r="A1538" t="inlineStr">
        <is>
          <t>A 61380-2022</t>
        </is>
      </c>
      <c r="B1538" s="1" t="n">
        <v>44915</v>
      </c>
      <c r="C1538" s="1" t="n">
        <v>45156</v>
      </c>
      <c r="D1538" t="inlineStr">
        <is>
          <t>STRÖMSUND</t>
        </is>
      </c>
      <c r="F1538" t="n">
        <v>0.8</v>
      </c>
      <c r="G1538" t="n">
        <v>0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</row>
    <row r="1539">
      <c r="A1539" t="inlineStr">
        <is>
          <t>A 62211-2022</t>
        </is>
      </c>
      <c r="B1539" s="1" t="n">
        <v>44915</v>
      </c>
      <c r="C1539" s="1" t="n">
        <v>45156</v>
      </c>
      <c r="D1539" t="inlineStr">
        <is>
          <t>STRÖMSUND</t>
        </is>
      </c>
      <c r="F1539" t="n">
        <v>7</v>
      </c>
      <c r="G1539" t="n">
        <v>0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</row>
    <row r="1540">
      <c r="A1540" t="inlineStr">
        <is>
          <t>A 62229-2022</t>
        </is>
      </c>
      <c r="B1540" s="1" t="n">
        <v>44916</v>
      </c>
      <c r="C1540" s="1" t="n">
        <v>45156</v>
      </c>
      <c r="D1540" t="inlineStr">
        <is>
          <t>STRÖMSUND</t>
        </is>
      </c>
      <c r="F1540" t="n">
        <v>0.9</v>
      </c>
      <c r="G1540" t="n">
        <v>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</row>
    <row r="1541">
      <c r="A1541" t="inlineStr">
        <is>
          <t>A 61921-2022</t>
        </is>
      </c>
      <c r="B1541" s="1" t="n">
        <v>44917</v>
      </c>
      <c r="C1541" s="1" t="n">
        <v>45156</v>
      </c>
      <c r="D1541" t="inlineStr">
        <is>
          <t>STRÖMSUND</t>
        </is>
      </c>
      <c r="F1541" t="n">
        <v>2.8</v>
      </c>
      <c r="G1541" t="n">
        <v>0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</row>
    <row r="1542">
      <c r="A1542" t="inlineStr">
        <is>
          <t>A 31-2023</t>
        </is>
      </c>
      <c r="B1542" s="1" t="n">
        <v>44918</v>
      </c>
      <c r="C1542" s="1" t="n">
        <v>45156</v>
      </c>
      <c r="D1542" t="inlineStr">
        <is>
          <t>STRÖMSUND</t>
        </is>
      </c>
      <c r="F1542" t="n">
        <v>7.5</v>
      </c>
      <c r="G1542" t="n">
        <v>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</row>
    <row r="1543">
      <c r="A1543" t="inlineStr">
        <is>
          <t>A 897-2023</t>
        </is>
      </c>
      <c r="B1543" s="1" t="n">
        <v>44931</v>
      </c>
      <c r="C1543" s="1" t="n">
        <v>45156</v>
      </c>
      <c r="D1543" t="inlineStr">
        <is>
          <t>STRÖMSUND</t>
        </is>
      </c>
      <c r="F1543" t="n">
        <v>11.2</v>
      </c>
      <c r="G1543" t="n">
        <v>0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</row>
    <row r="1544">
      <c r="A1544" t="inlineStr">
        <is>
          <t>A 1288-2023</t>
        </is>
      </c>
      <c r="B1544" s="1" t="n">
        <v>44931</v>
      </c>
      <c r="C1544" s="1" t="n">
        <v>45156</v>
      </c>
      <c r="D1544" t="inlineStr">
        <is>
          <t>STRÖMSUND</t>
        </is>
      </c>
      <c r="F1544" t="n">
        <v>1.9</v>
      </c>
      <c r="G1544" t="n">
        <v>0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</row>
    <row r="1545">
      <c r="A1545" t="inlineStr">
        <is>
          <t>A 1744-2023</t>
        </is>
      </c>
      <c r="B1545" s="1" t="n">
        <v>44936</v>
      </c>
      <c r="C1545" s="1" t="n">
        <v>45156</v>
      </c>
      <c r="D1545" t="inlineStr">
        <is>
          <t>STRÖMSUND</t>
        </is>
      </c>
      <c r="F1545" t="n">
        <v>7.3</v>
      </c>
      <c r="G1545" t="n">
        <v>0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</row>
    <row r="1546">
      <c r="A1546" t="inlineStr">
        <is>
          <t>A 1747-2023</t>
        </is>
      </c>
      <c r="B1546" s="1" t="n">
        <v>44936</v>
      </c>
      <c r="C1546" s="1" t="n">
        <v>45156</v>
      </c>
      <c r="D1546" t="inlineStr">
        <is>
          <t>STRÖMSUND</t>
        </is>
      </c>
      <c r="F1546" t="n">
        <v>13.1</v>
      </c>
      <c r="G1546" t="n">
        <v>0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</row>
    <row r="1547">
      <c r="A1547" t="inlineStr">
        <is>
          <t>A 1952-2023</t>
        </is>
      </c>
      <c r="B1547" s="1" t="n">
        <v>44938</v>
      </c>
      <c r="C1547" s="1" t="n">
        <v>45156</v>
      </c>
      <c r="D1547" t="inlineStr">
        <is>
          <t>STRÖMSUND</t>
        </is>
      </c>
      <c r="F1547" t="n">
        <v>16</v>
      </c>
      <c r="G1547" t="n">
        <v>0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</row>
    <row r="1548">
      <c r="A1548" t="inlineStr">
        <is>
          <t>A 2246-2023</t>
        </is>
      </c>
      <c r="B1548" s="1" t="n">
        <v>44939</v>
      </c>
      <c r="C1548" s="1" t="n">
        <v>45156</v>
      </c>
      <c r="D1548" t="inlineStr">
        <is>
          <t>STRÖMSUND</t>
        </is>
      </c>
      <c r="F1548" t="n">
        <v>5.9</v>
      </c>
      <c r="G1548" t="n">
        <v>0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</row>
    <row r="1549">
      <c r="A1549" t="inlineStr">
        <is>
          <t>A 2050-2023</t>
        </is>
      </c>
      <c r="B1549" s="1" t="n">
        <v>44939</v>
      </c>
      <c r="C1549" s="1" t="n">
        <v>45156</v>
      </c>
      <c r="D1549" t="inlineStr">
        <is>
          <t>STRÖMSUND</t>
        </is>
      </c>
      <c r="F1549" t="n">
        <v>5.4</v>
      </c>
      <c r="G1549" t="n">
        <v>0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</row>
    <row r="1550">
      <c r="A1550" t="inlineStr">
        <is>
          <t>A 3189-2023</t>
        </is>
      </c>
      <c r="B1550" s="1" t="n">
        <v>44942</v>
      </c>
      <c r="C1550" s="1" t="n">
        <v>45156</v>
      </c>
      <c r="D1550" t="inlineStr">
        <is>
          <t>STRÖMSUND</t>
        </is>
      </c>
      <c r="F1550" t="n">
        <v>4.5</v>
      </c>
      <c r="G1550" t="n">
        <v>0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</row>
    <row r="1551">
      <c r="A1551" t="inlineStr">
        <is>
          <t>A 2675-2023</t>
        </is>
      </c>
      <c r="B1551" s="1" t="n">
        <v>44942</v>
      </c>
      <c r="C1551" s="1" t="n">
        <v>45156</v>
      </c>
      <c r="D1551" t="inlineStr">
        <is>
          <t>STRÖMSUND</t>
        </is>
      </c>
      <c r="F1551" t="n">
        <v>10.4</v>
      </c>
      <c r="G1551" t="n">
        <v>0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</row>
    <row r="1552">
      <c r="A1552" t="inlineStr">
        <is>
          <t>A 2296-2023</t>
        </is>
      </c>
      <c r="B1552" s="1" t="n">
        <v>44942</v>
      </c>
      <c r="C1552" s="1" t="n">
        <v>45156</v>
      </c>
      <c r="D1552" t="inlineStr">
        <is>
          <t>STRÖMSUND</t>
        </is>
      </c>
      <c r="F1552" t="n">
        <v>1</v>
      </c>
      <c r="G1552" t="n">
        <v>0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</row>
    <row r="1553">
      <c r="A1553" t="inlineStr">
        <is>
          <t>A 3182-2023</t>
        </is>
      </c>
      <c r="B1553" s="1" t="n">
        <v>44942</v>
      </c>
      <c r="C1553" s="1" t="n">
        <v>45156</v>
      </c>
      <c r="D1553" t="inlineStr">
        <is>
          <t>STRÖMSUND</t>
        </is>
      </c>
      <c r="F1553" t="n">
        <v>1.4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</row>
    <row r="1554">
      <c r="A1554" t="inlineStr">
        <is>
          <t>A 3027-2023</t>
        </is>
      </c>
      <c r="B1554" s="1" t="n">
        <v>44945</v>
      </c>
      <c r="C1554" s="1" t="n">
        <v>45156</v>
      </c>
      <c r="D1554" t="inlineStr">
        <is>
          <t>STRÖMSUND</t>
        </is>
      </c>
      <c r="E1554" t="inlineStr">
        <is>
          <t>SCA</t>
        </is>
      </c>
      <c r="F1554" t="n">
        <v>1.2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</row>
    <row r="1555">
      <c r="A1555" t="inlineStr">
        <is>
          <t>A 3028-2023</t>
        </is>
      </c>
      <c r="B1555" s="1" t="n">
        <v>44945</v>
      </c>
      <c r="C1555" s="1" t="n">
        <v>45156</v>
      </c>
      <c r="D1555" t="inlineStr">
        <is>
          <t>STRÖMSUND</t>
        </is>
      </c>
      <c r="E1555" t="inlineStr">
        <is>
          <t>SCA</t>
        </is>
      </c>
      <c r="F1555" t="n">
        <v>1.3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</row>
    <row r="1556">
      <c r="A1556" t="inlineStr">
        <is>
          <t>A 3481-2023</t>
        </is>
      </c>
      <c r="B1556" s="1" t="n">
        <v>44949</v>
      </c>
      <c r="C1556" s="1" t="n">
        <v>45156</v>
      </c>
      <c r="D1556" t="inlineStr">
        <is>
          <t>STRÖMSUND</t>
        </is>
      </c>
      <c r="F1556" t="n">
        <v>21.6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</row>
    <row r="1557">
      <c r="A1557" t="inlineStr">
        <is>
          <t>A 3693-2023</t>
        </is>
      </c>
      <c r="B1557" s="1" t="n">
        <v>44950</v>
      </c>
      <c r="C1557" s="1" t="n">
        <v>45156</v>
      </c>
      <c r="D1557" t="inlineStr">
        <is>
          <t>STRÖMSUND</t>
        </is>
      </c>
      <c r="E1557" t="inlineStr">
        <is>
          <t>SCA</t>
        </is>
      </c>
      <c r="F1557" t="n">
        <v>5.4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</row>
    <row r="1558">
      <c r="A1558" t="inlineStr">
        <is>
          <t>A 3901-2023</t>
        </is>
      </c>
      <c r="B1558" s="1" t="n">
        <v>44951</v>
      </c>
      <c r="C1558" s="1" t="n">
        <v>45156</v>
      </c>
      <c r="D1558" t="inlineStr">
        <is>
          <t>STRÖMSUND</t>
        </is>
      </c>
      <c r="F1558" t="n">
        <v>18.2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</row>
    <row r="1559">
      <c r="A1559" t="inlineStr">
        <is>
          <t>A 4523-2023</t>
        </is>
      </c>
      <c r="B1559" s="1" t="n">
        <v>44952</v>
      </c>
      <c r="C1559" s="1" t="n">
        <v>45156</v>
      </c>
      <c r="D1559" t="inlineStr">
        <is>
          <t>STRÖMSUND</t>
        </is>
      </c>
      <c r="F1559" t="n">
        <v>3.2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</row>
    <row r="1560">
      <c r="A1560" t="inlineStr">
        <is>
          <t>A 4537-2023</t>
        </is>
      </c>
      <c r="B1560" s="1" t="n">
        <v>44952</v>
      </c>
      <c r="C1560" s="1" t="n">
        <v>45156</v>
      </c>
      <c r="D1560" t="inlineStr">
        <is>
          <t>STRÖMSUND</t>
        </is>
      </c>
      <c r="F1560" t="n">
        <v>1.3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</row>
    <row r="1561">
      <c r="A1561" t="inlineStr">
        <is>
          <t>A 4684-2023</t>
        </is>
      </c>
      <c r="B1561" s="1" t="n">
        <v>44952</v>
      </c>
      <c r="C1561" s="1" t="n">
        <v>45156</v>
      </c>
      <c r="D1561" t="inlineStr">
        <is>
          <t>STRÖMSUND</t>
        </is>
      </c>
      <c r="F1561" t="n">
        <v>24.1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</row>
    <row r="1562">
      <c r="A1562" t="inlineStr">
        <is>
          <t>A 4988-2023</t>
        </is>
      </c>
      <c r="B1562" s="1" t="n">
        <v>44956</v>
      </c>
      <c r="C1562" s="1" t="n">
        <v>45156</v>
      </c>
      <c r="D1562" t="inlineStr">
        <is>
          <t>STRÖMSUND</t>
        </is>
      </c>
      <c r="F1562" t="n">
        <v>4.7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</row>
    <row r="1563">
      <c r="A1563" t="inlineStr">
        <is>
          <t>A 4981-2023</t>
        </is>
      </c>
      <c r="B1563" s="1" t="n">
        <v>44956</v>
      </c>
      <c r="C1563" s="1" t="n">
        <v>45156</v>
      </c>
      <c r="D1563" t="inlineStr">
        <is>
          <t>STRÖMSUND</t>
        </is>
      </c>
      <c r="F1563" t="n">
        <v>5.9</v>
      </c>
      <c r="G1563" t="n">
        <v>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</row>
    <row r="1564">
      <c r="A1564" t="inlineStr">
        <is>
          <t>A 5174-2023</t>
        </is>
      </c>
      <c r="B1564" s="1" t="n">
        <v>44958</v>
      </c>
      <c r="C1564" s="1" t="n">
        <v>45156</v>
      </c>
      <c r="D1564" t="inlineStr">
        <is>
          <t>STRÖMSUND</t>
        </is>
      </c>
      <c r="E1564" t="inlineStr">
        <is>
          <t>SCA</t>
        </is>
      </c>
      <c r="F1564" t="n">
        <v>64.5</v>
      </c>
      <c r="G1564" t="n">
        <v>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</row>
    <row r="1565">
      <c r="A1565" t="inlineStr">
        <is>
          <t>A 5277-2023</t>
        </is>
      </c>
      <c r="B1565" s="1" t="n">
        <v>44959</v>
      </c>
      <c r="C1565" s="1" t="n">
        <v>45156</v>
      </c>
      <c r="D1565" t="inlineStr">
        <is>
          <t>STRÖMSUND</t>
        </is>
      </c>
      <c r="F1565" t="n">
        <v>0.2</v>
      </c>
      <c r="G1565" t="n">
        <v>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</row>
    <row r="1566">
      <c r="A1566" t="inlineStr">
        <is>
          <t>A 6267-2023</t>
        </is>
      </c>
      <c r="B1566" s="1" t="n">
        <v>44960</v>
      </c>
      <c r="C1566" s="1" t="n">
        <v>45156</v>
      </c>
      <c r="D1566" t="inlineStr">
        <is>
          <t>STRÖMSUND</t>
        </is>
      </c>
      <c r="F1566" t="n">
        <v>6.8</v>
      </c>
      <c r="G1566" t="n">
        <v>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</row>
    <row r="1567">
      <c r="A1567" t="inlineStr">
        <is>
          <t>A 6581-2023</t>
        </is>
      </c>
      <c r="B1567" s="1" t="n">
        <v>44963</v>
      </c>
      <c r="C1567" s="1" t="n">
        <v>45156</v>
      </c>
      <c r="D1567" t="inlineStr">
        <is>
          <t>STRÖMSUND</t>
        </is>
      </c>
      <c r="F1567" t="n">
        <v>2.8</v>
      </c>
      <c r="G1567" t="n">
        <v>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</row>
    <row r="1568">
      <c r="A1568" t="inlineStr">
        <is>
          <t>A 5956-2023</t>
        </is>
      </c>
      <c r="B1568" s="1" t="n">
        <v>44963</v>
      </c>
      <c r="C1568" s="1" t="n">
        <v>45156</v>
      </c>
      <c r="D1568" t="inlineStr">
        <is>
          <t>STRÖMSUND</t>
        </is>
      </c>
      <c r="E1568" t="inlineStr">
        <is>
          <t>SCA</t>
        </is>
      </c>
      <c r="F1568" t="n">
        <v>20.2</v>
      </c>
      <c r="G1568" t="n">
        <v>0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</row>
    <row r="1569">
      <c r="A1569" t="inlineStr">
        <is>
          <t>A 6583-2023</t>
        </is>
      </c>
      <c r="B1569" s="1" t="n">
        <v>44963</v>
      </c>
      <c r="C1569" s="1" t="n">
        <v>45156</v>
      </c>
      <c r="D1569" t="inlineStr">
        <is>
          <t>STRÖMSUND</t>
        </is>
      </c>
      <c r="F1569" t="n">
        <v>3.3</v>
      </c>
      <c r="G1569" t="n">
        <v>0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</row>
    <row r="1570">
      <c r="A1570" t="inlineStr">
        <is>
          <t>A 6928-2023</t>
        </is>
      </c>
      <c r="B1570" s="1" t="n">
        <v>44964</v>
      </c>
      <c r="C1570" s="1" t="n">
        <v>45156</v>
      </c>
      <c r="D1570" t="inlineStr">
        <is>
          <t>STRÖMSUND</t>
        </is>
      </c>
      <c r="F1570" t="n">
        <v>8.699999999999999</v>
      </c>
      <c r="G1570" t="n">
        <v>0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</row>
    <row r="1571">
      <c r="A1571" t="inlineStr">
        <is>
          <t>A 6932-2023</t>
        </is>
      </c>
      <c r="B1571" s="1" t="n">
        <v>44964</v>
      </c>
      <c r="C1571" s="1" t="n">
        <v>45156</v>
      </c>
      <c r="D1571" t="inlineStr">
        <is>
          <t>STRÖMSUND</t>
        </is>
      </c>
      <c r="F1571" t="n">
        <v>3.4</v>
      </c>
      <c r="G1571" t="n">
        <v>0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</row>
    <row r="1572">
      <c r="A1572" t="inlineStr">
        <is>
          <t>A 6455-2023</t>
        </is>
      </c>
      <c r="B1572" s="1" t="n">
        <v>44965</v>
      </c>
      <c r="C1572" s="1" t="n">
        <v>45156</v>
      </c>
      <c r="D1572" t="inlineStr">
        <is>
          <t>STRÖMSUND</t>
        </is>
      </c>
      <c r="E1572" t="inlineStr">
        <is>
          <t>SCA</t>
        </is>
      </c>
      <c r="F1572" t="n">
        <v>74.7</v>
      </c>
      <c r="G1572" t="n">
        <v>0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</row>
    <row r="1573">
      <c r="A1573" t="inlineStr">
        <is>
          <t>A 6774-2023</t>
        </is>
      </c>
      <c r="B1573" s="1" t="n">
        <v>44966</v>
      </c>
      <c r="C1573" s="1" t="n">
        <v>45156</v>
      </c>
      <c r="D1573" t="inlineStr">
        <is>
          <t>STRÖMSUND</t>
        </is>
      </c>
      <c r="F1573" t="n">
        <v>1.7</v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</row>
    <row r="1574">
      <c r="A1574" t="inlineStr">
        <is>
          <t>A 6780-2023</t>
        </is>
      </c>
      <c r="B1574" s="1" t="n">
        <v>44966</v>
      </c>
      <c r="C1574" s="1" t="n">
        <v>45156</v>
      </c>
      <c r="D1574" t="inlineStr">
        <is>
          <t>STRÖMSUND</t>
        </is>
      </c>
      <c r="E1574" t="inlineStr">
        <is>
          <t>SCA</t>
        </is>
      </c>
      <c r="F1574" t="n">
        <v>38.5</v>
      </c>
      <c r="G1574" t="n">
        <v>0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</row>
    <row r="1575">
      <c r="A1575" t="inlineStr">
        <is>
          <t>A 7489-2023</t>
        </is>
      </c>
      <c r="B1575" s="1" t="n">
        <v>44966</v>
      </c>
      <c r="C1575" s="1" t="n">
        <v>45156</v>
      </c>
      <c r="D1575" t="inlineStr">
        <is>
          <t>STRÖMSUND</t>
        </is>
      </c>
      <c r="F1575" t="n">
        <v>2.2</v>
      </c>
      <c r="G1575" t="n">
        <v>0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</row>
    <row r="1576">
      <c r="A1576" t="inlineStr">
        <is>
          <t>A 7015-2023</t>
        </is>
      </c>
      <c r="B1576" s="1" t="n">
        <v>44967</v>
      </c>
      <c r="C1576" s="1" t="n">
        <v>45156</v>
      </c>
      <c r="D1576" t="inlineStr">
        <is>
          <t>STRÖMSUND</t>
        </is>
      </c>
      <c r="E1576" t="inlineStr">
        <is>
          <t>SCA</t>
        </is>
      </c>
      <c r="F1576" t="n">
        <v>12.4</v>
      </c>
      <c r="G1576" t="n">
        <v>0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</row>
    <row r="1577">
      <c r="A1577" t="inlineStr">
        <is>
          <t>A 7020-2023</t>
        </is>
      </c>
      <c r="B1577" s="1" t="n">
        <v>44967</v>
      </c>
      <c r="C1577" s="1" t="n">
        <v>45156</v>
      </c>
      <c r="D1577" t="inlineStr">
        <is>
          <t>STRÖMSUND</t>
        </is>
      </c>
      <c r="E1577" t="inlineStr">
        <is>
          <t>SCA</t>
        </is>
      </c>
      <c r="F1577" t="n">
        <v>33.9</v>
      </c>
      <c r="G1577" t="n">
        <v>0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</row>
    <row r="1578">
      <c r="A1578" t="inlineStr">
        <is>
          <t>A 7929-2023</t>
        </is>
      </c>
      <c r="B1578" s="1" t="n">
        <v>44970</v>
      </c>
      <c r="C1578" s="1" t="n">
        <v>45156</v>
      </c>
      <c r="D1578" t="inlineStr">
        <is>
          <t>STRÖMSUND</t>
        </is>
      </c>
      <c r="E1578" t="inlineStr">
        <is>
          <t>Kommuner</t>
        </is>
      </c>
      <c r="F1578" t="n">
        <v>2.2</v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</row>
    <row r="1579">
      <c r="A1579" t="inlineStr">
        <is>
          <t>A 8647-2023</t>
        </is>
      </c>
      <c r="B1579" s="1" t="n">
        <v>44977</v>
      </c>
      <c r="C1579" s="1" t="n">
        <v>45156</v>
      </c>
      <c r="D1579" t="inlineStr">
        <is>
          <t>STRÖMSUND</t>
        </is>
      </c>
      <c r="E1579" t="inlineStr">
        <is>
          <t>SCA</t>
        </is>
      </c>
      <c r="F1579" t="n">
        <v>34</v>
      </c>
      <c r="G1579" t="n">
        <v>0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</row>
    <row r="1580">
      <c r="A1580" t="inlineStr">
        <is>
          <t>A 9301-2023</t>
        </is>
      </c>
      <c r="B1580" s="1" t="n">
        <v>44977</v>
      </c>
      <c r="C1580" s="1" t="n">
        <v>45156</v>
      </c>
      <c r="D1580" t="inlineStr">
        <is>
          <t>STRÖMSUND</t>
        </is>
      </c>
      <c r="F1580" t="n">
        <v>5</v>
      </c>
      <c r="G1580" t="n">
        <v>0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</row>
    <row r="1581">
      <c r="A1581" t="inlineStr">
        <is>
          <t>A 9716-2023</t>
        </is>
      </c>
      <c r="B1581" s="1" t="n">
        <v>44978</v>
      </c>
      <c r="C1581" s="1" t="n">
        <v>45156</v>
      </c>
      <c r="D1581" t="inlineStr">
        <is>
          <t>STRÖMSUND</t>
        </is>
      </c>
      <c r="F1581" t="n">
        <v>1.8</v>
      </c>
      <c r="G1581" t="n">
        <v>0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</row>
    <row r="1582">
      <c r="A1582" t="inlineStr">
        <is>
          <t>A 9555-2023</t>
        </is>
      </c>
      <c r="B1582" s="1" t="n">
        <v>44981</v>
      </c>
      <c r="C1582" s="1" t="n">
        <v>45156</v>
      </c>
      <c r="D1582" t="inlineStr">
        <is>
          <t>STRÖMSUND</t>
        </is>
      </c>
      <c r="E1582" t="inlineStr">
        <is>
          <t>SCA</t>
        </is>
      </c>
      <c r="F1582" t="n">
        <v>18.8</v>
      </c>
      <c r="G1582" t="n">
        <v>0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</row>
    <row r="1583">
      <c r="A1583" t="inlineStr">
        <is>
          <t>A 9554-2023</t>
        </is>
      </c>
      <c r="B1583" s="1" t="n">
        <v>44981</v>
      </c>
      <c r="C1583" s="1" t="n">
        <v>45156</v>
      </c>
      <c r="D1583" t="inlineStr">
        <is>
          <t>STRÖMSUND</t>
        </is>
      </c>
      <c r="E1583" t="inlineStr">
        <is>
          <t>SCA</t>
        </is>
      </c>
      <c r="F1583" t="n">
        <v>8.4</v>
      </c>
      <c r="G1583" t="n">
        <v>0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</row>
    <row r="1584">
      <c r="A1584" t="inlineStr">
        <is>
          <t>A 9851-2023</t>
        </is>
      </c>
      <c r="B1584" s="1" t="n">
        <v>44984</v>
      </c>
      <c r="C1584" s="1" t="n">
        <v>45156</v>
      </c>
      <c r="D1584" t="inlineStr">
        <is>
          <t>STRÖMSUND</t>
        </is>
      </c>
      <c r="E1584" t="inlineStr">
        <is>
          <t>SCA</t>
        </is>
      </c>
      <c r="F1584" t="n">
        <v>0.8</v>
      </c>
      <c r="G1584" t="n">
        <v>0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</row>
    <row r="1585">
      <c r="A1585" t="inlineStr">
        <is>
          <t>A 9678-2023</t>
        </is>
      </c>
      <c r="B1585" s="1" t="n">
        <v>44984</v>
      </c>
      <c r="C1585" s="1" t="n">
        <v>45156</v>
      </c>
      <c r="D1585" t="inlineStr">
        <is>
          <t>STRÖMSUND</t>
        </is>
      </c>
      <c r="F1585" t="n">
        <v>1.9</v>
      </c>
      <c r="G1585" t="n">
        <v>0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</row>
    <row r="1586">
      <c r="A1586" t="inlineStr">
        <is>
          <t>A 10738-2023</t>
        </is>
      </c>
      <c r="B1586" s="1" t="n">
        <v>44984</v>
      </c>
      <c r="C1586" s="1" t="n">
        <v>45156</v>
      </c>
      <c r="D1586" t="inlineStr">
        <is>
          <t>STRÖMSUND</t>
        </is>
      </c>
      <c r="F1586" t="n">
        <v>3.9</v>
      </c>
      <c r="G1586" t="n">
        <v>0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</row>
    <row r="1587">
      <c r="A1587" t="inlineStr">
        <is>
          <t>A 10101-2023</t>
        </is>
      </c>
      <c r="B1587" s="1" t="n">
        <v>44985</v>
      </c>
      <c r="C1587" s="1" t="n">
        <v>45156</v>
      </c>
      <c r="D1587" t="inlineStr">
        <is>
          <t>STRÖMSUND</t>
        </is>
      </c>
      <c r="E1587" t="inlineStr">
        <is>
          <t>SCA</t>
        </is>
      </c>
      <c r="F1587" t="n">
        <v>7.9</v>
      </c>
      <c r="G1587" t="n">
        <v>0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</row>
    <row r="1588">
      <c r="A1588" t="inlineStr">
        <is>
          <t>A 10944-2023</t>
        </is>
      </c>
      <c r="B1588" s="1" t="n">
        <v>44985</v>
      </c>
      <c r="C1588" s="1" t="n">
        <v>45156</v>
      </c>
      <c r="D1588" t="inlineStr">
        <is>
          <t>STRÖMSUND</t>
        </is>
      </c>
      <c r="F1588" t="n">
        <v>1.4</v>
      </c>
      <c r="G1588" t="n">
        <v>0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</row>
    <row r="1589">
      <c r="A1589" t="inlineStr">
        <is>
          <t>A 10102-2023</t>
        </is>
      </c>
      <c r="B1589" s="1" t="n">
        <v>44985</v>
      </c>
      <c r="C1589" s="1" t="n">
        <v>45156</v>
      </c>
      <c r="D1589" t="inlineStr">
        <is>
          <t>STRÖMSUND</t>
        </is>
      </c>
      <c r="E1589" t="inlineStr">
        <is>
          <t>SCA</t>
        </is>
      </c>
      <c r="F1589" t="n">
        <v>2.2</v>
      </c>
      <c r="G1589" t="n">
        <v>0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</row>
    <row r="1590">
      <c r="A1590" t="inlineStr">
        <is>
          <t>A 10537-2023</t>
        </is>
      </c>
      <c r="B1590" s="1" t="n">
        <v>44987</v>
      </c>
      <c r="C1590" s="1" t="n">
        <v>45156</v>
      </c>
      <c r="D1590" t="inlineStr">
        <is>
          <t>STRÖMSUND</t>
        </is>
      </c>
      <c r="F1590" t="n">
        <v>2.1</v>
      </c>
      <c r="G1590" t="n">
        <v>0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</row>
    <row r="1591">
      <c r="A1591" t="inlineStr">
        <is>
          <t>A 11444-2023</t>
        </is>
      </c>
      <c r="B1591" s="1" t="n">
        <v>44991</v>
      </c>
      <c r="C1591" s="1" t="n">
        <v>45156</v>
      </c>
      <c r="D1591" t="inlineStr">
        <is>
          <t>STRÖMSUND</t>
        </is>
      </c>
      <c r="F1591" t="n">
        <v>3.5</v>
      </c>
      <c r="G1591" t="n">
        <v>0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</row>
    <row r="1592">
      <c r="A1592" t="inlineStr">
        <is>
          <t>A 11458-2023</t>
        </is>
      </c>
      <c r="B1592" s="1" t="n">
        <v>44991</v>
      </c>
      <c r="C1592" s="1" t="n">
        <v>45156</v>
      </c>
      <c r="D1592" t="inlineStr">
        <is>
          <t>STRÖMSUND</t>
        </is>
      </c>
      <c r="F1592" t="n">
        <v>2.5</v>
      </c>
      <c r="G1592" t="n">
        <v>0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</row>
    <row r="1593">
      <c r="A1593" t="inlineStr">
        <is>
          <t>A 12598-2023</t>
        </is>
      </c>
      <c r="B1593" s="1" t="n">
        <v>45000</v>
      </c>
      <c r="C1593" s="1" t="n">
        <v>45156</v>
      </c>
      <c r="D1593" t="inlineStr">
        <is>
          <t>STRÖMSUND</t>
        </is>
      </c>
      <c r="F1593" t="n">
        <v>4.3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</row>
    <row r="1594">
      <c r="A1594" t="inlineStr">
        <is>
          <t>A 12644-2023</t>
        </is>
      </c>
      <c r="B1594" s="1" t="n">
        <v>45000</v>
      </c>
      <c r="C1594" s="1" t="n">
        <v>45156</v>
      </c>
      <c r="D1594" t="inlineStr">
        <is>
          <t>STRÖMSUND</t>
        </is>
      </c>
      <c r="E1594" t="inlineStr">
        <is>
          <t>Kyrkan</t>
        </is>
      </c>
      <c r="F1594" t="n">
        <v>1.6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</row>
    <row r="1595">
      <c r="A1595" t="inlineStr">
        <is>
          <t>A 12971-2023</t>
        </is>
      </c>
      <c r="B1595" s="1" t="n">
        <v>45001</v>
      </c>
      <c r="C1595" s="1" t="n">
        <v>45156</v>
      </c>
      <c r="D1595" t="inlineStr">
        <is>
          <t>STRÖMSUND</t>
        </is>
      </c>
      <c r="F1595" t="n">
        <v>15.7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</row>
    <row r="1596">
      <c r="A1596" t="inlineStr">
        <is>
          <t>A 13684-2023</t>
        </is>
      </c>
      <c r="B1596" s="1" t="n">
        <v>45006</v>
      </c>
      <c r="C1596" s="1" t="n">
        <v>45156</v>
      </c>
      <c r="D1596" t="inlineStr">
        <is>
          <t>STRÖMSUND</t>
        </is>
      </c>
      <c r="F1596" t="n">
        <v>18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</row>
    <row r="1597">
      <c r="A1597" t="inlineStr">
        <is>
          <t>A 13685-2023</t>
        </is>
      </c>
      <c r="B1597" s="1" t="n">
        <v>45006</v>
      </c>
      <c r="C1597" s="1" t="n">
        <v>45156</v>
      </c>
      <c r="D1597" t="inlineStr">
        <is>
          <t>STRÖMSUND</t>
        </is>
      </c>
      <c r="F1597" t="n">
        <v>11.4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</row>
    <row r="1598">
      <c r="A1598" t="inlineStr">
        <is>
          <t>A 13686-2023</t>
        </is>
      </c>
      <c r="B1598" s="1" t="n">
        <v>45006</v>
      </c>
      <c r="C1598" s="1" t="n">
        <v>45156</v>
      </c>
      <c r="D1598" t="inlineStr">
        <is>
          <t>STRÖMSUND</t>
        </is>
      </c>
      <c r="F1598" t="n">
        <v>4.2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</row>
    <row r="1599">
      <c r="A1599" t="inlineStr">
        <is>
          <t>A 13687-2023</t>
        </is>
      </c>
      <c r="B1599" s="1" t="n">
        <v>45006</v>
      </c>
      <c r="C1599" s="1" t="n">
        <v>45156</v>
      </c>
      <c r="D1599" t="inlineStr">
        <is>
          <t>STRÖMSUND</t>
        </is>
      </c>
      <c r="F1599" t="n">
        <v>7.1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</row>
    <row r="1600">
      <c r="A1600" t="inlineStr">
        <is>
          <t>A 14070-2023</t>
        </is>
      </c>
      <c r="B1600" s="1" t="n">
        <v>45008</v>
      </c>
      <c r="C1600" s="1" t="n">
        <v>45156</v>
      </c>
      <c r="D1600" t="inlineStr">
        <is>
          <t>STRÖMSUND</t>
        </is>
      </c>
      <c r="F1600" t="n">
        <v>17.9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</row>
    <row r="1601">
      <c r="A1601" t="inlineStr">
        <is>
          <t>A 14069-2023</t>
        </is>
      </c>
      <c r="B1601" s="1" t="n">
        <v>45008</v>
      </c>
      <c r="C1601" s="1" t="n">
        <v>45156</v>
      </c>
      <c r="D1601" t="inlineStr">
        <is>
          <t>STRÖMSUND</t>
        </is>
      </c>
      <c r="F1601" t="n">
        <v>28.2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</row>
    <row r="1602">
      <c r="A1602" t="inlineStr">
        <is>
          <t>A 14347-2023</t>
        </is>
      </c>
      <c r="B1602" s="1" t="n">
        <v>45012</v>
      </c>
      <c r="C1602" s="1" t="n">
        <v>45156</v>
      </c>
      <c r="D1602" t="inlineStr">
        <is>
          <t>STRÖMSUND</t>
        </is>
      </c>
      <c r="F1602" t="n">
        <v>1.4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</row>
    <row r="1603">
      <c r="A1603" t="inlineStr">
        <is>
          <t>A 14528-2023</t>
        </is>
      </c>
      <c r="B1603" s="1" t="n">
        <v>45012</v>
      </c>
      <c r="C1603" s="1" t="n">
        <v>45156</v>
      </c>
      <c r="D1603" t="inlineStr">
        <is>
          <t>STRÖMSUND</t>
        </is>
      </c>
      <c r="E1603" t="inlineStr">
        <is>
          <t>SCA</t>
        </is>
      </c>
      <c r="F1603" t="n">
        <v>9.6</v>
      </c>
      <c r="G1603" t="n">
        <v>0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</row>
    <row r="1604">
      <c r="A1604" t="inlineStr">
        <is>
          <t>A 14338-2023</t>
        </is>
      </c>
      <c r="B1604" s="1" t="n">
        <v>45012</v>
      </c>
      <c r="C1604" s="1" t="n">
        <v>45156</v>
      </c>
      <c r="D1604" t="inlineStr">
        <is>
          <t>STRÖMSUND</t>
        </is>
      </c>
      <c r="F1604" t="n">
        <v>4</v>
      </c>
      <c r="G1604" t="n">
        <v>0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</row>
    <row r="1605">
      <c r="A1605" t="inlineStr">
        <is>
          <t>A 14344-2023</t>
        </is>
      </c>
      <c r="B1605" s="1" t="n">
        <v>45012</v>
      </c>
      <c r="C1605" s="1" t="n">
        <v>45156</v>
      </c>
      <c r="D1605" t="inlineStr">
        <is>
          <t>STRÖMSUND</t>
        </is>
      </c>
      <c r="F1605" t="n">
        <v>0.2</v>
      </c>
      <c r="G1605" t="n">
        <v>0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</row>
    <row r="1606">
      <c r="A1606" t="inlineStr">
        <is>
          <t>A 14821-2023</t>
        </is>
      </c>
      <c r="B1606" s="1" t="n">
        <v>45013</v>
      </c>
      <c r="C1606" s="1" t="n">
        <v>45156</v>
      </c>
      <c r="D1606" t="inlineStr">
        <is>
          <t>STRÖMSUND</t>
        </is>
      </c>
      <c r="F1606" t="n">
        <v>39.3</v>
      </c>
      <c r="G1606" t="n">
        <v>0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</row>
    <row r="1607">
      <c r="A1607" t="inlineStr">
        <is>
          <t>A 14975-2023</t>
        </is>
      </c>
      <c r="B1607" s="1" t="n">
        <v>45013</v>
      </c>
      <c r="C1607" s="1" t="n">
        <v>45156</v>
      </c>
      <c r="D1607" t="inlineStr">
        <is>
          <t>STRÖMSUND</t>
        </is>
      </c>
      <c r="F1607" t="n">
        <v>10.6</v>
      </c>
      <c r="G1607" t="n">
        <v>0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</row>
    <row r="1608">
      <c r="A1608" t="inlineStr">
        <is>
          <t>A 15064-2023</t>
        </is>
      </c>
      <c r="B1608" s="1" t="n">
        <v>45015</v>
      </c>
      <c r="C1608" s="1" t="n">
        <v>45156</v>
      </c>
      <c r="D1608" t="inlineStr">
        <is>
          <t>STRÖMSUND</t>
        </is>
      </c>
      <c r="F1608" t="n">
        <v>4.4</v>
      </c>
      <c r="G1608" t="n">
        <v>0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</row>
    <row r="1609">
      <c r="A1609" t="inlineStr">
        <is>
          <t>A 15207-2023</t>
        </is>
      </c>
      <c r="B1609" s="1" t="n">
        <v>45018</v>
      </c>
      <c r="C1609" s="1" t="n">
        <v>45156</v>
      </c>
      <c r="D1609" t="inlineStr">
        <is>
          <t>STRÖMSUND</t>
        </is>
      </c>
      <c r="F1609" t="n">
        <v>1.8</v>
      </c>
      <c r="G1609" t="n">
        <v>0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</row>
    <row r="1610">
      <c r="A1610" t="inlineStr">
        <is>
          <t>A 15457-2023</t>
        </is>
      </c>
      <c r="B1610" s="1" t="n">
        <v>45019</v>
      </c>
      <c r="C1610" s="1" t="n">
        <v>45156</v>
      </c>
      <c r="D1610" t="inlineStr">
        <is>
          <t>STRÖMSUND</t>
        </is>
      </c>
      <c r="F1610" t="n">
        <v>17.2</v>
      </c>
      <c r="G1610" t="n">
        <v>0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</row>
    <row r="1611">
      <c r="A1611" t="inlineStr">
        <is>
          <t>A 15455-2023</t>
        </is>
      </c>
      <c r="B1611" s="1" t="n">
        <v>45019</v>
      </c>
      <c r="C1611" s="1" t="n">
        <v>45156</v>
      </c>
      <c r="D1611" t="inlineStr">
        <is>
          <t>STRÖMSUND</t>
        </is>
      </c>
      <c r="F1611" t="n">
        <v>20.3</v>
      </c>
      <c r="G1611" t="n">
        <v>0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</row>
    <row r="1612">
      <c r="A1612" t="inlineStr">
        <is>
          <t>A 15818-2023</t>
        </is>
      </c>
      <c r="B1612" s="1" t="n">
        <v>45021</v>
      </c>
      <c r="C1612" s="1" t="n">
        <v>45156</v>
      </c>
      <c r="D1612" t="inlineStr">
        <is>
          <t>STRÖMSUND</t>
        </is>
      </c>
      <c r="F1612" t="n">
        <v>17.9</v>
      </c>
      <c r="G1612" t="n">
        <v>0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</row>
    <row r="1613">
      <c r="A1613" t="inlineStr">
        <is>
          <t>A 17334-2023</t>
        </is>
      </c>
      <c r="B1613" s="1" t="n">
        <v>45033</v>
      </c>
      <c r="C1613" s="1" t="n">
        <v>45156</v>
      </c>
      <c r="D1613" t="inlineStr">
        <is>
          <t>STRÖMSUND</t>
        </is>
      </c>
      <c r="F1613" t="n">
        <v>4.9</v>
      </c>
      <c r="G1613" t="n">
        <v>0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</row>
    <row r="1614">
      <c r="A1614" t="inlineStr">
        <is>
          <t>A 17006-2023</t>
        </is>
      </c>
      <c r="B1614" s="1" t="n">
        <v>45033</v>
      </c>
      <c r="C1614" s="1" t="n">
        <v>45156</v>
      </c>
      <c r="D1614" t="inlineStr">
        <is>
          <t>STRÖMSUND</t>
        </is>
      </c>
      <c r="E1614" t="inlineStr">
        <is>
          <t>SCA</t>
        </is>
      </c>
      <c r="F1614" t="n">
        <v>13.4</v>
      </c>
      <c r="G1614" t="n">
        <v>0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</row>
    <row r="1615">
      <c r="A1615" t="inlineStr">
        <is>
          <t>A 17338-2023</t>
        </is>
      </c>
      <c r="B1615" s="1" t="n">
        <v>45033</v>
      </c>
      <c r="C1615" s="1" t="n">
        <v>45156</v>
      </c>
      <c r="D1615" t="inlineStr">
        <is>
          <t>STRÖMSUND</t>
        </is>
      </c>
      <c r="F1615" t="n">
        <v>0.9</v>
      </c>
      <c r="G1615" t="n">
        <v>0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</row>
    <row r="1616">
      <c r="A1616" t="inlineStr">
        <is>
          <t>A 17337-2023</t>
        </is>
      </c>
      <c r="B1616" s="1" t="n">
        <v>45033</v>
      </c>
      <c r="C1616" s="1" t="n">
        <v>45156</v>
      </c>
      <c r="D1616" t="inlineStr">
        <is>
          <t>STRÖMSUND</t>
        </is>
      </c>
      <c r="F1616" t="n">
        <v>1</v>
      </c>
      <c r="G1616" t="n">
        <v>0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</row>
    <row r="1617">
      <c r="A1617" t="inlineStr">
        <is>
          <t>A 17433-2023</t>
        </is>
      </c>
      <c r="B1617" s="1" t="n">
        <v>45035</v>
      </c>
      <c r="C1617" s="1" t="n">
        <v>45156</v>
      </c>
      <c r="D1617" t="inlineStr">
        <is>
          <t>STRÖMSUND</t>
        </is>
      </c>
      <c r="F1617" t="n">
        <v>15.6</v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</row>
    <row r="1618">
      <c r="A1618" t="inlineStr">
        <is>
          <t>A 17789-2023</t>
        </is>
      </c>
      <c r="B1618" s="1" t="n">
        <v>45036</v>
      </c>
      <c r="C1618" s="1" t="n">
        <v>45156</v>
      </c>
      <c r="D1618" t="inlineStr">
        <is>
          <t>STRÖMSUND</t>
        </is>
      </c>
      <c r="F1618" t="n">
        <v>1.3</v>
      </c>
      <c r="G1618" t="n">
        <v>0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</row>
    <row r="1619">
      <c r="A1619" t="inlineStr">
        <is>
          <t>A 17798-2023</t>
        </is>
      </c>
      <c r="B1619" s="1" t="n">
        <v>45036</v>
      </c>
      <c r="C1619" s="1" t="n">
        <v>45156</v>
      </c>
      <c r="D1619" t="inlineStr">
        <is>
          <t>STRÖMSUND</t>
        </is>
      </c>
      <c r="F1619" t="n">
        <v>1.7</v>
      </c>
      <c r="G1619" t="n">
        <v>0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</row>
    <row r="1620">
      <c r="A1620" t="inlineStr">
        <is>
          <t>A 18158-2023</t>
        </is>
      </c>
      <c r="B1620" s="1" t="n">
        <v>45040</v>
      </c>
      <c r="C1620" s="1" t="n">
        <v>45156</v>
      </c>
      <c r="D1620" t="inlineStr">
        <is>
          <t>STRÖMSUND</t>
        </is>
      </c>
      <c r="E1620" t="inlineStr">
        <is>
          <t>SCA</t>
        </is>
      </c>
      <c r="F1620" t="n">
        <v>37</v>
      </c>
      <c r="G1620" t="n">
        <v>0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</row>
    <row r="1621">
      <c r="A1621" t="inlineStr">
        <is>
          <t>A 18374-2023</t>
        </is>
      </c>
      <c r="B1621" s="1" t="n">
        <v>45041</v>
      </c>
      <c r="C1621" s="1" t="n">
        <v>45156</v>
      </c>
      <c r="D1621" t="inlineStr">
        <is>
          <t>STRÖMSUND</t>
        </is>
      </c>
      <c r="E1621" t="inlineStr">
        <is>
          <t>SCA</t>
        </is>
      </c>
      <c r="F1621" t="n">
        <v>29.7</v>
      </c>
      <c r="G1621" t="n">
        <v>0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</row>
    <row r="1622">
      <c r="A1622" t="inlineStr">
        <is>
          <t>A 18553-2023</t>
        </is>
      </c>
      <c r="B1622" s="1" t="n">
        <v>45042</v>
      </c>
      <c r="C1622" s="1" t="n">
        <v>45156</v>
      </c>
      <c r="D1622" t="inlineStr">
        <is>
          <t>STRÖMSUND</t>
        </is>
      </c>
      <c r="E1622" t="inlineStr">
        <is>
          <t>SCA</t>
        </is>
      </c>
      <c r="F1622" t="n">
        <v>31</v>
      </c>
      <c r="G1622" t="n">
        <v>0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</row>
    <row r="1623">
      <c r="A1623" t="inlineStr">
        <is>
          <t>A 18768-2023</t>
        </is>
      </c>
      <c r="B1623" s="1" t="n">
        <v>45043</v>
      </c>
      <c r="C1623" s="1" t="n">
        <v>45156</v>
      </c>
      <c r="D1623" t="inlineStr">
        <is>
          <t>STRÖMSUND</t>
        </is>
      </c>
      <c r="E1623" t="inlineStr">
        <is>
          <t>SCA</t>
        </is>
      </c>
      <c r="F1623" t="n">
        <v>3.1</v>
      </c>
      <c r="G1623" t="n">
        <v>0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</row>
    <row r="1624">
      <c r="A1624" t="inlineStr">
        <is>
          <t>A 18853-2023</t>
        </is>
      </c>
      <c r="B1624" s="1" t="n">
        <v>45043</v>
      </c>
      <c r="C1624" s="1" t="n">
        <v>45156</v>
      </c>
      <c r="D1624" t="inlineStr">
        <is>
          <t>STRÖMSUND</t>
        </is>
      </c>
      <c r="F1624" t="n">
        <v>11.9</v>
      </c>
      <c r="G1624" t="n">
        <v>0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</row>
    <row r="1625">
      <c r="A1625" t="inlineStr">
        <is>
          <t>A 18783-2023</t>
        </is>
      </c>
      <c r="B1625" s="1" t="n">
        <v>45043</v>
      </c>
      <c r="C1625" s="1" t="n">
        <v>45156</v>
      </c>
      <c r="D1625" t="inlineStr">
        <is>
          <t>STRÖMSUND</t>
        </is>
      </c>
      <c r="E1625" t="inlineStr">
        <is>
          <t>SCA</t>
        </is>
      </c>
      <c r="F1625" t="n">
        <v>12.9</v>
      </c>
      <c r="G1625" t="n">
        <v>0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</row>
    <row r="1626">
      <c r="A1626" t="inlineStr">
        <is>
          <t>A 18993-2023</t>
        </is>
      </c>
      <c r="B1626" s="1" t="n">
        <v>45044</v>
      </c>
      <c r="C1626" s="1" t="n">
        <v>45156</v>
      </c>
      <c r="D1626" t="inlineStr">
        <is>
          <t>STRÖMSUND</t>
        </is>
      </c>
      <c r="E1626" t="inlineStr">
        <is>
          <t>SCA</t>
        </is>
      </c>
      <c r="F1626" t="n">
        <v>7.5</v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</row>
    <row r="1627">
      <c r="A1627" t="inlineStr">
        <is>
          <t>A 18992-2023</t>
        </is>
      </c>
      <c r="B1627" s="1" t="n">
        <v>45044</v>
      </c>
      <c r="C1627" s="1" t="n">
        <v>45156</v>
      </c>
      <c r="D1627" t="inlineStr">
        <is>
          <t>STRÖMSUND</t>
        </is>
      </c>
      <c r="E1627" t="inlineStr">
        <is>
          <t>SCA</t>
        </is>
      </c>
      <c r="F1627" t="n">
        <v>25.7</v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</row>
    <row r="1628">
      <c r="A1628" t="inlineStr">
        <is>
          <t>A 18997-2023</t>
        </is>
      </c>
      <c r="B1628" s="1" t="n">
        <v>45044</v>
      </c>
      <c r="C1628" s="1" t="n">
        <v>45156</v>
      </c>
      <c r="D1628" t="inlineStr">
        <is>
          <t>STRÖMSUND</t>
        </is>
      </c>
      <c r="E1628" t="inlineStr">
        <is>
          <t>SCA</t>
        </is>
      </c>
      <c r="F1628" t="n">
        <v>2.5</v>
      </c>
      <c r="G1628" t="n">
        <v>0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</row>
    <row r="1629">
      <c r="A1629" t="inlineStr">
        <is>
          <t>A 19026-2023</t>
        </is>
      </c>
      <c r="B1629" s="1" t="n">
        <v>45047</v>
      </c>
      <c r="C1629" s="1" t="n">
        <v>45156</v>
      </c>
      <c r="D1629" t="inlineStr">
        <is>
          <t>STRÖMSUND</t>
        </is>
      </c>
      <c r="F1629" t="n">
        <v>15.1</v>
      </c>
      <c r="G1629" t="n">
        <v>0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</row>
    <row r="1630">
      <c r="A1630" t="inlineStr">
        <is>
          <t>A 19029-2023</t>
        </is>
      </c>
      <c r="B1630" s="1" t="n">
        <v>45047</v>
      </c>
      <c r="C1630" s="1" t="n">
        <v>45156</v>
      </c>
      <c r="D1630" t="inlineStr">
        <is>
          <t>STRÖMSUND</t>
        </is>
      </c>
      <c r="F1630" t="n">
        <v>0.6</v>
      </c>
      <c r="G1630" t="n">
        <v>0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</row>
    <row r="1631">
      <c r="A1631" t="inlineStr">
        <is>
          <t>A 19027-2023</t>
        </is>
      </c>
      <c r="B1631" s="1" t="n">
        <v>45047</v>
      </c>
      <c r="C1631" s="1" t="n">
        <v>45156</v>
      </c>
      <c r="D1631" t="inlineStr">
        <is>
          <t>STRÖMSUND</t>
        </is>
      </c>
      <c r="F1631" t="n">
        <v>4.1</v>
      </c>
      <c r="G1631" t="n">
        <v>0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</row>
    <row r="1632">
      <c r="A1632" t="inlineStr">
        <is>
          <t>A 19239-2023</t>
        </is>
      </c>
      <c r="B1632" s="1" t="n">
        <v>45048</v>
      </c>
      <c r="C1632" s="1" t="n">
        <v>45156</v>
      </c>
      <c r="D1632" t="inlineStr">
        <is>
          <t>STRÖMSUND</t>
        </is>
      </c>
      <c r="E1632" t="inlineStr">
        <is>
          <t>SCA</t>
        </is>
      </c>
      <c r="F1632" t="n">
        <v>3.6</v>
      </c>
      <c r="G1632" t="n">
        <v>0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</row>
    <row r="1633">
      <c r="A1633" t="inlineStr">
        <is>
          <t>A 19261-2023</t>
        </is>
      </c>
      <c r="B1633" s="1" t="n">
        <v>45048</v>
      </c>
      <c r="C1633" s="1" t="n">
        <v>45156</v>
      </c>
      <c r="D1633" t="inlineStr">
        <is>
          <t>STRÖMSUND</t>
        </is>
      </c>
      <c r="F1633" t="n">
        <v>17.2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</row>
    <row r="1634">
      <c r="A1634" t="inlineStr">
        <is>
          <t>A 19656-2023</t>
        </is>
      </c>
      <c r="B1634" s="1" t="n">
        <v>45050</v>
      </c>
      <c r="C1634" s="1" t="n">
        <v>45156</v>
      </c>
      <c r="D1634" t="inlineStr">
        <is>
          <t>STRÖMSUND</t>
        </is>
      </c>
      <c r="E1634" t="inlineStr">
        <is>
          <t>Kommuner</t>
        </is>
      </c>
      <c r="F1634" t="n">
        <v>4.9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</row>
    <row r="1635">
      <c r="A1635" t="inlineStr">
        <is>
          <t>A 19652-2023</t>
        </is>
      </c>
      <c r="B1635" s="1" t="n">
        <v>45050</v>
      </c>
      <c r="C1635" s="1" t="n">
        <v>45156</v>
      </c>
      <c r="D1635" t="inlineStr">
        <is>
          <t>STRÖMSUND</t>
        </is>
      </c>
      <c r="E1635" t="inlineStr">
        <is>
          <t>Kommuner</t>
        </is>
      </c>
      <c r="F1635" t="n">
        <v>14.2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</row>
    <row r="1636">
      <c r="A1636" t="inlineStr">
        <is>
          <t>A 19658-2023</t>
        </is>
      </c>
      <c r="B1636" s="1" t="n">
        <v>45050</v>
      </c>
      <c r="C1636" s="1" t="n">
        <v>45156</v>
      </c>
      <c r="D1636" t="inlineStr">
        <is>
          <t>STRÖMSUND</t>
        </is>
      </c>
      <c r="E1636" t="inlineStr">
        <is>
          <t>Kommuner</t>
        </is>
      </c>
      <c r="F1636" t="n">
        <v>23.7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</row>
    <row r="1637">
      <c r="A1637" t="inlineStr">
        <is>
          <t>A 21146-2023</t>
        </is>
      </c>
      <c r="B1637" s="1" t="n">
        <v>45057</v>
      </c>
      <c r="C1637" s="1" t="n">
        <v>45156</v>
      </c>
      <c r="D1637" t="inlineStr">
        <is>
          <t>STRÖMSUND</t>
        </is>
      </c>
      <c r="F1637" t="n">
        <v>2.6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</row>
    <row r="1638">
      <c r="A1638" t="inlineStr">
        <is>
          <t>A 20631-2023</t>
        </is>
      </c>
      <c r="B1638" s="1" t="n">
        <v>45057</v>
      </c>
      <c r="C1638" s="1" t="n">
        <v>45156</v>
      </c>
      <c r="D1638" t="inlineStr">
        <is>
          <t>STRÖMSUND</t>
        </is>
      </c>
      <c r="E1638" t="inlineStr">
        <is>
          <t>SCA</t>
        </is>
      </c>
      <c r="F1638" t="n">
        <v>6.4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</row>
    <row r="1639">
      <c r="A1639" t="inlineStr">
        <is>
          <t>A 20887-2023</t>
        </is>
      </c>
      <c r="B1639" s="1" t="n">
        <v>45058</v>
      </c>
      <c r="C1639" s="1" t="n">
        <v>45156</v>
      </c>
      <c r="D1639" t="inlineStr">
        <is>
          <t>STRÖMSUND</t>
        </is>
      </c>
      <c r="E1639" t="inlineStr">
        <is>
          <t>SCA</t>
        </is>
      </c>
      <c r="F1639" t="n">
        <v>0.6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</row>
    <row r="1640">
      <c r="A1640" t="inlineStr">
        <is>
          <t>A 21110-2023</t>
        </is>
      </c>
      <c r="B1640" s="1" t="n">
        <v>45061</v>
      </c>
      <c r="C1640" s="1" t="n">
        <v>45156</v>
      </c>
      <c r="D1640" t="inlineStr">
        <is>
          <t>STRÖMSUND</t>
        </is>
      </c>
      <c r="E1640" t="inlineStr">
        <is>
          <t>SCA</t>
        </is>
      </c>
      <c r="F1640" t="n">
        <v>2.4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</row>
    <row r="1641">
      <c r="A1641" t="inlineStr">
        <is>
          <t>A 21115-2023</t>
        </is>
      </c>
      <c r="B1641" s="1" t="n">
        <v>45061</v>
      </c>
      <c r="C1641" s="1" t="n">
        <v>45156</v>
      </c>
      <c r="D1641" t="inlineStr">
        <is>
          <t>STRÖMSUND</t>
        </is>
      </c>
      <c r="E1641" t="inlineStr">
        <is>
          <t>SCA</t>
        </is>
      </c>
      <c r="F1641" t="n">
        <v>1.9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</row>
    <row r="1642">
      <c r="A1642" t="inlineStr">
        <is>
          <t>A 21338-2023</t>
        </is>
      </c>
      <c r="B1642" s="1" t="n">
        <v>45062</v>
      </c>
      <c r="C1642" s="1" t="n">
        <v>45156</v>
      </c>
      <c r="D1642" t="inlineStr">
        <is>
          <t>STRÖMSUND</t>
        </is>
      </c>
      <c r="E1642" t="inlineStr">
        <is>
          <t>SCA</t>
        </is>
      </c>
      <c r="F1642" t="n">
        <v>0.7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</row>
    <row r="1643">
      <c r="A1643" t="inlineStr">
        <is>
          <t>A 21687-2023</t>
        </is>
      </c>
      <c r="B1643" s="1" t="n">
        <v>45063</v>
      </c>
      <c r="C1643" s="1" t="n">
        <v>45156</v>
      </c>
      <c r="D1643" t="inlineStr">
        <is>
          <t>STRÖMSUND</t>
        </is>
      </c>
      <c r="E1643" t="inlineStr">
        <is>
          <t>SCA</t>
        </is>
      </c>
      <c r="F1643" t="n">
        <v>38.4</v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</row>
    <row r="1644">
      <c r="A1644" t="inlineStr">
        <is>
          <t>A 22223-2023</t>
        </is>
      </c>
      <c r="B1644" s="1" t="n">
        <v>45069</v>
      </c>
      <c r="C1644" s="1" t="n">
        <v>45156</v>
      </c>
      <c r="D1644" t="inlineStr">
        <is>
          <t>STRÖMSUND</t>
        </is>
      </c>
      <c r="E1644" t="inlineStr">
        <is>
          <t>SCA</t>
        </is>
      </c>
      <c r="F1644" t="n">
        <v>7.1</v>
      </c>
      <c r="G1644" t="n">
        <v>0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</row>
    <row r="1645">
      <c r="A1645" t="inlineStr">
        <is>
          <t>A 22477-2023</t>
        </is>
      </c>
      <c r="B1645" s="1" t="n">
        <v>45070</v>
      </c>
      <c r="C1645" s="1" t="n">
        <v>45156</v>
      </c>
      <c r="D1645" t="inlineStr">
        <is>
          <t>STRÖMSUND</t>
        </is>
      </c>
      <c r="E1645" t="inlineStr">
        <is>
          <t>SCA</t>
        </is>
      </c>
      <c r="F1645" t="n">
        <v>2.6</v>
      </c>
      <c r="G1645" t="n">
        <v>0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</row>
    <row r="1646">
      <c r="A1646" t="inlineStr">
        <is>
          <t>A 22476-2023</t>
        </is>
      </c>
      <c r="B1646" s="1" t="n">
        <v>45070</v>
      </c>
      <c r="C1646" s="1" t="n">
        <v>45156</v>
      </c>
      <c r="D1646" t="inlineStr">
        <is>
          <t>STRÖMSUND</t>
        </is>
      </c>
      <c r="E1646" t="inlineStr">
        <is>
          <t>SCA</t>
        </is>
      </c>
      <c r="F1646" t="n">
        <v>3.7</v>
      </c>
      <c r="G1646" t="n">
        <v>0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</row>
    <row r="1647">
      <c r="A1647" t="inlineStr">
        <is>
          <t>A 22468-2023</t>
        </is>
      </c>
      <c r="B1647" s="1" t="n">
        <v>45070</v>
      </c>
      <c r="C1647" s="1" t="n">
        <v>45156</v>
      </c>
      <c r="D1647" t="inlineStr">
        <is>
          <t>STRÖMSUND</t>
        </is>
      </c>
      <c r="E1647" t="inlineStr">
        <is>
          <t>SCA</t>
        </is>
      </c>
      <c r="F1647" t="n">
        <v>6.7</v>
      </c>
      <c r="G1647" t="n">
        <v>0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</row>
    <row r="1648">
      <c r="A1648" t="inlineStr">
        <is>
          <t>A 23311-2023</t>
        </is>
      </c>
      <c r="B1648" s="1" t="n">
        <v>45075</v>
      </c>
      <c r="C1648" s="1" t="n">
        <v>45156</v>
      </c>
      <c r="D1648" t="inlineStr">
        <is>
          <t>STRÖMSUND</t>
        </is>
      </c>
      <c r="E1648" t="inlineStr">
        <is>
          <t>SCA</t>
        </is>
      </c>
      <c r="F1648" t="n">
        <v>2</v>
      </c>
      <c r="G1648" t="n">
        <v>0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</row>
    <row r="1649">
      <c r="A1649" t="inlineStr">
        <is>
          <t>A 23310-2023</t>
        </is>
      </c>
      <c r="B1649" s="1" t="n">
        <v>45075</v>
      </c>
      <c r="C1649" s="1" t="n">
        <v>45156</v>
      </c>
      <c r="D1649" t="inlineStr">
        <is>
          <t>STRÖMSUND</t>
        </is>
      </c>
      <c r="E1649" t="inlineStr">
        <is>
          <t>SCA</t>
        </is>
      </c>
      <c r="F1649" t="n">
        <v>2.3</v>
      </c>
      <c r="G1649" t="n">
        <v>0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</row>
    <row r="1650">
      <c r="A1650" t="inlineStr">
        <is>
          <t>A 23906-2023</t>
        </is>
      </c>
      <c r="B1650" s="1" t="n">
        <v>45075</v>
      </c>
      <c r="C1650" s="1" t="n">
        <v>45156</v>
      </c>
      <c r="D1650" t="inlineStr">
        <is>
          <t>STRÖMSUND</t>
        </is>
      </c>
      <c r="F1650" t="n">
        <v>0.9</v>
      </c>
      <c r="G1650" t="n">
        <v>0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</row>
    <row r="1651">
      <c r="A1651" t="inlineStr">
        <is>
          <t>A 23309-2023</t>
        </is>
      </c>
      <c r="B1651" s="1" t="n">
        <v>45075</v>
      </c>
      <c r="C1651" s="1" t="n">
        <v>45156</v>
      </c>
      <c r="D1651" t="inlineStr">
        <is>
          <t>STRÖMSUND</t>
        </is>
      </c>
      <c r="E1651" t="inlineStr">
        <is>
          <t>SCA</t>
        </is>
      </c>
      <c r="F1651" t="n">
        <v>2</v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</row>
    <row r="1652">
      <c r="A1652" t="inlineStr">
        <is>
          <t>A 23406-2023</t>
        </is>
      </c>
      <c r="B1652" s="1" t="n">
        <v>45076</v>
      </c>
      <c r="C1652" s="1" t="n">
        <v>45156</v>
      </c>
      <c r="D1652" t="inlineStr">
        <is>
          <t>STRÖMSUND</t>
        </is>
      </c>
      <c r="F1652" t="n">
        <v>11.7</v>
      </c>
      <c r="G1652" t="n">
        <v>0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</row>
    <row r="1653">
      <c r="A1653" t="inlineStr">
        <is>
          <t>A 23525-2023</t>
        </is>
      </c>
      <c r="B1653" s="1" t="n">
        <v>45076</v>
      </c>
      <c r="C1653" s="1" t="n">
        <v>45156</v>
      </c>
      <c r="D1653" t="inlineStr">
        <is>
          <t>STRÖMSUND</t>
        </is>
      </c>
      <c r="E1653" t="inlineStr">
        <is>
          <t>SCA</t>
        </is>
      </c>
      <c r="F1653" t="n">
        <v>11.8</v>
      </c>
      <c r="G1653" t="n">
        <v>0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</row>
    <row r="1654">
      <c r="A1654" t="inlineStr">
        <is>
          <t>A 23528-2023</t>
        </is>
      </c>
      <c r="B1654" s="1" t="n">
        <v>45076</v>
      </c>
      <c r="C1654" s="1" t="n">
        <v>45156</v>
      </c>
      <c r="D1654" t="inlineStr">
        <is>
          <t>STRÖMSUND</t>
        </is>
      </c>
      <c r="E1654" t="inlineStr">
        <is>
          <t>SCA</t>
        </is>
      </c>
      <c r="F1654" t="n">
        <v>1</v>
      </c>
      <c r="G1654" t="n">
        <v>0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</row>
    <row r="1655">
      <c r="A1655" t="inlineStr">
        <is>
          <t>A 23446-2023</t>
        </is>
      </c>
      <c r="B1655" s="1" t="n">
        <v>45076</v>
      </c>
      <c r="C1655" s="1" t="n">
        <v>45156</v>
      </c>
      <c r="D1655" t="inlineStr">
        <is>
          <t>STRÖMSUND</t>
        </is>
      </c>
      <c r="F1655" t="n">
        <v>1.8</v>
      </c>
      <c r="G1655" t="n">
        <v>0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</row>
    <row r="1656">
      <c r="A1656" t="inlineStr">
        <is>
          <t>A 23748-2023</t>
        </is>
      </c>
      <c r="B1656" s="1" t="n">
        <v>45077</v>
      </c>
      <c r="C1656" s="1" t="n">
        <v>45156</v>
      </c>
      <c r="D1656" t="inlineStr">
        <is>
          <t>STRÖMSUND</t>
        </is>
      </c>
      <c r="F1656" t="n">
        <v>2.2</v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</row>
    <row r="1657">
      <c r="A1657" t="inlineStr">
        <is>
          <t>A 24070-2023</t>
        </is>
      </c>
      <c r="B1657" s="1" t="n">
        <v>45078</v>
      </c>
      <c r="C1657" s="1" t="n">
        <v>45156</v>
      </c>
      <c r="D1657" t="inlineStr">
        <is>
          <t>STRÖMSUND</t>
        </is>
      </c>
      <c r="E1657" t="inlineStr">
        <is>
          <t>SCA</t>
        </is>
      </c>
      <c r="F1657" t="n">
        <v>25.2</v>
      </c>
      <c r="G1657" t="n">
        <v>0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</row>
    <row r="1658">
      <c r="A1658" t="inlineStr">
        <is>
          <t>A 24303-2023</t>
        </is>
      </c>
      <c r="B1658" s="1" t="n">
        <v>45079</v>
      </c>
      <c r="C1658" s="1" t="n">
        <v>45156</v>
      </c>
      <c r="D1658" t="inlineStr">
        <is>
          <t>STRÖMSUND</t>
        </is>
      </c>
      <c r="E1658" t="inlineStr">
        <is>
          <t>SCA</t>
        </is>
      </c>
      <c r="F1658" t="n">
        <v>2.6</v>
      </c>
      <c r="G1658" t="n">
        <v>0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</row>
    <row r="1659">
      <c r="A1659" t="inlineStr">
        <is>
          <t>A 24316-2023</t>
        </is>
      </c>
      <c r="B1659" s="1" t="n">
        <v>45079</v>
      </c>
      <c r="C1659" s="1" t="n">
        <v>45156</v>
      </c>
      <c r="D1659" t="inlineStr">
        <is>
          <t>STRÖMSUND</t>
        </is>
      </c>
      <c r="E1659" t="inlineStr">
        <is>
          <t>SCA</t>
        </is>
      </c>
      <c r="F1659" t="n">
        <v>5.1</v>
      </c>
      <c r="G1659" t="n">
        <v>0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</row>
    <row r="1660">
      <c r="A1660" t="inlineStr">
        <is>
          <t>A 24315-2023</t>
        </is>
      </c>
      <c r="B1660" s="1" t="n">
        <v>45079</v>
      </c>
      <c r="C1660" s="1" t="n">
        <v>45156</v>
      </c>
      <c r="D1660" t="inlineStr">
        <is>
          <t>STRÖMSUND</t>
        </is>
      </c>
      <c r="E1660" t="inlineStr">
        <is>
          <t>SCA</t>
        </is>
      </c>
      <c r="F1660" t="n">
        <v>7.5</v>
      </c>
      <c r="G1660" t="n">
        <v>0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</row>
    <row r="1661">
      <c r="A1661" t="inlineStr">
        <is>
          <t>A 24397-2023</t>
        </is>
      </c>
      <c r="B1661" s="1" t="n">
        <v>45082</v>
      </c>
      <c r="C1661" s="1" t="n">
        <v>45156</v>
      </c>
      <c r="D1661" t="inlineStr">
        <is>
          <t>STRÖMSUND</t>
        </is>
      </c>
      <c r="F1661" t="n">
        <v>4.4</v>
      </c>
      <c r="G1661" t="n">
        <v>0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</row>
    <row r="1662">
      <c r="A1662" t="inlineStr">
        <is>
          <t>A 24602-2023</t>
        </is>
      </c>
      <c r="B1662" s="1" t="n">
        <v>45083</v>
      </c>
      <c r="C1662" s="1" t="n">
        <v>45156</v>
      </c>
      <c r="D1662" t="inlineStr">
        <is>
          <t>STRÖMSUND</t>
        </is>
      </c>
      <c r="E1662" t="inlineStr">
        <is>
          <t>SCA</t>
        </is>
      </c>
      <c r="F1662" t="n">
        <v>3.2</v>
      </c>
      <c r="G1662" t="n">
        <v>0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</row>
    <row r="1663">
      <c r="A1663" t="inlineStr">
        <is>
          <t>A 24833-2023</t>
        </is>
      </c>
      <c r="B1663" s="1" t="n">
        <v>45084</v>
      </c>
      <c r="C1663" s="1" t="n">
        <v>45156</v>
      </c>
      <c r="D1663" t="inlineStr">
        <is>
          <t>STRÖMSUND</t>
        </is>
      </c>
      <c r="E1663" t="inlineStr">
        <is>
          <t>SCA</t>
        </is>
      </c>
      <c r="F1663" t="n">
        <v>5.8</v>
      </c>
      <c r="G1663" t="n">
        <v>0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</row>
    <row r="1664">
      <c r="A1664" t="inlineStr">
        <is>
          <t>A 25066-2023</t>
        </is>
      </c>
      <c r="B1664" s="1" t="n">
        <v>45085</v>
      </c>
      <c r="C1664" s="1" t="n">
        <v>45156</v>
      </c>
      <c r="D1664" t="inlineStr">
        <is>
          <t>STRÖMSUND</t>
        </is>
      </c>
      <c r="E1664" t="inlineStr">
        <is>
          <t>SCA</t>
        </is>
      </c>
      <c r="F1664" t="n">
        <v>7.3</v>
      </c>
      <c r="G1664" t="n">
        <v>0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</row>
    <row r="1665">
      <c r="A1665" t="inlineStr">
        <is>
          <t>A 25682-2023</t>
        </is>
      </c>
      <c r="B1665" s="1" t="n">
        <v>45089</v>
      </c>
      <c r="C1665" s="1" t="n">
        <v>45156</v>
      </c>
      <c r="D1665" t="inlineStr">
        <is>
          <t>STRÖMSUND</t>
        </is>
      </c>
      <c r="E1665" t="inlineStr">
        <is>
          <t>SCA</t>
        </is>
      </c>
      <c r="F1665" t="n">
        <v>0.9</v>
      </c>
      <c r="G1665" t="n">
        <v>0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</row>
    <row r="1666">
      <c r="A1666" t="inlineStr">
        <is>
          <t>A 26368-2023</t>
        </is>
      </c>
      <c r="B1666" s="1" t="n">
        <v>45091</v>
      </c>
      <c r="C1666" s="1" t="n">
        <v>45156</v>
      </c>
      <c r="D1666" t="inlineStr">
        <is>
          <t>STRÖMSUND</t>
        </is>
      </c>
      <c r="E1666" t="inlineStr">
        <is>
          <t>SCA</t>
        </is>
      </c>
      <c r="F1666" t="n">
        <v>3.5</v>
      </c>
      <c r="G1666" t="n">
        <v>0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</row>
    <row r="1667">
      <c r="A1667" t="inlineStr">
        <is>
          <t>A 26659-2023</t>
        </is>
      </c>
      <c r="B1667" s="1" t="n">
        <v>45092</v>
      </c>
      <c r="C1667" s="1" t="n">
        <v>45156</v>
      </c>
      <c r="D1667" t="inlineStr">
        <is>
          <t>STRÖMSUND</t>
        </is>
      </c>
      <c r="E1667" t="inlineStr">
        <is>
          <t>SCA</t>
        </is>
      </c>
      <c r="F1667" t="n">
        <v>8.300000000000001</v>
      </c>
      <c r="G1667" t="n">
        <v>0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</row>
    <row r="1668">
      <c r="A1668" t="inlineStr">
        <is>
          <t>A 27368-2023</t>
        </is>
      </c>
      <c r="B1668" s="1" t="n">
        <v>45096</v>
      </c>
      <c r="C1668" s="1" t="n">
        <v>45156</v>
      </c>
      <c r="D1668" t="inlineStr">
        <is>
          <t>STRÖMSUND</t>
        </is>
      </c>
      <c r="E1668" t="inlineStr">
        <is>
          <t>SCA</t>
        </is>
      </c>
      <c r="F1668" t="n">
        <v>3.7</v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</row>
    <row r="1669">
      <c r="A1669" t="inlineStr">
        <is>
          <t>A 27389-2023</t>
        </is>
      </c>
      <c r="B1669" s="1" t="n">
        <v>45096</v>
      </c>
      <c r="C1669" s="1" t="n">
        <v>45156</v>
      </c>
      <c r="D1669" t="inlineStr">
        <is>
          <t>STRÖMSUND</t>
        </is>
      </c>
      <c r="E1669" t="inlineStr">
        <is>
          <t>SCA</t>
        </is>
      </c>
      <c r="F1669" t="n">
        <v>1.1</v>
      </c>
      <c r="G1669" t="n">
        <v>0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</row>
    <row r="1670">
      <c r="A1670" t="inlineStr">
        <is>
          <t>A 27366-2023</t>
        </is>
      </c>
      <c r="B1670" s="1" t="n">
        <v>45096</v>
      </c>
      <c r="C1670" s="1" t="n">
        <v>45156</v>
      </c>
      <c r="D1670" t="inlineStr">
        <is>
          <t>STRÖMSUND</t>
        </is>
      </c>
      <c r="E1670" t="inlineStr">
        <is>
          <t>SCA</t>
        </is>
      </c>
      <c r="F1670" t="n">
        <v>1.3</v>
      </c>
      <c r="G1670" t="n">
        <v>0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</row>
    <row r="1671">
      <c r="A1671" t="inlineStr">
        <is>
          <t>A 28660-2023</t>
        </is>
      </c>
      <c r="B1671" s="1" t="n">
        <v>45096</v>
      </c>
      <c r="C1671" s="1" t="n">
        <v>45156</v>
      </c>
      <c r="D1671" t="inlineStr">
        <is>
          <t>STRÖMSUND</t>
        </is>
      </c>
      <c r="F1671" t="n">
        <v>6.9</v>
      </c>
      <c r="G1671" t="n">
        <v>0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</row>
    <row r="1672">
      <c r="A1672" t="inlineStr">
        <is>
          <t>A 28014-2023</t>
        </is>
      </c>
      <c r="B1672" s="1" t="n">
        <v>45098</v>
      </c>
      <c r="C1672" s="1" t="n">
        <v>45156</v>
      </c>
      <c r="D1672" t="inlineStr">
        <is>
          <t>STRÖMSUND</t>
        </is>
      </c>
      <c r="E1672" t="inlineStr">
        <is>
          <t>SCA</t>
        </is>
      </c>
      <c r="F1672" t="n">
        <v>3</v>
      </c>
      <c r="G1672" t="n">
        <v>0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</row>
    <row r="1673">
      <c r="A1673" t="inlineStr">
        <is>
          <t>A 29593-2023</t>
        </is>
      </c>
      <c r="B1673" s="1" t="n">
        <v>45098</v>
      </c>
      <c r="C1673" s="1" t="n">
        <v>45156</v>
      </c>
      <c r="D1673" t="inlineStr">
        <is>
          <t>STRÖMSUND</t>
        </is>
      </c>
      <c r="F1673" t="n">
        <v>1.5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</row>
    <row r="1674">
      <c r="A1674" t="inlineStr">
        <is>
          <t>A 31156-2023</t>
        </is>
      </c>
      <c r="B1674" s="1" t="n">
        <v>45103</v>
      </c>
      <c r="C1674" s="1" t="n">
        <v>45156</v>
      </c>
      <c r="D1674" t="inlineStr">
        <is>
          <t>STRÖMSUND</t>
        </is>
      </c>
      <c r="F1674" t="n">
        <v>0.9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</row>
    <row r="1675">
      <c r="A1675" t="inlineStr">
        <is>
          <t>A 29965-2023</t>
        </is>
      </c>
      <c r="B1675" s="1" t="n">
        <v>45107</v>
      </c>
      <c r="C1675" s="1" t="n">
        <v>45156</v>
      </c>
      <c r="D1675" t="inlineStr">
        <is>
          <t>STRÖMSUND</t>
        </is>
      </c>
      <c r="F1675" t="n">
        <v>7.5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</row>
    <row r="1676">
      <c r="A1676" t="inlineStr">
        <is>
          <t>A 30284-2023</t>
        </is>
      </c>
      <c r="B1676" s="1" t="n">
        <v>45110</v>
      </c>
      <c r="C1676" s="1" t="n">
        <v>45156</v>
      </c>
      <c r="D1676" t="inlineStr">
        <is>
          <t>STRÖMSUND</t>
        </is>
      </c>
      <c r="F1676" t="n">
        <v>4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</row>
    <row r="1677">
      <c r="A1677" t="inlineStr">
        <is>
          <t>A 32379-2023</t>
        </is>
      </c>
      <c r="B1677" s="1" t="n">
        <v>45110</v>
      </c>
      <c r="C1677" s="1" t="n">
        <v>45156</v>
      </c>
      <c r="D1677" t="inlineStr">
        <is>
          <t>STRÖMSUND</t>
        </is>
      </c>
      <c r="F1677" t="n">
        <v>5.4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</row>
    <row r="1678">
      <c r="A1678" t="inlineStr">
        <is>
          <t>A 30285-2023</t>
        </is>
      </c>
      <c r="B1678" s="1" t="n">
        <v>45110</v>
      </c>
      <c r="C1678" s="1" t="n">
        <v>45156</v>
      </c>
      <c r="D1678" t="inlineStr">
        <is>
          <t>STRÖMSUND</t>
        </is>
      </c>
      <c r="F1678" t="n">
        <v>6.4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</row>
    <row r="1679">
      <c r="A1679" t="inlineStr">
        <is>
          <t>A 32572-2023</t>
        </is>
      </c>
      <c r="B1679" s="1" t="n">
        <v>45111</v>
      </c>
      <c r="C1679" s="1" t="n">
        <v>45156</v>
      </c>
      <c r="D1679" t="inlineStr">
        <is>
          <t>STRÖMSUND</t>
        </is>
      </c>
      <c r="F1679" t="n">
        <v>1.3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</row>
    <row r="1680">
      <c r="A1680" t="inlineStr">
        <is>
          <t>A 32538-2023</t>
        </is>
      </c>
      <c r="B1680" s="1" t="n">
        <v>45111</v>
      </c>
      <c r="C1680" s="1" t="n">
        <v>45156</v>
      </c>
      <c r="D1680" t="inlineStr">
        <is>
          <t>STRÖMSUND</t>
        </is>
      </c>
      <c r="E1680" t="inlineStr">
        <is>
          <t>Kommuner</t>
        </is>
      </c>
      <c r="F1680" t="n">
        <v>5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</row>
    <row r="1681">
      <c r="A1681" t="inlineStr">
        <is>
          <t>A 32550-2023</t>
        </is>
      </c>
      <c r="B1681" s="1" t="n">
        <v>45111</v>
      </c>
      <c r="C1681" s="1" t="n">
        <v>45156</v>
      </c>
      <c r="D1681" t="inlineStr">
        <is>
          <t>STRÖMSUND</t>
        </is>
      </c>
      <c r="E1681" t="inlineStr">
        <is>
          <t>Kommuner</t>
        </is>
      </c>
      <c r="F1681" t="n">
        <v>6.8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</row>
    <row r="1682">
      <c r="A1682" t="inlineStr">
        <is>
          <t>A 32546-2023</t>
        </is>
      </c>
      <c r="B1682" s="1" t="n">
        <v>45111</v>
      </c>
      <c r="C1682" s="1" t="n">
        <v>45156</v>
      </c>
      <c r="D1682" t="inlineStr">
        <is>
          <t>STRÖMSUND</t>
        </is>
      </c>
      <c r="E1682" t="inlineStr">
        <is>
          <t>Kommuner</t>
        </is>
      </c>
      <c r="F1682" t="n">
        <v>10.3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</row>
    <row r="1683">
      <c r="A1683" t="inlineStr">
        <is>
          <t>A 32530-2023</t>
        </is>
      </c>
      <c r="B1683" s="1" t="n">
        <v>45111</v>
      </c>
      <c r="C1683" s="1" t="n">
        <v>45156</v>
      </c>
      <c r="D1683" t="inlineStr">
        <is>
          <t>STRÖMSUND</t>
        </is>
      </c>
      <c r="E1683" t="inlineStr">
        <is>
          <t>Kommuner</t>
        </is>
      </c>
      <c r="F1683" t="n">
        <v>3</v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</row>
    <row r="1684">
      <c r="A1684" t="inlineStr">
        <is>
          <t>A 30818-2023</t>
        </is>
      </c>
      <c r="B1684" s="1" t="n">
        <v>45112</v>
      </c>
      <c r="C1684" s="1" t="n">
        <v>45156</v>
      </c>
      <c r="D1684" t="inlineStr">
        <is>
          <t>STRÖMSUND</t>
        </is>
      </c>
      <c r="F1684" t="n">
        <v>10.4</v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</row>
    <row r="1685">
      <c r="A1685" t="inlineStr">
        <is>
          <t>A 32884-2023</t>
        </is>
      </c>
      <c r="B1685" s="1" t="n">
        <v>45112</v>
      </c>
      <c r="C1685" s="1" t="n">
        <v>45156</v>
      </c>
      <c r="D1685" t="inlineStr">
        <is>
          <t>STRÖMSUND</t>
        </is>
      </c>
      <c r="E1685" t="inlineStr">
        <is>
          <t>Kommuner</t>
        </is>
      </c>
      <c r="F1685" t="n">
        <v>2.4</v>
      </c>
      <c r="G1685" t="n">
        <v>0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</row>
    <row r="1686">
      <c r="A1686" t="inlineStr">
        <is>
          <t>A 32871-2023</t>
        </is>
      </c>
      <c r="B1686" s="1" t="n">
        <v>45112</v>
      </c>
      <c r="C1686" s="1" t="n">
        <v>45156</v>
      </c>
      <c r="D1686" t="inlineStr">
        <is>
          <t>STRÖMSUND</t>
        </is>
      </c>
      <c r="E1686" t="inlineStr">
        <is>
          <t>Kommuner</t>
        </is>
      </c>
      <c r="F1686" t="n">
        <v>0.7</v>
      </c>
      <c r="G1686" t="n">
        <v>0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</row>
    <row r="1687">
      <c r="A1687" t="inlineStr">
        <is>
          <t>A 30832-2023</t>
        </is>
      </c>
      <c r="B1687" s="1" t="n">
        <v>45112</v>
      </c>
      <c r="C1687" s="1" t="n">
        <v>45156</v>
      </c>
      <c r="D1687" t="inlineStr">
        <is>
          <t>STRÖMSUND</t>
        </is>
      </c>
      <c r="E1687" t="inlineStr">
        <is>
          <t>SCA</t>
        </is>
      </c>
      <c r="F1687" t="n">
        <v>2.5</v>
      </c>
      <c r="G1687" t="n">
        <v>0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</row>
    <row r="1688">
      <c r="A1688" t="inlineStr">
        <is>
          <t>A 32873-2023</t>
        </is>
      </c>
      <c r="B1688" s="1" t="n">
        <v>45112</v>
      </c>
      <c r="C1688" s="1" t="n">
        <v>45156</v>
      </c>
      <c r="D1688" t="inlineStr">
        <is>
          <t>STRÖMSUND</t>
        </is>
      </c>
      <c r="E1688" t="inlineStr">
        <is>
          <t>Kommuner</t>
        </is>
      </c>
      <c r="F1688" t="n">
        <v>0.7</v>
      </c>
      <c r="G1688" t="n">
        <v>0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</row>
    <row r="1689">
      <c r="A1689" t="inlineStr">
        <is>
          <t>A 32882-2023</t>
        </is>
      </c>
      <c r="B1689" s="1" t="n">
        <v>45112</v>
      </c>
      <c r="C1689" s="1" t="n">
        <v>45156</v>
      </c>
      <c r="D1689" t="inlineStr">
        <is>
          <t>STRÖMSUND</t>
        </is>
      </c>
      <c r="E1689" t="inlineStr">
        <is>
          <t>Kommuner</t>
        </is>
      </c>
      <c r="F1689" t="n">
        <v>0.2</v>
      </c>
      <c r="G1689" t="n">
        <v>0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</row>
    <row r="1690">
      <c r="A1690" t="inlineStr">
        <is>
          <t>A 32883-2023</t>
        </is>
      </c>
      <c r="B1690" s="1" t="n">
        <v>45112</v>
      </c>
      <c r="C1690" s="1" t="n">
        <v>45156</v>
      </c>
      <c r="D1690" t="inlineStr">
        <is>
          <t>STRÖMSUND</t>
        </is>
      </c>
      <c r="E1690" t="inlineStr">
        <is>
          <t>Kommuner</t>
        </is>
      </c>
      <c r="F1690" t="n">
        <v>1.4</v>
      </c>
      <c r="G1690" t="n">
        <v>0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</row>
    <row r="1691">
      <c r="A1691" t="inlineStr">
        <is>
          <t>A 31182-2023</t>
        </is>
      </c>
      <c r="B1691" s="1" t="n">
        <v>45113</v>
      </c>
      <c r="C1691" s="1" t="n">
        <v>45156</v>
      </c>
      <c r="D1691" t="inlineStr">
        <is>
          <t>STRÖMSUND</t>
        </is>
      </c>
      <c r="E1691" t="inlineStr">
        <is>
          <t>SCA</t>
        </is>
      </c>
      <c r="F1691" t="n">
        <v>3.1</v>
      </c>
      <c r="G1691" t="n">
        <v>0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</row>
    <row r="1692">
      <c r="A1692" t="inlineStr">
        <is>
          <t>A 31201-2023</t>
        </is>
      </c>
      <c r="B1692" s="1" t="n">
        <v>45113</v>
      </c>
      <c r="C1692" s="1" t="n">
        <v>45156</v>
      </c>
      <c r="D1692" t="inlineStr">
        <is>
          <t>STRÖMSUND</t>
        </is>
      </c>
      <c r="E1692" t="inlineStr">
        <is>
          <t>SCA</t>
        </is>
      </c>
      <c r="F1692" t="n">
        <v>10.5</v>
      </c>
      <c r="G1692" t="n">
        <v>0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</row>
    <row r="1693">
      <c r="A1693" t="inlineStr">
        <is>
          <t>A 31491-2023</t>
        </is>
      </c>
      <c r="B1693" s="1" t="n">
        <v>45114</v>
      </c>
      <c r="C1693" s="1" t="n">
        <v>45156</v>
      </c>
      <c r="D1693" t="inlineStr">
        <is>
          <t>STRÖMSUND</t>
        </is>
      </c>
      <c r="E1693" t="inlineStr">
        <is>
          <t>SCA</t>
        </is>
      </c>
      <c r="F1693" t="n">
        <v>2.9</v>
      </c>
      <c r="G1693" t="n">
        <v>0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</row>
    <row r="1694">
      <c r="A1694" t="inlineStr">
        <is>
          <t>A 31929-2023</t>
        </is>
      </c>
      <c r="B1694" s="1" t="n">
        <v>45118</v>
      </c>
      <c r="C1694" s="1" t="n">
        <v>45156</v>
      </c>
      <c r="D1694" t="inlineStr">
        <is>
          <t>STRÖMSUND</t>
        </is>
      </c>
      <c r="E1694" t="inlineStr">
        <is>
          <t>SCA</t>
        </is>
      </c>
      <c r="F1694" t="n">
        <v>16.7</v>
      </c>
      <c r="G1694" t="n">
        <v>0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</row>
    <row r="1695">
      <c r="A1695" t="inlineStr">
        <is>
          <t>A 32232-2023</t>
        </is>
      </c>
      <c r="B1695" s="1" t="n">
        <v>45119</v>
      </c>
      <c r="C1695" s="1" t="n">
        <v>45156</v>
      </c>
      <c r="D1695" t="inlineStr">
        <is>
          <t>STRÖMSUND</t>
        </is>
      </c>
      <c r="E1695" t="inlineStr">
        <is>
          <t>SCA</t>
        </is>
      </c>
      <c r="F1695" t="n">
        <v>5.7</v>
      </c>
      <c r="G1695" t="n">
        <v>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</row>
    <row r="1696">
      <c r="A1696" t="inlineStr">
        <is>
          <t>A 32724-2023</t>
        </is>
      </c>
      <c r="B1696" s="1" t="n">
        <v>45121</v>
      </c>
      <c r="C1696" s="1" t="n">
        <v>45156</v>
      </c>
      <c r="D1696" t="inlineStr">
        <is>
          <t>STRÖMSUND</t>
        </is>
      </c>
      <c r="E1696" t="inlineStr">
        <is>
          <t>SCA</t>
        </is>
      </c>
      <c r="F1696" t="n">
        <v>6.5</v>
      </c>
      <c r="G1696" t="n">
        <v>0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</row>
    <row r="1697">
      <c r="A1697" t="inlineStr">
        <is>
          <t>A 32907-2023</t>
        </is>
      </c>
      <c r="B1697" s="1" t="n">
        <v>45124</v>
      </c>
      <c r="C1697" s="1" t="n">
        <v>45156</v>
      </c>
      <c r="D1697" t="inlineStr">
        <is>
          <t>STRÖMSUND</t>
        </is>
      </c>
      <c r="E1697" t="inlineStr">
        <is>
          <t>SCA</t>
        </is>
      </c>
      <c r="F1697" t="n">
        <v>1.8</v>
      </c>
      <c r="G1697" t="n">
        <v>0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</row>
    <row r="1698">
      <c r="A1698" t="inlineStr">
        <is>
          <t>A 33427-2023</t>
        </is>
      </c>
      <c r="B1698" s="1" t="n">
        <v>45128</v>
      </c>
      <c r="C1698" s="1" t="n">
        <v>45156</v>
      </c>
      <c r="D1698" t="inlineStr">
        <is>
          <t>STRÖMSUND</t>
        </is>
      </c>
      <c r="E1698" t="inlineStr">
        <is>
          <t>SCA</t>
        </is>
      </c>
      <c r="F1698" t="n">
        <v>1.1</v>
      </c>
      <c r="G1698" t="n">
        <v>0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</row>
    <row r="1699">
      <c r="A1699" t="inlineStr">
        <is>
          <t>A 33453-2023</t>
        </is>
      </c>
      <c r="B1699" s="1" t="n">
        <v>45130</v>
      </c>
      <c r="C1699" s="1" t="n">
        <v>45156</v>
      </c>
      <c r="D1699" t="inlineStr">
        <is>
          <t>STRÖMSUND</t>
        </is>
      </c>
      <c r="E1699" t="inlineStr">
        <is>
          <t>SCA</t>
        </is>
      </c>
      <c r="F1699" t="n">
        <v>3.5</v>
      </c>
      <c r="G1699" t="n">
        <v>0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</row>
    <row r="1700">
      <c r="A1700" t="inlineStr">
        <is>
          <t>A 34010-2023</t>
        </is>
      </c>
      <c r="B1700" s="1" t="n">
        <v>45134</v>
      </c>
      <c r="C1700" s="1" t="n">
        <v>45156</v>
      </c>
      <c r="D1700" t="inlineStr">
        <is>
          <t>STRÖMSUND</t>
        </is>
      </c>
      <c r="E1700" t="inlineStr">
        <is>
          <t>SCA</t>
        </is>
      </c>
      <c r="F1700" t="n">
        <v>5</v>
      </c>
      <c r="G1700" t="n">
        <v>0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</row>
    <row r="1701">
      <c r="A1701" t="inlineStr">
        <is>
          <t>A 34005-2023</t>
        </is>
      </c>
      <c r="B1701" s="1" t="n">
        <v>45134</v>
      </c>
      <c r="C1701" s="1" t="n">
        <v>45156</v>
      </c>
      <c r="D1701" t="inlineStr">
        <is>
          <t>STRÖMSUND</t>
        </is>
      </c>
      <c r="E1701" t="inlineStr">
        <is>
          <t>SCA</t>
        </is>
      </c>
      <c r="F1701" t="n">
        <v>3.8</v>
      </c>
      <c r="G1701" t="n">
        <v>0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2023-08-19T03:17:39Z</dcterms:created>
  <dcterms:modified xmlns:dcterms="http://purl.org/dc/terms/" xmlns:xsi="http://www.w3.org/2001/XMLSchema-instance" xsi:type="dcterms:W3CDTF">2023-08-19T03:17:40Z</dcterms:modified>
</cp:coreProperties>
</file>