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45947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45947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45947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45947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45947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45947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45947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45947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45947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34425-2025</t>
        </is>
      </c>
      <c r="B11" s="1" t="n">
        <v>45846.66900462963</v>
      </c>
      <c r="C11" s="1" t="n">
        <v>45947</v>
      </c>
      <c r="D11" t="inlineStr">
        <is>
          <t>SÖDERMANLANDS LÄN</t>
        </is>
      </c>
      <c r="E11" t="inlineStr">
        <is>
          <t>NYKÖPING</t>
        </is>
      </c>
      <c r="G11" t="n">
        <v>7.7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Orange taggsvamp
Bronshjon
Dropptaggsvamp
Vågbandad barkbock</t>
        </is>
      </c>
      <c r="S11">
        <f>HYPERLINK("https://klasma.github.io/Logging_0480/artfynd/A 34425-2025 artfynd.xlsx", "A 34425-2025")</f>
        <v/>
      </c>
      <c r="T11">
        <f>HYPERLINK("https://klasma.github.io/Logging_0480/kartor/A 34425-2025 karta.png", "A 34425-2025")</f>
        <v/>
      </c>
      <c r="U11">
        <f>HYPERLINK("https://klasma.github.io/Logging_0480/knärot/A 34425-2025 karta knärot.png", "A 34425-2025")</f>
        <v/>
      </c>
      <c r="V11">
        <f>HYPERLINK("https://klasma.github.io/Logging_0480/klagomål/A 34425-2025 FSC-klagomål.docx", "A 34425-2025")</f>
        <v/>
      </c>
      <c r="W11">
        <f>HYPERLINK("https://klasma.github.io/Logging_0480/klagomålsmail/A 34425-2025 FSC-klagomål mail.docx", "A 34425-2025")</f>
        <v/>
      </c>
      <c r="X11">
        <f>HYPERLINK("https://klasma.github.io/Logging_0480/tillsyn/A 34425-2025 tillsynsbegäran.docx", "A 34425-2025")</f>
        <v/>
      </c>
      <c r="Y11">
        <f>HYPERLINK("https://klasma.github.io/Logging_0480/tillsynsmail/A 34425-2025 tillsynsbegäran mail.docx", "A 34425-2025")</f>
        <v/>
      </c>
    </row>
    <row r="12" ht="15" customHeight="1">
      <c r="A12" t="inlineStr">
        <is>
          <t>A 36547-2025</t>
        </is>
      </c>
      <c r="B12" s="1" t="n">
        <v>45869</v>
      </c>
      <c r="C12" s="1" t="n">
        <v>45947</v>
      </c>
      <c r="D12" t="inlineStr">
        <is>
          <t>SÖDERMANLANDS LÄN</t>
        </is>
      </c>
      <c r="E12" t="inlineStr">
        <is>
          <t>NYKÖPING</t>
        </is>
      </c>
      <c r="F12" t="inlineStr">
        <is>
          <t>Holmen skog AB</t>
        </is>
      </c>
      <c r="G12" t="n">
        <v>19.9</v>
      </c>
      <c r="H12" t="n">
        <v>1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Tallticka
Björksplintborre
Blåmossa
Granbarkgnagare</t>
        </is>
      </c>
      <c r="S12">
        <f>HYPERLINK("https://klasma.github.io/Logging_0480/artfynd/A 36547-2025 artfynd.xlsx", "A 36547-2025")</f>
        <v/>
      </c>
      <c r="T12">
        <f>HYPERLINK("https://klasma.github.io/Logging_0480/kartor/A 36547-2025 karta.png", "A 36547-2025")</f>
        <v/>
      </c>
      <c r="V12">
        <f>HYPERLINK("https://klasma.github.io/Logging_0480/klagomål/A 36547-2025 FSC-klagomål.docx", "A 36547-2025")</f>
        <v/>
      </c>
      <c r="W12">
        <f>HYPERLINK("https://klasma.github.io/Logging_0480/klagomålsmail/A 36547-2025 FSC-klagomål mail.docx", "A 36547-2025")</f>
        <v/>
      </c>
      <c r="X12">
        <f>HYPERLINK("https://klasma.github.io/Logging_0480/tillsyn/A 36547-2025 tillsynsbegäran.docx", "A 36547-2025")</f>
        <v/>
      </c>
      <c r="Y12">
        <f>HYPERLINK("https://klasma.github.io/Logging_0480/tillsynsmail/A 36547-2025 tillsynsbegäran mail.docx", "A 36547-2025")</f>
        <v/>
      </c>
      <c r="Z12">
        <f>HYPERLINK("https://klasma.github.io/Logging_0480/fåglar/A 36547-2025 prioriterade fågelarter.docx", "A 36547-2025")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45947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8663-2022</t>
        </is>
      </c>
      <c r="B14" s="1" t="n">
        <v>44613</v>
      </c>
      <c r="C14" s="1" t="n">
        <v>45947</v>
      </c>
      <c r="D14" t="inlineStr">
        <is>
          <t>SÖDERMANLANDS LÄN</t>
        </is>
      </c>
      <c r="E14" t="inlineStr">
        <is>
          <t>NYKÖPING</t>
        </is>
      </c>
      <c r="G14" t="n">
        <v>6.5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Orange taggsvamp
Blomkålssvamp
Fjällig taggsvamp s.str.
Stubbspretmossa</t>
        </is>
      </c>
      <c r="S14">
        <f>HYPERLINK("https://klasma.github.io/Logging_0480/artfynd/A 8663-2022 artfynd.xlsx", "A 8663-2022")</f>
        <v/>
      </c>
      <c r="T14">
        <f>HYPERLINK("https://klasma.github.io/Logging_0480/kartor/A 8663-2022 karta.png", "A 8663-2022")</f>
        <v/>
      </c>
      <c r="V14">
        <f>HYPERLINK("https://klasma.github.io/Logging_0480/klagomål/A 8663-2022 FSC-klagomål.docx", "A 8663-2022")</f>
        <v/>
      </c>
      <c r="W14">
        <f>HYPERLINK("https://klasma.github.io/Logging_0480/klagomålsmail/A 8663-2022 FSC-klagomål mail.docx", "A 8663-2022")</f>
        <v/>
      </c>
      <c r="X14">
        <f>HYPERLINK("https://klasma.github.io/Logging_0480/tillsyn/A 8663-2022 tillsynsbegäran.docx", "A 8663-2022")</f>
        <v/>
      </c>
      <c r="Y14">
        <f>HYPERLINK("https://klasma.github.io/Logging_0480/tillsynsmail/A 8663-2022 tillsynsbegäran mail.docx", "A 8663-2022")</f>
        <v/>
      </c>
    </row>
    <row r="15" ht="15" customHeight="1">
      <c r="A15" t="inlineStr">
        <is>
          <t>A 38456-2024</t>
        </is>
      </c>
      <c r="B15" s="1" t="n">
        <v>45546.44880787037</v>
      </c>
      <c r="C15" s="1" t="n">
        <v>45947</v>
      </c>
      <c r="D15" t="inlineStr">
        <is>
          <t>SÖDERMANLANDS LÄN</t>
        </is>
      </c>
      <c r="E15" t="inlineStr">
        <is>
          <t>NYKÖPING</t>
        </is>
      </c>
      <c r="G15" t="n">
        <v>2.2</v>
      </c>
      <c r="H15" t="n">
        <v>1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Ask
Tallticka
Grovticka
Blåsippa</t>
        </is>
      </c>
      <c r="S15">
        <f>HYPERLINK("https://klasma.github.io/Logging_0480/artfynd/A 38456-2024 artfynd.xlsx", "A 38456-2024")</f>
        <v/>
      </c>
      <c r="T15">
        <f>HYPERLINK("https://klasma.github.io/Logging_0480/kartor/A 38456-2024 karta.png", "A 38456-2024")</f>
        <v/>
      </c>
      <c r="V15">
        <f>HYPERLINK("https://klasma.github.io/Logging_0480/klagomål/A 38456-2024 FSC-klagomål.docx", "A 38456-2024")</f>
        <v/>
      </c>
      <c r="W15">
        <f>HYPERLINK("https://klasma.github.io/Logging_0480/klagomålsmail/A 38456-2024 FSC-klagomål mail.docx", "A 38456-2024")</f>
        <v/>
      </c>
      <c r="X15">
        <f>HYPERLINK("https://klasma.github.io/Logging_0480/tillsyn/A 38456-2024 tillsynsbegäran.docx", "A 38456-2024")</f>
        <v/>
      </c>
      <c r="Y15">
        <f>HYPERLINK("https://klasma.github.io/Logging_0480/tillsynsmail/A 38456-2024 tillsynsbegäran mail.docx", "A 38456-2024")</f>
        <v/>
      </c>
    </row>
    <row r="16" ht="15" customHeight="1">
      <c r="A16" t="inlineStr">
        <is>
          <t>A 1509-2023</t>
        </is>
      </c>
      <c r="B16" s="1" t="n">
        <v>44937</v>
      </c>
      <c r="C16" s="1" t="n">
        <v>45947</v>
      </c>
      <c r="D16" t="inlineStr">
        <is>
          <t>SÖDERMANLANDS LÄN</t>
        </is>
      </c>
      <c r="E16" t="inlineStr">
        <is>
          <t>NYKÖPING</t>
        </is>
      </c>
      <c r="F16" t="inlineStr">
        <is>
          <t>Holmen skog AB</t>
        </is>
      </c>
      <c r="G16" t="n">
        <v>6.3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Asppraktbagge
Skorpgelélav
Aspvedgnagare
Stor aspticka</t>
        </is>
      </c>
      <c r="S16">
        <f>HYPERLINK("https://klasma.github.io/Logging_0480/artfynd/A 1509-2023 artfynd.xlsx", "A 1509-2023")</f>
        <v/>
      </c>
      <c r="T16">
        <f>HYPERLINK("https://klasma.github.io/Logging_0480/kartor/A 1509-2023 karta.png", "A 1509-2023")</f>
        <v/>
      </c>
      <c r="V16">
        <f>HYPERLINK("https://klasma.github.io/Logging_0480/klagomål/A 1509-2023 FSC-klagomål.docx", "A 1509-2023")</f>
        <v/>
      </c>
      <c r="W16">
        <f>HYPERLINK("https://klasma.github.io/Logging_0480/klagomålsmail/A 1509-2023 FSC-klagomål mail.docx", "A 1509-2023")</f>
        <v/>
      </c>
      <c r="X16">
        <f>HYPERLINK("https://klasma.github.io/Logging_0480/tillsyn/A 1509-2023 tillsynsbegäran.docx", "A 1509-2023")</f>
        <v/>
      </c>
      <c r="Y16">
        <f>HYPERLINK("https://klasma.github.io/Logging_0480/tillsynsmail/A 1509-2023 tillsynsbegäran mail.docx", "A 1509-2023")</f>
        <v/>
      </c>
    </row>
    <row r="17" ht="15" customHeight="1">
      <c r="A17" t="inlineStr">
        <is>
          <t>A 37372-2024</t>
        </is>
      </c>
      <c r="B17" s="1" t="n">
        <v>45540.56883101852</v>
      </c>
      <c r="C17" s="1" t="n">
        <v>45947</v>
      </c>
      <c r="D17" t="inlineStr">
        <is>
          <t>SÖDERMANLANDS LÄN</t>
        </is>
      </c>
      <c r="E17" t="inlineStr">
        <is>
          <t>NYKÖPING</t>
        </is>
      </c>
      <c r="F17" t="inlineStr">
        <is>
          <t>Holmen skog AB</t>
        </is>
      </c>
      <c r="G17" t="n">
        <v>3.4</v>
      </c>
      <c r="H17" t="n">
        <v>1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Motaggsvamp
Spillkråka
Blåmossa
Vågbandad barkbock</t>
        </is>
      </c>
      <c r="S17">
        <f>HYPERLINK("https://klasma.github.io/Logging_0480/artfynd/A 37372-2024 artfynd.xlsx", "A 37372-2024")</f>
        <v/>
      </c>
      <c r="T17">
        <f>HYPERLINK("https://klasma.github.io/Logging_0480/kartor/A 37372-2024 karta.png", "A 37372-2024")</f>
        <v/>
      </c>
      <c r="V17">
        <f>HYPERLINK("https://klasma.github.io/Logging_0480/klagomål/A 37372-2024 FSC-klagomål.docx", "A 37372-2024")</f>
        <v/>
      </c>
      <c r="W17">
        <f>HYPERLINK("https://klasma.github.io/Logging_0480/klagomålsmail/A 37372-2024 FSC-klagomål mail.docx", "A 37372-2024")</f>
        <v/>
      </c>
      <c r="X17">
        <f>HYPERLINK("https://klasma.github.io/Logging_0480/tillsyn/A 37372-2024 tillsynsbegäran.docx", "A 37372-2024")</f>
        <v/>
      </c>
      <c r="Y17">
        <f>HYPERLINK("https://klasma.github.io/Logging_0480/tillsynsmail/A 37372-2024 tillsynsbegäran mail.docx", "A 37372-2024")</f>
        <v/>
      </c>
      <c r="Z17">
        <f>HYPERLINK("https://klasma.github.io/Logging_0480/fåglar/A 37372-2024 prioriterade fågelarter.docx", "A 37372-2024")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45947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45947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4710-2024</t>
        </is>
      </c>
      <c r="B20" s="1" t="n">
        <v>45328</v>
      </c>
      <c r="C20" s="1" t="n">
        <v>45947</v>
      </c>
      <c r="D20" t="inlineStr">
        <is>
          <t>SÖDERMANLANDS LÄN</t>
        </is>
      </c>
      <c r="E20" t="inlineStr">
        <is>
          <t>NYKÖPING</t>
        </is>
      </c>
      <c r="G20" t="n">
        <v>8.699999999999999</v>
      </c>
      <c r="H20" t="n">
        <v>2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Grönvit nattviol
Blåsippa</t>
        </is>
      </c>
      <c r="S20">
        <f>HYPERLINK("https://klasma.github.io/Logging_0480/artfynd/A 4710-2024 artfynd.xlsx", "A 4710-2024")</f>
        <v/>
      </c>
      <c r="T20">
        <f>HYPERLINK("https://klasma.github.io/Logging_0480/kartor/A 4710-2024 karta.png", "A 4710-2024")</f>
        <v/>
      </c>
      <c r="V20">
        <f>HYPERLINK("https://klasma.github.io/Logging_0480/klagomål/A 4710-2024 FSC-klagomål.docx", "A 4710-2024")</f>
        <v/>
      </c>
      <c r="W20">
        <f>HYPERLINK("https://klasma.github.io/Logging_0480/klagomålsmail/A 4710-2024 FSC-klagomål mail.docx", "A 4710-2024")</f>
        <v/>
      </c>
      <c r="X20">
        <f>HYPERLINK("https://klasma.github.io/Logging_0480/tillsyn/A 4710-2024 tillsynsbegäran.docx", "A 4710-2024")</f>
        <v/>
      </c>
      <c r="Y20">
        <f>HYPERLINK("https://klasma.github.io/Logging_0480/tillsynsmail/A 4710-2024 tillsynsbegäran mail.docx", "A 4710-2024")</f>
        <v/>
      </c>
    </row>
    <row r="21" ht="15" customHeight="1">
      <c r="A21" t="inlineStr">
        <is>
          <t>A 51246-2024</t>
        </is>
      </c>
      <c r="B21" s="1" t="n">
        <v>45603.68148148148</v>
      </c>
      <c r="C21" s="1" t="n">
        <v>45947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2.3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Motaggsvamp
Fläcknycklar</t>
        </is>
      </c>
      <c r="S21">
        <f>HYPERLINK("https://klasma.github.io/Logging_0480/artfynd/A 51246-2024 artfynd.xlsx", "A 51246-2024")</f>
        <v/>
      </c>
      <c r="T21">
        <f>HYPERLINK("https://klasma.github.io/Logging_0480/kartor/A 51246-2024 karta.png", "A 51246-2024")</f>
        <v/>
      </c>
      <c r="V21">
        <f>HYPERLINK("https://klasma.github.io/Logging_0480/klagomål/A 51246-2024 FSC-klagomål.docx", "A 51246-2024")</f>
        <v/>
      </c>
      <c r="W21">
        <f>HYPERLINK("https://klasma.github.io/Logging_0480/klagomålsmail/A 51246-2024 FSC-klagomål mail.docx", "A 51246-2024")</f>
        <v/>
      </c>
      <c r="X21">
        <f>HYPERLINK("https://klasma.github.io/Logging_0480/tillsyn/A 51246-2024 tillsynsbegäran.docx", "A 51246-2024")</f>
        <v/>
      </c>
      <c r="Y21">
        <f>HYPERLINK("https://klasma.github.io/Logging_0480/tillsynsmail/A 51246-2024 tillsynsbegäran mail.docx", "A 51246-2024")</f>
        <v/>
      </c>
    </row>
    <row r="22" ht="15" customHeight="1">
      <c r="A22" t="inlineStr">
        <is>
          <t>A 46033-2025</t>
        </is>
      </c>
      <c r="B22" s="1" t="n">
        <v>45924.44457175926</v>
      </c>
      <c r="C22" s="1" t="n">
        <v>45947</v>
      </c>
      <c r="D22" t="inlineStr">
        <is>
          <t>SÖDERMANLANDS LÄN</t>
        </is>
      </c>
      <c r="E22" t="inlineStr">
        <is>
          <t>NYKÖPING</t>
        </is>
      </c>
      <c r="G22" t="n">
        <v>5.8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Kandelabersvamp
Guldlockmossa
Gullviva</t>
        </is>
      </c>
      <c r="S22">
        <f>HYPERLINK("https://klasma.github.io/Logging_0480/artfynd/A 46033-2025 artfynd.xlsx", "A 46033-2025")</f>
        <v/>
      </c>
      <c r="T22">
        <f>HYPERLINK("https://klasma.github.io/Logging_0480/kartor/A 46033-2025 karta.png", "A 46033-2025")</f>
        <v/>
      </c>
      <c r="V22">
        <f>HYPERLINK("https://klasma.github.io/Logging_0480/klagomål/A 46033-2025 FSC-klagomål.docx", "A 46033-2025")</f>
        <v/>
      </c>
      <c r="W22">
        <f>HYPERLINK("https://klasma.github.io/Logging_0480/klagomålsmail/A 46033-2025 FSC-klagomål mail.docx", "A 46033-2025")</f>
        <v/>
      </c>
      <c r="X22">
        <f>HYPERLINK("https://klasma.github.io/Logging_0480/tillsyn/A 46033-2025 tillsynsbegäran.docx", "A 46033-2025")</f>
        <v/>
      </c>
      <c r="Y22">
        <f>HYPERLINK("https://klasma.github.io/Logging_0480/tillsynsmail/A 46033-2025 tillsynsbegäran mail.docx", "A 46033-2025")</f>
        <v/>
      </c>
    </row>
    <row r="23" ht="15" customHeight="1">
      <c r="A23" t="inlineStr">
        <is>
          <t>A 5855-2024</t>
        </is>
      </c>
      <c r="B23" s="1" t="n">
        <v>45335</v>
      </c>
      <c r="C23" s="1" t="n">
        <v>45947</v>
      </c>
      <c r="D23" t="inlineStr">
        <is>
          <t>SÖDERMANLANDS LÄN</t>
        </is>
      </c>
      <c r="E23" t="inlineStr">
        <is>
          <t>NYKÖPING</t>
        </is>
      </c>
      <c r="F23" t="inlineStr">
        <is>
          <t>Sveaskog</t>
        </is>
      </c>
      <c r="G23" t="n">
        <v>3.3</v>
      </c>
      <c r="H23" t="n">
        <v>3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Mindre vattensalamander
Fläcknycklar
Revlummer</t>
        </is>
      </c>
      <c r="S23">
        <f>HYPERLINK("https://klasma.github.io/Logging_0480/artfynd/A 5855-2024 artfynd.xlsx", "A 5855-2024")</f>
        <v/>
      </c>
      <c r="T23">
        <f>HYPERLINK("https://klasma.github.io/Logging_0480/kartor/A 5855-2024 karta.png", "A 5855-2024")</f>
        <v/>
      </c>
      <c r="V23">
        <f>HYPERLINK("https://klasma.github.io/Logging_0480/klagomål/A 5855-2024 FSC-klagomål.docx", "A 5855-2024")</f>
        <v/>
      </c>
      <c r="W23">
        <f>HYPERLINK("https://klasma.github.io/Logging_0480/klagomålsmail/A 5855-2024 FSC-klagomål mail.docx", "A 5855-2024")</f>
        <v/>
      </c>
      <c r="X23">
        <f>HYPERLINK("https://klasma.github.io/Logging_0480/tillsyn/A 5855-2024 tillsynsbegäran.docx", "A 5855-2024")</f>
        <v/>
      </c>
      <c r="Y23">
        <f>HYPERLINK("https://klasma.github.io/Logging_0480/tillsynsmail/A 5855-2024 tillsynsbegäran mail.docx", "A 5855-2024")</f>
        <v/>
      </c>
    </row>
    <row r="24" ht="15" customHeight="1">
      <c r="A24" t="inlineStr">
        <is>
          <t>A 22809-2024</t>
        </is>
      </c>
      <c r="B24" s="1" t="n">
        <v>45448.52262731481</v>
      </c>
      <c r="C24" s="1" t="n">
        <v>45947</v>
      </c>
      <c r="D24" t="inlineStr">
        <is>
          <t>SÖDERMANLANDS LÄN</t>
        </is>
      </c>
      <c r="E24" t="inlineStr">
        <is>
          <t>NYKÖPING</t>
        </is>
      </c>
      <c r="G24" t="n">
        <v>3.7</v>
      </c>
      <c r="H24" t="n">
        <v>1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Talltita
Fjällig taggsvamp s.str.
Zontaggsvamp</t>
        </is>
      </c>
      <c r="S24">
        <f>HYPERLINK("https://klasma.github.io/Logging_0480/artfynd/A 22809-2024 artfynd.xlsx", "A 22809-2024")</f>
        <v/>
      </c>
      <c r="T24">
        <f>HYPERLINK("https://klasma.github.io/Logging_0480/kartor/A 22809-2024 karta.png", "A 22809-2024")</f>
        <v/>
      </c>
      <c r="V24">
        <f>HYPERLINK("https://klasma.github.io/Logging_0480/klagomål/A 22809-2024 FSC-klagomål.docx", "A 22809-2024")</f>
        <v/>
      </c>
      <c r="W24">
        <f>HYPERLINK("https://klasma.github.io/Logging_0480/klagomålsmail/A 22809-2024 FSC-klagomål mail.docx", "A 22809-2024")</f>
        <v/>
      </c>
      <c r="X24">
        <f>HYPERLINK("https://klasma.github.io/Logging_0480/tillsyn/A 22809-2024 tillsynsbegäran.docx", "A 22809-2024")</f>
        <v/>
      </c>
      <c r="Y24">
        <f>HYPERLINK("https://klasma.github.io/Logging_0480/tillsynsmail/A 22809-2024 tillsynsbegäran mail.docx", "A 22809-2024")</f>
        <v/>
      </c>
      <c r="Z24">
        <f>HYPERLINK("https://klasma.github.io/Logging_0480/fåglar/A 22809-2024 prioriterade fågelarter.docx", "A 22809-2024")</f>
        <v/>
      </c>
    </row>
    <row r="25" ht="15" customHeight="1">
      <c r="A25" t="inlineStr">
        <is>
          <t>A 37405-2024</t>
        </is>
      </c>
      <c r="B25" s="1" t="n">
        <v>45540.61594907408</v>
      </c>
      <c r="C25" s="1" t="n">
        <v>45947</v>
      </c>
      <c r="D25" t="inlineStr">
        <is>
          <t>SÖDERMANLANDS LÄN</t>
        </is>
      </c>
      <c r="E25" t="inlineStr">
        <is>
          <t>NYKÖPING</t>
        </is>
      </c>
      <c r="F25" t="inlineStr">
        <is>
          <t>Holmen skog AB</t>
        </is>
      </c>
      <c r="G25" t="n">
        <v>2.9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Motaggsvamp
Blåmossa
Flagellkvastmossa</t>
        </is>
      </c>
      <c r="S25">
        <f>HYPERLINK("https://klasma.github.io/Logging_0480/artfynd/A 37405-2024 artfynd.xlsx", "A 37405-2024")</f>
        <v/>
      </c>
      <c r="T25">
        <f>HYPERLINK("https://klasma.github.io/Logging_0480/kartor/A 37405-2024 karta.png", "A 37405-2024")</f>
        <v/>
      </c>
      <c r="V25">
        <f>HYPERLINK("https://klasma.github.io/Logging_0480/klagomål/A 37405-2024 FSC-klagomål.docx", "A 37405-2024")</f>
        <v/>
      </c>
      <c r="W25">
        <f>HYPERLINK("https://klasma.github.io/Logging_0480/klagomålsmail/A 37405-2024 FSC-klagomål mail.docx", "A 37405-2024")</f>
        <v/>
      </c>
      <c r="X25">
        <f>HYPERLINK("https://klasma.github.io/Logging_0480/tillsyn/A 37405-2024 tillsynsbegäran.docx", "A 37405-2024")</f>
        <v/>
      </c>
      <c r="Y25">
        <f>HYPERLINK("https://klasma.github.io/Logging_0480/tillsynsmail/A 37405-2024 tillsynsbegäran mail.docx", "A 37405-2024")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45947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45947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45947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45947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51697-2021</t>
        </is>
      </c>
      <c r="B30" s="1" t="n">
        <v>44462</v>
      </c>
      <c r="C30" s="1" t="n">
        <v>45947</v>
      </c>
      <c r="D30" t="inlineStr">
        <is>
          <t>SÖDERMANLANDS LÄN</t>
        </is>
      </c>
      <c r="E30" t="inlineStr">
        <is>
          <t>NYKÖPING</t>
        </is>
      </c>
      <c r="F30" t="inlineStr">
        <is>
          <t>Sveaskog</t>
        </is>
      </c>
      <c r="G30" t="n">
        <v>2.6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Mindre vattensalamander
Fläcknycklar</t>
        </is>
      </c>
      <c r="S30">
        <f>HYPERLINK("https://klasma.github.io/Logging_0480/artfynd/A 51697-2021 artfynd.xlsx", "A 51697-2021")</f>
        <v/>
      </c>
      <c r="T30">
        <f>HYPERLINK("https://klasma.github.io/Logging_0480/kartor/A 51697-2021 karta.png", "A 51697-2021")</f>
        <v/>
      </c>
      <c r="V30">
        <f>HYPERLINK("https://klasma.github.io/Logging_0480/klagomål/A 51697-2021 FSC-klagomål.docx", "A 51697-2021")</f>
        <v/>
      </c>
      <c r="W30">
        <f>HYPERLINK("https://klasma.github.io/Logging_0480/klagomålsmail/A 51697-2021 FSC-klagomål mail.docx", "A 51697-2021")</f>
        <v/>
      </c>
      <c r="X30">
        <f>HYPERLINK("https://klasma.github.io/Logging_0480/tillsyn/A 51697-2021 tillsynsbegäran.docx", "A 51697-2021")</f>
        <v/>
      </c>
      <c r="Y30">
        <f>HYPERLINK("https://klasma.github.io/Logging_0480/tillsynsmail/A 51697-2021 tillsynsbegäran mail.docx", "A 51697-2021")</f>
        <v/>
      </c>
    </row>
    <row r="31" ht="15" customHeight="1">
      <c r="A31" t="inlineStr">
        <is>
          <t>A 49231-2023</t>
        </is>
      </c>
      <c r="B31" s="1" t="n">
        <v>45210</v>
      </c>
      <c r="C31" s="1" t="n">
        <v>45947</v>
      </c>
      <c r="D31" t="inlineStr">
        <is>
          <t>SÖDERMANLANDS LÄN</t>
        </is>
      </c>
      <c r="E31" t="inlineStr">
        <is>
          <t>NYKÖPING</t>
        </is>
      </c>
      <c r="G31" t="n">
        <v>0.5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Bombmurkla
Blåmossa</t>
        </is>
      </c>
      <c r="S31">
        <f>HYPERLINK("https://klasma.github.io/Logging_0480/artfynd/A 49231-2023 artfynd.xlsx", "A 49231-2023")</f>
        <v/>
      </c>
      <c r="T31">
        <f>HYPERLINK("https://klasma.github.io/Logging_0480/kartor/A 49231-2023 karta.png", "A 49231-2023")</f>
        <v/>
      </c>
      <c r="V31">
        <f>HYPERLINK("https://klasma.github.io/Logging_0480/klagomål/A 49231-2023 FSC-klagomål.docx", "A 49231-2023")</f>
        <v/>
      </c>
      <c r="W31">
        <f>HYPERLINK("https://klasma.github.io/Logging_0480/klagomålsmail/A 49231-2023 FSC-klagomål mail.docx", "A 49231-2023")</f>
        <v/>
      </c>
      <c r="X31">
        <f>HYPERLINK("https://klasma.github.io/Logging_0480/tillsyn/A 49231-2023 tillsynsbegäran.docx", "A 49231-2023")</f>
        <v/>
      </c>
      <c r="Y31">
        <f>HYPERLINK("https://klasma.github.io/Logging_0480/tillsynsmail/A 49231-2023 tillsynsbegäran mail.docx", "A 49231-2023")</f>
        <v/>
      </c>
    </row>
    <row r="32" ht="15" customHeight="1">
      <c r="A32" t="inlineStr">
        <is>
          <t>A 56420-2021</t>
        </is>
      </c>
      <c r="B32" s="1" t="n">
        <v>44480</v>
      </c>
      <c r="C32" s="1" t="n">
        <v>45947</v>
      </c>
      <c r="D32" t="inlineStr">
        <is>
          <t>SÖDERMANLANDS LÄN</t>
        </is>
      </c>
      <c r="E32" t="inlineStr">
        <is>
          <t>NYKÖPING</t>
        </is>
      </c>
      <c r="F32" t="inlineStr">
        <is>
          <t>Holmen skog AB</t>
        </is>
      </c>
      <c r="G32" t="n">
        <v>2.8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Björktrast
Kungsörn</t>
        </is>
      </c>
      <c r="S32">
        <f>HYPERLINK("https://klasma.github.io/Logging_0480/artfynd/A 56420-2021 artfynd.xlsx", "A 56420-2021")</f>
        <v/>
      </c>
      <c r="T32">
        <f>HYPERLINK("https://klasma.github.io/Logging_0480/kartor/A 56420-2021 karta.png", "A 56420-2021")</f>
        <v/>
      </c>
      <c r="V32">
        <f>HYPERLINK("https://klasma.github.io/Logging_0480/klagomål/A 56420-2021 FSC-klagomål.docx", "A 56420-2021")</f>
        <v/>
      </c>
      <c r="W32">
        <f>HYPERLINK("https://klasma.github.io/Logging_0480/klagomålsmail/A 56420-2021 FSC-klagomål mail.docx", "A 56420-2021")</f>
        <v/>
      </c>
      <c r="X32">
        <f>HYPERLINK("https://klasma.github.io/Logging_0480/tillsyn/A 56420-2021 tillsynsbegäran.docx", "A 56420-2021")</f>
        <v/>
      </c>
      <c r="Y32">
        <f>HYPERLINK("https://klasma.github.io/Logging_0480/tillsynsmail/A 56420-2021 tillsynsbegäran mail.docx", "A 56420-2021")</f>
        <v/>
      </c>
      <c r="Z32">
        <f>HYPERLINK("https://klasma.github.io/Logging_0480/fåglar/A 56420-2021 prioriterade fågelarter.docx", "A 56420-2021")</f>
        <v/>
      </c>
    </row>
    <row r="33" ht="15" customHeight="1">
      <c r="A33" t="inlineStr">
        <is>
          <t>A 34310-2022</t>
        </is>
      </c>
      <c r="B33" s="1" t="n">
        <v>44792</v>
      </c>
      <c r="C33" s="1" t="n">
        <v>45947</v>
      </c>
      <c r="D33" t="inlineStr">
        <is>
          <t>SÖDERMANLANDS LÄN</t>
        </is>
      </c>
      <c r="E33" t="inlineStr">
        <is>
          <t>NYKÖPING</t>
        </is>
      </c>
      <c r="G33" t="n">
        <v>1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Bombmurkla
Grönpyrola</t>
        </is>
      </c>
      <c r="S33">
        <f>HYPERLINK("https://klasma.github.io/Logging_0480/artfynd/A 34310-2022 artfynd.xlsx", "A 34310-2022")</f>
        <v/>
      </c>
      <c r="T33">
        <f>HYPERLINK("https://klasma.github.io/Logging_0480/kartor/A 34310-2022 karta.png", "A 34310-2022")</f>
        <v/>
      </c>
      <c r="V33">
        <f>HYPERLINK("https://klasma.github.io/Logging_0480/klagomål/A 34310-2022 FSC-klagomål.docx", "A 34310-2022")</f>
        <v/>
      </c>
      <c r="W33">
        <f>HYPERLINK("https://klasma.github.io/Logging_0480/klagomålsmail/A 34310-2022 FSC-klagomål mail.docx", "A 34310-2022")</f>
        <v/>
      </c>
      <c r="X33">
        <f>HYPERLINK("https://klasma.github.io/Logging_0480/tillsyn/A 34310-2022 tillsynsbegäran.docx", "A 34310-2022")</f>
        <v/>
      </c>
      <c r="Y33">
        <f>HYPERLINK("https://klasma.github.io/Logging_0480/tillsynsmail/A 34310-2022 tillsynsbegäran mail.docx", "A 34310-2022")</f>
        <v/>
      </c>
    </row>
    <row r="34" ht="15" customHeight="1">
      <c r="A34" t="inlineStr">
        <is>
          <t>A 11640-2022</t>
        </is>
      </c>
      <c r="B34" s="1" t="n">
        <v>44631</v>
      </c>
      <c r="C34" s="1" t="n">
        <v>45947</v>
      </c>
      <c r="D34" t="inlineStr">
        <is>
          <t>SÖDERMANLANDS LÄN</t>
        </is>
      </c>
      <c r="E34" t="inlineStr">
        <is>
          <t>NYKÖPING</t>
        </is>
      </c>
      <c r="F34" t="inlineStr">
        <is>
          <t>Kyrkan</t>
        </is>
      </c>
      <c r="G34" t="n">
        <v>7.6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Fjällig taggsvamp s.str.
Granbarkgnagare</t>
        </is>
      </c>
      <c r="S34">
        <f>HYPERLINK("https://klasma.github.io/Logging_0480/artfynd/A 11640-2022 artfynd.xlsx", "A 11640-2022")</f>
        <v/>
      </c>
      <c r="T34">
        <f>HYPERLINK("https://klasma.github.io/Logging_0480/kartor/A 11640-2022 karta.png", "A 11640-2022")</f>
        <v/>
      </c>
      <c r="V34">
        <f>HYPERLINK("https://klasma.github.io/Logging_0480/klagomål/A 11640-2022 FSC-klagomål.docx", "A 11640-2022")</f>
        <v/>
      </c>
      <c r="W34">
        <f>HYPERLINK("https://klasma.github.io/Logging_0480/klagomålsmail/A 11640-2022 FSC-klagomål mail.docx", "A 11640-2022")</f>
        <v/>
      </c>
      <c r="X34">
        <f>HYPERLINK("https://klasma.github.io/Logging_0480/tillsyn/A 11640-2022 tillsynsbegäran.docx", "A 11640-2022")</f>
        <v/>
      </c>
      <c r="Y34">
        <f>HYPERLINK("https://klasma.github.io/Logging_0480/tillsynsmail/A 11640-2022 tillsynsbegäran mail.docx", "A 11640-2022")</f>
        <v/>
      </c>
    </row>
    <row r="35" ht="15" customHeight="1">
      <c r="A35" t="inlineStr">
        <is>
          <t>A 38366-2021</t>
        </is>
      </c>
      <c r="B35" s="1" t="n">
        <v>44406</v>
      </c>
      <c r="C35" s="1" t="n">
        <v>45947</v>
      </c>
      <c r="D35" t="inlineStr">
        <is>
          <t>SÖDERMANLANDS LÄN</t>
        </is>
      </c>
      <c r="E35" t="inlineStr">
        <is>
          <t>NYKÖPING</t>
        </is>
      </c>
      <c r="F35" t="inlineStr">
        <is>
          <t>Holmen skog AB</t>
        </is>
      </c>
      <c r="G35" t="n">
        <v>2.6</v>
      </c>
      <c r="H35" t="n">
        <v>1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Berguv
Skogsklocka</t>
        </is>
      </c>
      <c r="S35">
        <f>HYPERLINK("https://klasma.github.io/Logging_0480/artfynd/A 38366-2021 artfynd.xlsx", "A 38366-2021")</f>
        <v/>
      </c>
      <c r="T35">
        <f>HYPERLINK("https://klasma.github.io/Logging_0480/kartor/A 38366-2021 karta.png", "A 38366-2021")</f>
        <v/>
      </c>
      <c r="V35">
        <f>HYPERLINK("https://klasma.github.io/Logging_0480/klagomål/A 38366-2021 FSC-klagomål.docx", "A 38366-2021")</f>
        <v/>
      </c>
      <c r="W35">
        <f>HYPERLINK("https://klasma.github.io/Logging_0480/klagomålsmail/A 38366-2021 FSC-klagomål mail.docx", "A 38366-2021")</f>
        <v/>
      </c>
      <c r="X35">
        <f>HYPERLINK("https://klasma.github.io/Logging_0480/tillsyn/A 38366-2021 tillsynsbegäran.docx", "A 38366-2021")</f>
        <v/>
      </c>
      <c r="Y35">
        <f>HYPERLINK("https://klasma.github.io/Logging_0480/tillsynsmail/A 38366-2021 tillsynsbegäran mail.docx", "A 38366-2021")</f>
        <v/>
      </c>
      <c r="Z35">
        <f>HYPERLINK("https://klasma.github.io/Logging_0480/fåglar/A 38366-2021 prioriterade fågelarter.docx", "A 38366-2021")</f>
        <v/>
      </c>
    </row>
    <row r="36" ht="15" customHeight="1">
      <c r="A36" t="inlineStr">
        <is>
          <t>A 11354-2021</t>
        </is>
      </c>
      <c r="B36" s="1" t="n">
        <v>44263</v>
      </c>
      <c r="C36" s="1" t="n">
        <v>45947</v>
      </c>
      <c r="D36" t="inlineStr">
        <is>
          <t>SÖDERMANLANDS LÄN</t>
        </is>
      </c>
      <c r="E36" t="inlineStr">
        <is>
          <t>NYKÖPING</t>
        </is>
      </c>
      <c r="G36" t="n">
        <v>4.2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Mellanlummer
Revlummer</t>
        </is>
      </c>
      <c r="S36">
        <f>HYPERLINK("https://klasma.github.io/Logging_0480/artfynd/A 11354-2021 artfynd.xlsx", "A 11354-2021")</f>
        <v/>
      </c>
      <c r="T36">
        <f>HYPERLINK("https://klasma.github.io/Logging_0480/kartor/A 11354-2021 karta.png", "A 11354-2021")</f>
        <v/>
      </c>
      <c r="V36">
        <f>HYPERLINK("https://klasma.github.io/Logging_0480/klagomål/A 11354-2021 FSC-klagomål.docx", "A 11354-2021")</f>
        <v/>
      </c>
      <c r="W36">
        <f>HYPERLINK("https://klasma.github.io/Logging_0480/klagomålsmail/A 11354-2021 FSC-klagomål mail.docx", "A 11354-2021")</f>
        <v/>
      </c>
      <c r="X36">
        <f>HYPERLINK("https://klasma.github.io/Logging_0480/tillsyn/A 11354-2021 tillsynsbegäran.docx", "A 11354-2021")</f>
        <v/>
      </c>
      <c r="Y36">
        <f>HYPERLINK("https://klasma.github.io/Logging_0480/tillsynsmail/A 11354-2021 tillsynsbegäran mail.docx", "A 11354-2021")</f>
        <v/>
      </c>
    </row>
    <row r="37" ht="15" customHeight="1">
      <c r="A37" t="inlineStr">
        <is>
          <t>A 60460-2022</t>
        </is>
      </c>
      <c r="B37" s="1" t="n">
        <v>44911</v>
      </c>
      <c r="C37" s="1" t="n">
        <v>45947</v>
      </c>
      <c r="D37" t="inlineStr">
        <is>
          <t>SÖDERMANLANDS LÄN</t>
        </is>
      </c>
      <c r="E37" t="inlineStr">
        <is>
          <t>NYKÖPING</t>
        </is>
      </c>
      <c r="F37" t="inlineStr">
        <is>
          <t>Holmen skog AB</t>
        </is>
      </c>
      <c r="G37" t="n">
        <v>1.7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Barkticka
Blåsippa</t>
        </is>
      </c>
      <c r="S37">
        <f>HYPERLINK("https://klasma.github.io/Logging_0480/artfynd/A 60460-2022 artfynd.xlsx", "A 60460-2022")</f>
        <v/>
      </c>
      <c r="T37">
        <f>HYPERLINK("https://klasma.github.io/Logging_0480/kartor/A 60460-2022 karta.png", "A 60460-2022")</f>
        <v/>
      </c>
      <c r="V37">
        <f>HYPERLINK("https://klasma.github.io/Logging_0480/klagomål/A 60460-2022 FSC-klagomål.docx", "A 60460-2022")</f>
        <v/>
      </c>
      <c r="W37">
        <f>HYPERLINK("https://klasma.github.io/Logging_0480/klagomålsmail/A 60460-2022 FSC-klagomål mail.docx", "A 60460-2022")</f>
        <v/>
      </c>
      <c r="X37">
        <f>HYPERLINK("https://klasma.github.io/Logging_0480/tillsyn/A 60460-2022 tillsynsbegäran.docx", "A 60460-2022")</f>
        <v/>
      </c>
      <c r="Y37">
        <f>HYPERLINK("https://klasma.github.io/Logging_0480/tillsynsmail/A 60460-2022 tillsynsbegäran mail.docx", "A 60460-2022")</f>
        <v/>
      </c>
    </row>
    <row r="38" ht="15" customHeight="1">
      <c r="A38" t="inlineStr">
        <is>
          <t>A 25183-2022</t>
        </is>
      </c>
      <c r="B38" s="1" t="n">
        <v>44729</v>
      </c>
      <c r="C38" s="1" t="n">
        <v>45947</v>
      </c>
      <c r="D38" t="inlineStr">
        <is>
          <t>SÖDERMANLANDS LÄN</t>
        </is>
      </c>
      <c r="E38" t="inlineStr">
        <is>
          <t>NYKÖPING</t>
        </is>
      </c>
      <c r="G38" t="n">
        <v>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Gulvaxing
Ängsvaxskivling</t>
        </is>
      </c>
      <c r="S38">
        <f>HYPERLINK("https://klasma.github.io/Logging_0480/artfynd/A 25183-2022 artfynd.xlsx", "A 25183-2022")</f>
        <v/>
      </c>
      <c r="T38">
        <f>HYPERLINK("https://klasma.github.io/Logging_0480/kartor/A 25183-2022 karta.png", "A 25183-2022")</f>
        <v/>
      </c>
      <c r="V38">
        <f>HYPERLINK("https://klasma.github.io/Logging_0480/klagomål/A 25183-2022 FSC-klagomål.docx", "A 25183-2022")</f>
        <v/>
      </c>
      <c r="W38">
        <f>HYPERLINK("https://klasma.github.io/Logging_0480/klagomålsmail/A 25183-2022 FSC-klagomål mail.docx", "A 25183-2022")</f>
        <v/>
      </c>
      <c r="X38">
        <f>HYPERLINK("https://klasma.github.io/Logging_0480/tillsyn/A 25183-2022 tillsynsbegäran.docx", "A 25183-2022")</f>
        <v/>
      </c>
      <c r="Y38">
        <f>HYPERLINK("https://klasma.github.io/Logging_0480/tillsynsmail/A 25183-2022 tillsynsbegäran mail.docx", "A 25183-2022")</f>
        <v/>
      </c>
    </row>
    <row r="39" ht="15" customHeight="1">
      <c r="A39" t="inlineStr">
        <is>
          <t>A 30155-2021</t>
        </is>
      </c>
      <c r="B39" s="1" t="n">
        <v>44363</v>
      </c>
      <c r="C39" s="1" t="n">
        <v>45947</v>
      </c>
      <c r="D39" t="inlineStr">
        <is>
          <t>SÖDERMANLANDS LÄN</t>
        </is>
      </c>
      <c r="E39" t="inlineStr">
        <is>
          <t>NYKÖPING</t>
        </is>
      </c>
      <c r="G39" t="n">
        <v>8.5</v>
      </c>
      <c r="H39" t="n">
        <v>2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Havsörn
Spillkråka</t>
        </is>
      </c>
      <c r="S39">
        <f>HYPERLINK("https://klasma.github.io/Logging_0480/artfynd/A 30155-2021 artfynd.xlsx", "A 30155-2021")</f>
        <v/>
      </c>
      <c r="T39">
        <f>HYPERLINK("https://klasma.github.io/Logging_0480/kartor/A 30155-2021 karta.png", "A 30155-2021")</f>
        <v/>
      </c>
      <c r="V39">
        <f>HYPERLINK("https://klasma.github.io/Logging_0480/klagomål/A 30155-2021 FSC-klagomål.docx", "A 30155-2021")</f>
        <v/>
      </c>
      <c r="W39">
        <f>HYPERLINK("https://klasma.github.io/Logging_0480/klagomålsmail/A 30155-2021 FSC-klagomål mail.docx", "A 30155-2021")</f>
        <v/>
      </c>
      <c r="X39">
        <f>HYPERLINK("https://klasma.github.io/Logging_0480/tillsyn/A 30155-2021 tillsynsbegäran.docx", "A 30155-2021")</f>
        <v/>
      </c>
      <c r="Y39">
        <f>HYPERLINK("https://klasma.github.io/Logging_0480/tillsynsmail/A 30155-2021 tillsynsbegäran mail.docx", "A 30155-2021")</f>
        <v/>
      </c>
      <c r="Z39">
        <f>HYPERLINK("https://klasma.github.io/Logging_0480/fåglar/A 30155-2021 prioriterade fågelarter.docx", "A 30155-2021")</f>
        <v/>
      </c>
    </row>
    <row r="40" ht="15" customHeight="1">
      <c r="A40" t="inlineStr">
        <is>
          <t>A 37401-2024</t>
        </is>
      </c>
      <c r="B40" s="1" t="n">
        <v>45540.60987268519</v>
      </c>
      <c r="C40" s="1" t="n">
        <v>45947</v>
      </c>
      <c r="D40" t="inlineStr">
        <is>
          <t>SÖDERMANLANDS LÄN</t>
        </is>
      </c>
      <c r="E40" t="inlineStr">
        <is>
          <t>NYKÖPING</t>
        </is>
      </c>
      <c r="F40" t="inlineStr">
        <is>
          <t>Holmen skog AB</t>
        </is>
      </c>
      <c r="G40" t="n">
        <v>2.2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Gropticka
Svart taggsvamp</t>
        </is>
      </c>
      <c r="S40">
        <f>HYPERLINK("https://klasma.github.io/Logging_0480/artfynd/A 37401-2024 artfynd.xlsx", "A 37401-2024")</f>
        <v/>
      </c>
      <c r="T40">
        <f>HYPERLINK("https://klasma.github.io/Logging_0480/kartor/A 37401-2024 karta.png", "A 37401-2024")</f>
        <v/>
      </c>
      <c r="V40">
        <f>HYPERLINK("https://klasma.github.io/Logging_0480/klagomål/A 37401-2024 FSC-klagomål.docx", "A 37401-2024")</f>
        <v/>
      </c>
      <c r="W40">
        <f>HYPERLINK("https://klasma.github.io/Logging_0480/klagomålsmail/A 37401-2024 FSC-klagomål mail.docx", "A 37401-2024")</f>
        <v/>
      </c>
      <c r="X40">
        <f>HYPERLINK("https://klasma.github.io/Logging_0480/tillsyn/A 37401-2024 tillsynsbegäran.docx", "A 37401-2024")</f>
        <v/>
      </c>
      <c r="Y40">
        <f>HYPERLINK("https://klasma.github.io/Logging_0480/tillsynsmail/A 37401-2024 tillsynsbegäran mail.docx", "A 37401-2024")</f>
        <v/>
      </c>
    </row>
    <row r="41" ht="15" customHeight="1">
      <c r="A41" t="inlineStr">
        <is>
          <t>A 45520-2025</t>
        </is>
      </c>
      <c r="B41" s="1" t="n">
        <v>45922</v>
      </c>
      <c r="C41" s="1" t="n">
        <v>45947</v>
      </c>
      <c r="D41" t="inlineStr">
        <is>
          <t>SÖDERMANLANDS LÄN</t>
        </is>
      </c>
      <c r="E41" t="inlineStr">
        <is>
          <t>NYKÖPING</t>
        </is>
      </c>
      <c r="F41" t="inlineStr">
        <is>
          <t>Allmännings- och besparingsskogar</t>
        </is>
      </c>
      <c r="G41" t="n">
        <v>15.4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Tibast
Blåsippa</t>
        </is>
      </c>
      <c r="S41">
        <f>HYPERLINK("https://klasma.github.io/Logging_0480/artfynd/A 45520-2025 artfynd.xlsx", "A 45520-2025")</f>
        <v/>
      </c>
      <c r="T41">
        <f>HYPERLINK("https://klasma.github.io/Logging_0480/kartor/A 45520-2025 karta.png", "A 45520-2025")</f>
        <v/>
      </c>
      <c r="V41">
        <f>HYPERLINK("https://klasma.github.io/Logging_0480/klagomål/A 45520-2025 FSC-klagomål.docx", "A 45520-2025")</f>
        <v/>
      </c>
      <c r="W41">
        <f>HYPERLINK("https://klasma.github.io/Logging_0480/klagomålsmail/A 45520-2025 FSC-klagomål mail.docx", "A 45520-2025")</f>
        <v/>
      </c>
      <c r="X41">
        <f>HYPERLINK("https://klasma.github.io/Logging_0480/tillsyn/A 45520-2025 tillsynsbegäran.docx", "A 45520-2025")</f>
        <v/>
      </c>
      <c r="Y41">
        <f>HYPERLINK("https://klasma.github.io/Logging_0480/tillsynsmail/A 45520-2025 tillsynsbegäran mail.docx", "A 45520-2025")</f>
        <v/>
      </c>
    </row>
    <row r="42" ht="15" customHeight="1">
      <c r="A42" t="inlineStr">
        <is>
          <t>A 38203-2022</t>
        </is>
      </c>
      <c r="B42" s="1" t="n">
        <v>44812</v>
      </c>
      <c r="C42" s="1" t="n">
        <v>45947</v>
      </c>
      <c r="D42" t="inlineStr">
        <is>
          <t>SÖDERMANLANDS LÄN</t>
        </is>
      </c>
      <c r="E42" t="inlineStr">
        <is>
          <t>NYKÖPING</t>
        </is>
      </c>
      <c r="G42" t="n">
        <v>1.9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Kösa
Linmåra/småsnärjmåra</t>
        </is>
      </c>
      <c r="S42">
        <f>HYPERLINK("https://klasma.github.io/Logging_0480/artfynd/A 38203-2022 artfynd.xlsx", "A 38203-2022")</f>
        <v/>
      </c>
      <c r="T42">
        <f>HYPERLINK("https://klasma.github.io/Logging_0480/kartor/A 38203-2022 karta.png", "A 38203-2022")</f>
        <v/>
      </c>
      <c r="V42">
        <f>HYPERLINK("https://klasma.github.io/Logging_0480/klagomål/A 38203-2022 FSC-klagomål.docx", "A 38203-2022")</f>
        <v/>
      </c>
      <c r="W42">
        <f>HYPERLINK("https://klasma.github.io/Logging_0480/klagomålsmail/A 38203-2022 FSC-klagomål mail.docx", "A 38203-2022")</f>
        <v/>
      </c>
      <c r="X42">
        <f>HYPERLINK("https://klasma.github.io/Logging_0480/tillsyn/A 38203-2022 tillsynsbegäran.docx", "A 38203-2022")</f>
        <v/>
      </c>
      <c r="Y42">
        <f>HYPERLINK("https://klasma.github.io/Logging_0480/tillsynsmail/A 38203-2022 tillsynsbegäran mail.docx", "A 38203-2022")</f>
        <v/>
      </c>
    </row>
    <row r="43" ht="15" customHeight="1">
      <c r="A43" t="inlineStr">
        <is>
          <t>A 29797-2024</t>
        </is>
      </c>
      <c r="B43" s="1" t="n">
        <v>45485</v>
      </c>
      <c r="C43" s="1" t="n">
        <v>45947</v>
      </c>
      <c r="D43" t="inlineStr">
        <is>
          <t>SÖDERMANLANDS LÄN</t>
        </is>
      </c>
      <c r="E43" t="inlineStr">
        <is>
          <t>NYKÖPING</t>
        </is>
      </c>
      <c r="G43" t="n">
        <v>22.2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Citronfläckad kärrtrollslända
Större vattensalamander</t>
        </is>
      </c>
      <c r="S43">
        <f>HYPERLINK("https://klasma.github.io/Logging_0480/artfynd/A 29797-2024 artfynd.xlsx", "A 29797-2024")</f>
        <v/>
      </c>
      <c r="T43">
        <f>HYPERLINK("https://klasma.github.io/Logging_0480/kartor/A 29797-2024 karta.png", "A 29797-2024")</f>
        <v/>
      </c>
      <c r="V43">
        <f>HYPERLINK("https://klasma.github.io/Logging_0480/klagomål/A 29797-2024 FSC-klagomål.docx", "A 29797-2024")</f>
        <v/>
      </c>
      <c r="W43">
        <f>HYPERLINK("https://klasma.github.io/Logging_0480/klagomålsmail/A 29797-2024 FSC-klagomål mail.docx", "A 29797-2024")</f>
        <v/>
      </c>
      <c r="X43">
        <f>HYPERLINK("https://klasma.github.io/Logging_0480/tillsyn/A 29797-2024 tillsynsbegäran.docx", "A 29797-2024")</f>
        <v/>
      </c>
      <c r="Y43">
        <f>HYPERLINK("https://klasma.github.io/Logging_0480/tillsynsmail/A 29797-2024 tillsynsbegäran mail.docx", "A 29797-2024")</f>
        <v/>
      </c>
    </row>
    <row r="44" ht="15" customHeight="1">
      <c r="A44" t="inlineStr">
        <is>
          <t>A 45482-2025</t>
        </is>
      </c>
      <c r="B44" s="1" t="n">
        <v>45922.53443287037</v>
      </c>
      <c r="C44" s="1" t="n">
        <v>45947</v>
      </c>
      <c r="D44" t="inlineStr">
        <is>
          <t>SÖDERMANLANDS LÄN</t>
        </is>
      </c>
      <c r="E44" t="inlineStr">
        <is>
          <t>NYKÖPING</t>
        </is>
      </c>
      <c r="F44" t="inlineStr">
        <is>
          <t>Sveaskog</t>
        </is>
      </c>
      <c r="G44" t="n">
        <v>4.9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Motaggsvamp
Tallfingersvamp</t>
        </is>
      </c>
      <c r="S44">
        <f>HYPERLINK("https://klasma.github.io/Logging_0480/artfynd/A 45482-2025 artfynd.xlsx", "A 45482-2025")</f>
        <v/>
      </c>
      <c r="T44">
        <f>HYPERLINK("https://klasma.github.io/Logging_0480/kartor/A 45482-2025 karta.png", "A 45482-2025")</f>
        <v/>
      </c>
      <c r="V44">
        <f>HYPERLINK("https://klasma.github.io/Logging_0480/klagomål/A 45482-2025 FSC-klagomål.docx", "A 45482-2025")</f>
        <v/>
      </c>
      <c r="W44">
        <f>HYPERLINK("https://klasma.github.io/Logging_0480/klagomålsmail/A 45482-2025 FSC-klagomål mail.docx", "A 45482-2025")</f>
        <v/>
      </c>
      <c r="X44">
        <f>HYPERLINK("https://klasma.github.io/Logging_0480/tillsyn/A 45482-2025 tillsynsbegäran.docx", "A 45482-2025")</f>
        <v/>
      </c>
      <c r="Y44">
        <f>HYPERLINK("https://klasma.github.io/Logging_0480/tillsynsmail/A 45482-2025 tillsynsbegäran mail.docx", "A 45482-2025")</f>
        <v/>
      </c>
    </row>
    <row r="45" ht="15" customHeight="1">
      <c r="A45" t="inlineStr">
        <is>
          <t>A 38366-2021</t>
        </is>
      </c>
      <c r="B45" s="1" t="n">
        <v>44406</v>
      </c>
      <c r="C45" s="1" t="n">
        <v>45947</v>
      </c>
      <c r="D45" t="inlineStr">
        <is>
          <t>SÖDERMANLANDS LÄN</t>
        </is>
      </c>
      <c r="E45" t="inlineStr">
        <is>
          <t>NYKÖPING</t>
        </is>
      </c>
      <c r="F45" t="inlineStr">
        <is>
          <t>Holmen skog AB</t>
        </is>
      </c>
      <c r="G45" t="n">
        <v>2.6</v>
      </c>
      <c r="H45" t="n">
        <v>1</v>
      </c>
      <c r="I45" t="n">
        <v>0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2</v>
      </c>
      <c r="R45" s="2" t="inlineStr">
        <is>
          <t>Berguv
Skogsklocka</t>
        </is>
      </c>
      <c r="S45">
        <f>HYPERLINK("https://klasma.github.io/Logging_0480/artfynd/A 38366-2021 artfynd.xlsx", "A 38366-2021")</f>
        <v/>
      </c>
      <c r="T45">
        <f>HYPERLINK("https://klasma.github.io/Logging_0480/kartor/A 38366-2021 karta.png", "A 38366-2021")</f>
        <v/>
      </c>
      <c r="V45">
        <f>HYPERLINK("https://klasma.github.io/Logging_0480/klagomål/A 38366-2021 FSC-klagomål.docx", "A 38366-2021")</f>
        <v/>
      </c>
      <c r="W45">
        <f>HYPERLINK("https://klasma.github.io/Logging_0480/klagomålsmail/A 38366-2021 FSC-klagomål mail.docx", "A 38366-2021")</f>
        <v/>
      </c>
      <c r="X45">
        <f>HYPERLINK("https://klasma.github.io/Logging_0480/tillsyn/A 38366-2021 tillsynsbegäran.docx", "A 38366-2021")</f>
        <v/>
      </c>
      <c r="Y45">
        <f>HYPERLINK("https://klasma.github.io/Logging_0480/tillsynsmail/A 38366-2021 tillsynsbegäran mail.docx", "A 38366-2021")</f>
        <v/>
      </c>
      <c r="Z45">
        <f>HYPERLINK("https://klasma.github.io/Logging_0480/fåglar/A 38366-2021 prioriterade fågelarter.docx", "A 38366-2021")</f>
        <v/>
      </c>
    </row>
    <row r="46" ht="15" customHeight="1">
      <c r="A46" t="inlineStr">
        <is>
          <t>A 38923-2024</t>
        </is>
      </c>
      <c r="B46" s="1" t="n">
        <v>45547</v>
      </c>
      <c r="C46" s="1" t="n">
        <v>45947</v>
      </c>
      <c r="D46" t="inlineStr">
        <is>
          <t>SÖDERMANLANDS LÄN</t>
        </is>
      </c>
      <c r="E46" t="inlineStr">
        <is>
          <t>NYKÖPING</t>
        </is>
      </c>
      <c r="G46" t="n">
        <v>18.9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Tallticka
Blodticka</t>
        </is>
      </c>
      <c r="S46">
        <f>HYPERLINK("https://klasma.github.io/Logging_0480/artfynd/A 38923-2024 artfynd.xlsx", "A 38923-2024")</f>
        <v/>
      </c>
      <c r="T46">
        <f>HYPERLINK("https://klasma.github.io/Logging_0480/kartor/A 38923-2024 karta.png", "A 38923-2024")</f>
        <v/>
      </c>
      <c r="V46">
        <f>HYPERLINK("https://klasma.github.io/Logging_0480/klagomål/A 38923-2024 FSC-klagomål.docx", "A 38923-2024")</f>
        <v/>
      </c>
      <c r="W46">
        <f>HYPERLINK("https://klasma.github.io/Logging_0480/klagomålsmail/A 38923-2024 FSC-klagomål mail.docx", "A 38923-2024")</f>
        <v/>
      </c>
      <c r="X46">
        <f>HYPERLINK("https://klasma.github.io/Logging_0480/tillsyn/A 38923-2024 tillsynsbegäran.docx", "A 38923-2024")</f>
        <v/>
      </c>
      <c r="Y46">
        <f>HYPERLINK("https://klasma.github.io/Logging_0480/tillsynsmail/A 38923-2024 tillsynsbegäran mail.docx", "A 38923-2024")</f>
        <v/>
      </c>
    </row>
    <row r="47" ht="15" customHeight="1">
      <c r="A47" t="inlineStr">
        <is>
          <t>A 52095-2022</t>
        </is>
      </c>
      <c r="B47" s="1" t="n">
        <v>44873.3884375</v>
      </c>
      <c r="C47" s="1" t="n">
        <v>45947</v>
      </c>
      <c r="D47" t="inlineStr">
        <is>
          <t>SÖDERMANLANDS LÄN</t>
        </is>
      </c>
      <c r="E47" t="inlineStr">
        <is>
          <t>NYKÖPING</t>
        </is>
      </c>
      <c r="G47" t="n">
        <v>1.8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Drillsnäppa</t>
        </is>
      </c>
      <c r="S47">
        <f>HYPERLINK("https://klasma.github.io/Logging_0480/artfynd/A 52095-2022 artfynd.xlsx", "A 52095-2022")</f>
        <v/>
      </c>
      <c r="T47">
        <f>HYPERLINK("https://klasma.github.io/Logging_0480/kartor/A 52095-2022 karta.png", "A 52095-2022")</f>
        <v/>
      </c>
      <c r="V47">
        <f>HYPERLINK("https://klasma.github.io/Logging_0480/klagomål/A 52095-2022 FSC-klagomål.docx", "A 52095-2022")</f>
        <v/>
      </c>
      <c r="W47">
        <f>HYPERLINK("https://klasma.github.io/Logging_0480/klagomålsmail/A 52095-2022 FSC-klagomål mail.docx", "A 52095-2022")</f>
        <v/>
      </c>
      <c r="X47">
        <f>HYPERLINK("https://klasma.github.io/Logging_0480/tillsyn/A 52095-2022 tillsynsbegäran.docx", "A 52095-2022")</f>
        <v/>
      </c>
      <c r="Y47">
        <f>HYPERLINK("https://klasma.github.io/Logging_0480/tillsynsmail/A 52095-2022 tillsynsbegäran mail.docx", "A 52095-2022")</f>
        <v/>
      </c>
    </row>
    <row r="48" ht="15" customHeight="1">
      <c r="A48" t="inlineStr">
        <is>
          <t>A 58396-2021</t>
        </is>
      </c>
      <c r="B48" s="1" t="n">
        <v>44488.48640046296</v>
      </c>
      <c r="C48" s="1" t="n">
        <v>45947</v>
      </c>
      <c r="D48" t="inlineStr">
        <is>
          <t>SÖDERMANLANDS LÄN</t>
        </is>
      </c>
      <c r="E48" t="inlineStr">
        <is>
          <t>NYKÖPING</t>
        </is>
      </c>
      <c r="G48" t="n">
        <v>1.5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HYPERLINK("https://klasma.github.io/Logging_0480/artfynd/A 58396-2021 artfynd.xlsx", "A 58396-2021")</f>
        <v/>
      </c>
      <c r="T48">
        <f>HYPERLINK("https://klasma.github.io/Logging_0480/kartor/A 58396-2021 karta.png", "A 58396-2021")</f>
        <v/>
      </c>
      <c r="V48">
        <f>HYPERLINK("https://klasma.github.io/Logging_0480/klagomål/A 58396-2021 FSC-klagomål.docx", "A 58396-2021")</f>
        <v/>
      </c>
      <c r="W48">
        <f>HYPERLINK("https://klasma.github.io/Logging_0480/klagomålsmail/A 58396-2021 FSC-klagomål mail.docx", "A 58396-2021")</f>
        <v/>
      </c>
      <c r="X48">
        <f>HYPERLINK("https://klasma.github.io/Logging_0480/tillsyn/A 58396-2021 tillsynsbegäran.docx", "A 58396-2021")</f>
        <v/>
      </c>
      <c r="Y48">
        <f>HYPERLINK("https://klasma.github.io/Logging_0480/tillsynsmail/A 58396-2021 tillsynsbegäran mail.docx", "A 58396-2021")</f>
        <v/>
      </c>
      <c r="Z48">
        <f>HYPERLINK("https://klasma.github.io/Logging_0480/fåglar/A 58396-2021 prioriterade fågelarter.docx", "A 58396-2021")</f>
        <v/>
      </c>
    </row>
    <row r="49" ht="15" customHeight="1">
      <c r="A49" t="inlineStr">
        <is>
          <t>A 7130-2021</t>
        </is>
      </c>
      <c r="B49" s="1" t="n">
        <v>44238</v>
      </c>
      <c r="C49" s="1" t="n">
        <v>45947</v>
      </c>
      <c r="D49" t="inlineStr">
        <is>
          <t>SÖDERMANLANDS LÄN</t>
        </is>
      </c>
      <c r="E49" t="inlineStr">
        <is>
          <t>NYKÖPING</t>
        </is>
      </c>
      <c r="F49" t="inlineStr">
        <is>
          <t>Kommuner</t>
        </is>
      </c>
      <c r="G49" t="n">
        <v>4.1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aspticka</t>
        </is>
      </c>
      <c r="S49">
        <f>HYPERLINK("https://klasma.github.io/Logging_0480/artfynd/A 7130-2021 artfynd.xlsx", "A 7130-2021")</f>
        <v/>
      </c>
      <c r="T49">
        <f>HYPERLINK("https://klasma.github.io/Logging_0480/kartor/A 7130-2021 karta.png", "A 7130-2021")</f>
        <v/>
      </c>
      <c r="V49">
        <f>HYPERLINK("https://klasma.github.io/Logging_0480/klagomål/A 7130-2021 FSC-klagomål.docx", "A 7130-2021")</f>
        <v/>
      </c>
      <c r="W49">
        <f>HYPERLINK("https://klasma.github.io/Logging_0480/klagomålsmail/A 7130-2021 FSC-klagomål mail.docx", "A 7130-2021")</f>
        <v/>
      </c>
      <c r="X49">
        <f>HYPERLINK("https://klasma.github.io/Logging_0480/tillsyn/A 7130-2021 tillsynsbegäran.docx", "A 7130-2021")</f>
        <v/>
      </c>
      <c r="Y49">
        <f>HYPERLINK("https://klasma.github.io/Logging_0480/tillsynsmail/A 7130-2021 tillsynsbegäran mail.docx", "A 7130-2021")</f>
        <v/>
      </c>
    </row>
    <row r="50" ht="15" customHeight="1">
      <c r="A50" t="inlineStr">
        <is>
          <t>A 47107-2021</t>
        </is>
      </c>
      <c r="B50" s="1" t="n">
        <v>44446</v>
      </c>
      <c r="C50" s="1" t="n">
        <v>45947</v>
      </c>
      <c r="D50" t="inlineStr">
        <is>
          <t>SÖDERMANLANDS LÄN</t>
        </is>
      </c>
      <c r="E50" t="inlineStr">
        <is>
          <t>NYKÖPING</t>
        </is>
      </c>
      <c r="F50" t="inlineStr">
        <is>
          <t>Kommuner</t>
        </is>
      </c>
      <c r="G50" t="n">
        <v>4.9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Enkelbeckasin</t>
        </is>
      </c>
      <c r="S50">
        <f>HYPERLINK("https://klasma.github.io/Logging_0480/artfynd/A 47107-2021 artfynd.xlsx", "A 47107-2021")</f>
        <v/>
      </c>
      <c r="T50">
        <f>HYPERLINK("https://klasma.github.io/Logging_0480/kartor/A 47107-2021 karta.png", "A 47107-2021")</f>
        <v/>
      </c>
      <c r="V50">
        <f>HYPERLINK("https://klasma.github.io/Logging_0480/klagomål/A 47107-2021 FSC-klagomål.docx", "A 47107-2021")</f>
        <v/>
      </c>
      <c r="W50">
        <f>HYPERLINK("https://klasma.github.io/Logging_0480/klagomålsmail/A 47107-2021 FSC-klagomål mail.docx", "A 47107-2021")</f>
        <v/>
      </c>
      <c r="X50">
        <f>HYPERLINK("https://klasma.github.io/Logging_0480/tillsyn/A 47107-2021 tillsynsbegäran.docx", "A 47107-2021")</f>
        <v/>
      </c>
      <c r="Y50">
        <f>HYPERLINK("https://klasma.github.io/Logging_0480/tillsynsmail/A 47107-2021 tillsynsbegäran mail.docx", "A 47107-2021")</f>
        <v/>
      </c>
      <c r="Z50">
        <f>HYPERLINK("https://klasma.github.io/Logging_0480/fåglar/A 47107-2021 prioriterade fågelarter.docx", "A 47107-2021")</f>
        <v/>
      </c>
    </row>
    <row r="51" ht="15" customHeight="1">
      <c r="A51" t="inlineStr">
        <is>
          <t>A 37879-2021</t>
        </is>
      </c>
      <c r="B51" s="1" t="n">
        <v>44403</v>
      </c>
      <c r="C51" s="1" t="n">
        <v>45947</v>
      </c>
      <c r="D51" t="inlineStr">
        <is>
          <t>SÖDERMANLANDS LÄN</t>
        </is>
      </c>
      <c r="E51" t="inlineStr">
        <is>
          <t>NYKÖPING</t>
        </is>
      </c>
      <c r="G51" t="n">
        <v>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Persiljespindling</t>
        </is>
      </c>
      <c r="S51">
        <f>HYPERLINK("https://klasma.github.io/Logging_0480/artfynd/A 37879-2021 artfynd.xlsx", "A 37879-2021")</f>
        <v/>
      </c>
      <c r="T51">
        <f>HYPERLINK("https://klasma.github.io/Logging_0480/kartor/A 37879-2021 karta.png", "A 37879-2021")</f>
        <v/>
      </c>
      <c r="V51">
        <f>HYPERLINK("https://klasma.github.io/Logging_0480/klagomål/A 37879-2021 FSC-klagomål.docx", "A 37879-2021")</f>
        <v/>
      </c>
      <c r="W51">
        <f>HYPERLINK("https://klasma.github.io/Logging_0480/klagomålsmail/A 37879-2021 FSC-klagomål mail.docx", "A 37879-2021")</f>
        <v/>
      </c>
      <c r="X51">
        <f>HYPERLINK("https://klasma.github.io/Logging_0480/tillsyn/A 37879-2021 tillsynsbegäran.docx", "A 37879-2021")</f>
        <v/>
      </c>
      <c r="Y51">
        <f>HYPERLINK("https://klasma.github.io/Logging_0480/tillsynsmail/A 37879-2021 tillsynsbegäran mail.docx", "A 37879-2021")</f>
        <v/>
      </c>
    </row>
    <row r="52" ht="15" customHeight="1">
      <c r="A52" t="inlineStr">
        <is>
          <t>A 69612-2021</t>
        </is>
      </c>
      <c r="B52" s="1" t="n">
        <v>44531</v>
      </c>
      <c r="C52" s="1" t="n">
        <v>45947</v>
      </c>
      <c r="D52" t="inlineStr">
        <is>
          <t>SÖDERMANLANDS LÄN</t>
        </is>
      </c>
      <c r="E52" t="inlineStr">
        <is>
          <t>NYKÖPING</t>
        </is>
      </c>
      <c r="G52" t="n">
        <v>9.199999999999999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Blomkålssvamp</t>
        </is>
      </c>
      <c r="S52">
        <f>HYPERLINK("https://klasma.github.io/Logging_0480/artfynd/A 69612-2021 artfynd.xlsx", "A 69612-2021")</f>
        <v/>
      </c>
      <c r="T52">
        <f>HYPERLINK("https://klasma.github.io/Logging_0480/kartor/A 69612-2021 karta.png", "A 69612-2021")</f>
        <v/>
      </c>
      <c r="V52">
        <f>HYPERLINK("https://klasma.github.io/Logging_0480/klagomål/A 69612-2021 FSC-klagomål.docx", "A 69612-2021")</f>
        <v/>
      </c>
      <c r="W52">
        <f>HYPERLINK("https://klasma.github.io/Logging_0480/klagomålsmail/A 69612-2021 FSC-klagomål mail.docx", "A 69612-2021")</f>
        <v/>
      </c>
      <c r="X52">
        <f>HYPERLINK("https://klasma.github.io/Logging_0480/tillsyn/A 69612-2021 tillsynsbegäran.docx", "A 69612-2021")</f>
        <v/>
      </c>
      <c r="Y52">
        <f>HYPERLINK("https://klasma.github.io/Logging_0480/tillsynsmail/A 69612-2021 tillsynsbegäran mail.docx", "A 69612-2021")</f>
        <v/>
      </c>
    </row>
    <row r="53" ht="15" customHeight="1">
      <c r="A53" t="inlineStr">
        <is>
          <t>A 20415-2024</t>
        </is>
      </c>
      <c r="B53" s="1" t="n">
        <v>45435</v>
      </c>
      <c r="C53" s="1" t="n">
        <v>45947</v>
      </c>
      <c r="D53" t="inlineStr">
        <is>
          <t>SÖDERMANLANDS LÄN</t>
        </is>
      </c>
      <c r="E53" t="inlineStr">
        <is>
          <t>NYKÖPING</t>
        </is>
      </c>
      <c r="F53" t="inlineStr">
        <is>
          <t>Kommuner</t>
        </is>
      </c>
      <c r="G53" t="n">
        <v>6.4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Gulsparv</t>
        </is>
      </c>
      <c r="S53">
        <f>HYPERLINK("https://klasma.github.io/Logging_0480/artfynd/A 20415-2024 artfynd.xlsx", "A 20415-2024")</f>
        <v/>
      </c>
      <c r="T53">
        <f>HYPERLINK("https://klasma.github.io/Logging_0480/kartor/A 20415-2024 karta.png", "A 20415-2024")</f>
        <v/>
      </c>
      <c r="V53">
        <f>HYPERLINK("https://klasma.github.io/Logging_0480/klagomål/A 20415-2024 FSC-klagomål.docx", "A 20415-2024")</f>
        <v/>
      </c>
      <c r="W53">
        <f>HYPERLINK("https://klasma.github.io/Logging_0480/klagomålsmail/A 20415-2024 FSC-klagomål mail.docx", "A 20415-2024")</f>
        <v/>
      </c>
      <c r="X53">
        <f>HYPERLINK("https://klasma.github.io/Logging_0480/tillsyn/A 20415-2024 tillsynsbegäran.docx", "A 20415-2024")</f>
        <v/>
      </c>
      <c r="Y53">
        <f>HYPERLINK("https://klasma.github.io/Logging_0480/tillsynsmail/A 20415-2024 tillsynsbegäran mail.docx", "A 20415-2024")</f>
        <v/>
      </c>
      <c r="Z53">
        <f>HYPERLINK("https://klasma.github.io/Logging_0480/fåglar/A 20415-2024 prioriterade fågelarter.docx", "A 20415-2024")</f>
        <v/>
      </c>
    </row>
    <row r="54" ht="15" customHeight="1">
      <c r="A54" t="inlineStr">
        <is>
          <t>A 2837-2025</t>
        </is>
      </c>
      <c r="B54" s="1" t="n">
        <v>45677</v>
      </c>
      <c r="C54" s="1" t="n">
        <v>45947</v>
      </c>
      <c r="D54" t="inlineStr">
        <is>
          <t>SÖDERMANLANDS LÄN</t>
        </is>
      </c>
      <c r="E54" t="inlineStr">
        <is>
          <t>NYKÖPING</t>
        </is>
      </c>
      <c r="G54" t="n">
        <v>5.2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Hasselticka</t>
        </is>
      </c>
      <c r="S54">
        <f>HYPERLINK("https://klasma.github.io/Logging_0480/artfynd/A 2837-2025 artfynd.xlsx", "A 2837-2025")</f>
        <v/>
      </c>
      <c r="T54">
        <f>HYPERLINK("https://klasma.github.io/Logging_0480/kartor/A 2837-2025 karta.png", "A 2837-2025")</f>
        <v/>
      </c>
      <c r="V54">
        <f>HYPERLINK("https://klasma.github.io/Logging_0480/klagomål/A 2837-2025 FSC-klagomål.docx", "A 2837-2025")</f>
        <v/>
      </c>
      <c r="W54">
        <f>HYPERLINK("https://klasma.github.io/Logging_0480/klagomålsmail/A 2837-2025 FSC-klagomål mail.docx", "A 2837-2025")</f>
        <v/>
      </c>
      <c r="X54">
        <f>HYPERLINK("https://klasma.github.io/Logging_0480/tillsyn/A 2837-2025 tillsynsbegäran.docx", "A 2837-2025")</f>
        <v/>
      </c>
      <c r="Y54">
        <f>HYPERLINK("https://klasma.github.io/Logging_0480/tillsynsmail/A 2837-2025 tillsynsbegäran mail.docx", "A 2837-2025")</f>
        <v/>
      </c>
    </row>
    <row r="55" ht="15" customHeight="1">
      <c r="A55" t="inlineStr">
        <is>
          <t>A 9973-2022</t>
        </is>
      </c>
      <c r="B55" s="1" t="n">
        <v>44621</v>
      </c>
      <c r="C55" s="1" t="n">
        <v>45947</v>
      </c>
      <c r="D55" t="inlineStr">
        <is>
          <t>SÖDERMANLANDS LÄN</t>
        </is>
      </c>
      <c r="E55" t="inlineStr">
        <is>
          <t>NYKÖPING</t>
        </is>
      </c>
      <c r="G55" t="n">
        <v>18.3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Grön sköldmossa</t>
        </is>
      </c>
      <c r="S55">
        <f>HYPERLINK("https://klasma.github.io/Logging_0480/artfynd/A 9973-2022 artfynd.xlsx", "A 9973-2022")</f>
        <v/>
      </c>
      <c r="T55">
        <f>HYPERLINK("https://klasma.github.io/Logging_0480/kartor/A 9973-2022 karta.png", "A 9973-2022")</f>
        <v/>
      </c>
      <c r="V55">
        <f>HYPERLINK("https://klasma.github.io/Logging_0480/klagomål/A 9973-2022 FSC-klagomål.docx", "A 9973-2022")</f>
        <v/>
      </c>
      <c r="W55">
        <f>HYPERLINK("https://klasma.github.io/Logging_0480/klagomålsmail/A 9973-2022 FSC-klagomål mail.docx", "A 9973-2022")</f>
        <v/>
      </c>
      <c r="X55">
        <f>HYPERLINK("https://klasma.github.io/Logging_0480/tillsyn/A 9973-2022 tillsynsbegäran.docx", "A 9973-2022")</f>
        <v/>
      </c>
      <c r="Y55">
        <f>HYPERLINK("https://klasma.github.io/Logging_0480/tillsynsmail/A 9973-2022 tillsynsbegäran mail.docx", "A 9973-2022")</f>
        <v/>
      </c>
    </row>
    <row r="56" ht="15" customHeight="1">
      <c r="A56" t="inlineStr">
        <is>
          <t>A 13038-2024</t>
        </is>
      </c>
      <c r="B56" s="1" t="n">
        <v>45385.59928240741</v>
      </c>
      <c r="C56" s="1" t="n">
        <v>45947</v>
      </c>
      <c r="D56" t="inlineStr">
        <is>
          <t>SÖDERMANLANDS LÄN</t>
        </is>
      </c>
      <c r="E56" t="inlineStr">
        <is>
          <t>NYKÖPING</t>
        </is>
      </c>
      <c r="G56" t="n">
        <v>3.8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HYPERLINK("https://klasma.github.io/Logging_0480/artfynd/A 13038-2024 artfynd.xlsx", "A 13038-2024")</f>
        <v/>
      </c>
      <c r="T56">
        <f>HYPERLINK("https://klasma.github.io/Logging_0480/kartor/A 13038-2024 karta.png", "A 13038-2024")</f>
        <v/>
      </c>
      <c r="U56">
        <f>HYPERLINK("https://klasma.github.io/Logging_0480/knärot/A 13038-2024 karta knärot.png", "A 13038-2024")</f>
        <v/>
      </c>
      <c r="V56">
        <f>HYPERLINK("https://klasma.github.io/Logging_0480/klagomål/A 13038-2024 FSC-klagomål.docx", "A 13038-2024")</f>
        <v/>
      </c>
      <c r="W56">
        <f>HYPERLINK("https://klasma.github.io/Logging_0480/klagomålsmail/A 13038-2024 FSC-klagomål mail.docx", "A 13038-2024")</f>
        <v/>
      </c>
      <c r="X56">
        <f>HYPERLINK("https://klasma.github.io/Logging_0480/tillsyn/A 13038-2024 tillsynsbegäran.docx", "A 13038-2024")</f>
        <v/>
      </c>
      <c r="Y56">
        <f>HYPERLINK("https://klasma.github.io/Logging_0480/tillsynsmail/A 13038-2024 tillsynsbegäran mail.docx", "A 13038-2024")</f>
        <v/>
      </c>
    </row>
    <row r="57" ht="15" customHeight="1">
      <c r="A57" t="inlineStr">
        <is>
          <t>A 9184-2024</t>
        </is>
      </c>
      <c r="B57" s="1" t="n">
        <v>45357</v>
      </c>
      <c r="C57" s="1" t="n">
        <v>45947</v>
      </c>
      <c r="D57" t="inlineStr">
        <is>
          <t>SÖDERMANLANDS LÄN</t>
        </is>
      </c>
      <c r="E57" t="inlineStr">
        <is>
          <t>NYKÖPING</t>
        </is>
      </c>
      <c r="F57" t="inlineStr">
        <is>
          <t>Kommuner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Raggtaggsvamp</t>
        </is>
      </c>
      <c r="S57">
        <f>HYPERLINK("https://klasma.github.io/Logging_0480/artfynd/A 9184-2024 artfynd.xlsx", "A 9184-2024")</f>
        <v/>
      </c>
      <c r="T57">
        <f>HYPERLINK("https://klasma.github.io/Logging_0480/kartor/A 9184-2024 karta.png", "A 9184-2024")</f>
        <v/>
      </c>
      <c r="V57">
        <f>HYPERLINK("https://klasma.github.io/Logging_0480/klagomål/A 9184-2024 FSC-klagomål.docx", "A 9184-2024")</f>
        <v/>
      </c>
      <c r="W57">
        <f>HYPERLINK("https://klasma.github.io/Logging_0480/klagomålsmail/A 9184-2024 FSC-klagomål mail.docx", "A 9184-2024")</f>
        <v/>
      </c>
      <c r="X57">
        <f>HYPERLINK("https://klasma.github.io/Logging_0480/tillsyn/A 9184-2024 tillsynsbegäran.docx", "A 9184-2024")</f>
        <v/>
      </c>
      <c r="Y57">
        <f>HYPERLINK("https://klasma.github.io/Logging_0480/tillsynsmail/A 9184-2024 tillsynsbegäran mail.docx", "A 9184-2024")</f>
        <v/>
      </c>
    </row>
    <row r="58" ht="15" customHeight="1">
      <c r="A58" t="inlineStr">
        <is>
          <t>A 39740-2022</t>
        </is>
      </c>
      <c r="B58" s="1" t="n">
        <v>44817</v>
      </c>
      <c r="C58" s="1" t="n">
        <v>45947</v>
      </c>
      <c r="D58" t="inlineStr">
        <is>
          <t>SÖDERMANLANDS LÄN</t>
        </is>
      </c>
      <c r="E58" t="inlineStr">
        <is>
          <t>NYKÖPING</t>
        </is>
      </c>
      <c r="F58" t="inlineStr">
        <is>
          <t>Kommuner</t>
        </is>
      </c>
      <c r="G58" t="n">
        <v>3.4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HYPERLINK("https://klasma.github.io/Logging_0480/artfynd/A 39740-2022 artfynd.xlsx", "A 39740-2022")</f>
        <v/>
      </c>
      <c r="T58">
        <f>HYPERLINK("https://klasma.github.io/Logging_0480/kartor/A 39740-2022 karta.png", "A 39740-2022")</f>
        <v/>
      </c>
      <c r="V58">
        <f>HYPERLINK("https://klasma.github.io/Logging_0480/klagomål/A 39740-2022 FSC-klagomål.docx", "A 39740-2022")</f>
        <v/>
      </c>
      <c r="W58">
        <f>HYPERLINK("https://klasma.github.io/Logging_0480/klagomålsmail/A 39740-2022 FSC-klagomål mail.docx", "A 39740-2022")</f>
        <v/>
      </c>
      <c r="X58">
        <f>HYPERLINK("https://klasma.github.io/Logging_0480/tillsyn/A 39740-2022 tillsynsbegäran.docx", "A 39740-2022")</f>
        <v/>
      </c>
      <c r="Y58">
        <f>HYPERLINK("https://klasma.github.io/Logging_0480/tillsynsmail/A 39740-2022 tillsynsbegäran mail.docx", "A 39740-2022")</f>
        <v/>
      </c>
    </row>
    <row r="59" ht="15" customHeight="1">
      <c r="A59" t="inlineStr">
        <is>
          <t>A 27488-2025</t>
        </is>
      </c>
      <c r="B59" s="1" t="n">
        <v>45813.39127314815</v>
      </c>
      <c r="C59" s="1" t="n">
        <v>45947</v>
      </c>
      <c r="D59" t="inlineStr">
        <is>
          <t>SÖDERMANLANDS LÄN</t>
        </is>
      </c>
      <c r="E59" t="inlineStr">
        <is>
          <t>NYKÖPING</t>
        </is>
      </c>
      <c r="F59" t="inlineStr">
        <is>
          <t>Sveaskog</t>
        </is>
      </c>
      <c r="G59" t="n">
        <v>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Svinrot</t>
        </is>
      </c>
      <c r="S59">
        <f>HYPERLINK("https://klasma.github.io/Logging_0480/artfynd/A 27488-2025 artfynd.xlsx", "A 27488-2025")</f>
        <v/>
      </c>
      <c r="T59">
        <f>HYPERLINK("https://klasma.github.io/Logging_0480/kartor/A 27488-2025 karta.png", "A 27488-2025")</f>
        <v/>
      </c>
      <c r="V59">
        <f>HYPERLINK("https://klasma.github.io/Logging_0480/klagomål/A 27488-2025 FSC-klagomål.docx", "A 27488-2025")</f>
        <v/>
      </c>
      <c r="W59">
        <f>HYPERLINK("https://klasma.github.io/Logging_0480/klagomålsmail/A 27488-2025 FSC-klagomål mail.docx", "A 27488-2025")</f>
        <v/>
      </c>
      <c r="X59">
        <f>HYPERLINK("https://klasma.github.io/Logging_0480/tillsyn/A 27488-2025 tillsynsbegäran.docx", "A 27488-2025")</f>
        <v/>
      </c>
      <c r="Y59">
        <f>HYPERLINK("https://klasma.github.io/Logging_0480/tillsynsmail/A 27488-2025 tillsynsbegäran mail.docx", "A 27488-2025")</f>
        <v/>
      </c>
    </row>
    <row r="60" ht="15" customHeight="1">
      <c r="A60" t="inlineStr">
        <is>
          <t>A 65231-2023</t>
        </is>
      </c>
      <c r="B60" s="1" t="n">
        <v>45289</v>
      </c>
      <c r="C60" s="1" t="n">
        <v>45947</v>
      </c>
      <c r="D60" t="inlineStr">
        <is>
          <t>SÖDERMANLANDS LÄN</t>
        </is>
      </c>
      <c r="E60" t="inlineStr">
        <is>
          <t>NYKÖPING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1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Brun glada</t>
        </is>
      </c>
      <c r="S60">
        <f>HYPERLINK("https://klasma.github.io/Logging_0480/artfynd/A 65231-2023 artfynd.xlsx", "A 65231-2023")</f>
        <v/>
      </c>
      <c r="T60">
        <f>HYPERLINK("https://klasma.github.io/Logging_0480/kartor/A 65231-2023 karta.png", "A 65231-2023")</f>
        <v/>
      </c>
      <c r="V60">
        <f>HYPERLINK("https://klasma.github.io/Logging_0480/klagomål/A 65231-2023 FSC-klagomål.docx", "A 65231-2023")</f>
        <v/>
      </c>
      <c r="W60">
        <f>HYPERLINK("https://klasma.github.io/Logging_0480/klagomålsmail/A 65231-2023 FSC-klagomål mail.docx", "A 65231-2023")</f>
        <v/>
      </c>
      <c r="X60">
        <f>HYPERLINK("https://klasma.github.io/Logging_0480/tillsyn/A 65231-2023 tillsynsbegäran.docx", "A 65231-2023")</f>
        <v/>
      </c>
      <c r="Y60">
        <f>HYPERLINK("https://klasma.github.io/Logging_0480/tillsynsmail/A 65231-2023 tillsynsbegäran mail.docx", "A 65231-2023")</f>
        <v/>
      </c>
      <c r="Z60">
        <f>HYPERLINK("https://klasma.github.io/Logging_0480/fåglar/A 65231-2023 prioriterade fågelarter.docx", "A 65231-2023")</f>
        <v/>
      </c>
    </row>
    <row r="61" ht="15" customHeight="1">
      <c r="A61" t="inlineStr">
        <is>
          <t>A 30943-2025</t>
        </is>
      </c>
      <c r="B61" s="1" t="n">
        <v>45832.40953703703</v>
      </c>
      <c r="C61" s="1" t="n">
        <v>45947</v>
      </c>
      <c r="D61" t="inlineStr">
        <is>
          <t>SÖDERMANLANDS LÄN</t>
        </is>
      </c>
      <c r="E61" t="inlineStr">
        <is>
          <t>NYKÖPING</t>
        </is>
      </c>
      <c r="G61" t="n">
        <v>32.5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HYPERLINK("https://klasma.github.io/Logging_0480/artfynd/A 30943-2025 artfynd.xlsx", "A 30943-2025")</f>
        <v/>
      </c>
      <c r="T61">
        <f>HYPERLINK("https://klasma.github.io/Logging_0480/kartor/A 30943-2025 karta.png", "A 30943-2025")</f>
        <v/>
      </c>
      <c r="V61">
        <f>HYPERLINK("https://klasma.github.io/Logging_0480/klagomål/A 30943-2025 FSC-klagomål.docx", "A 30943-2025")</f>
        <v/>
      </c>
      <c r="W61">
        <f>HYPERLINK("https://klasma.github.io/Logging_0480/klagomålsmail/A 30943-2025 FSC-klagomål mail.docx", "A 30943-2025")</f>
        <v/>
      </c>
      <c r="X61">
        <f>HYPERLINK("https://klasma.github.io/Logging_0480/tillsyn/A 30943-2025 tillsynsbegäran.docx", "A 30943-2025")</f>
        <v/>
      </c>
      <c r="Y61">
        <f>HYPERLINK("https://klasma.github.io/Logging_0480/tillsynsmail/A 30943-2025 tillsynsbegäran mail.docx", "A 30943-2025")</f>
        <v/>
      </c>
    </row>
    <row r="62" ht="15" customHeight="1">
      <c r="A62" t="inlineStr">
        <is>
          <t>A 35122-2023</t>
        </is>
      </c>
      <c r="B62" s="1" t="n">
        <v>45145</v>
      </c>
      <c r="C62" s="1" t="n">
        <v>45947</v>
      </c>
      <c r="D62" t="inlineStr">
        <is>
          <t>SÖDERMANLANDS LÄN</t>
        </is>
      </c>
      <c r="E62" t="inlineStr">
        <is>
          <t>NYKÖPING</t>
        </is>
      </c>
      <c r="G62" t="n">
        <v>3.2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HYPERLINK("https://klasma.github.io/Logging_0480/artfynd/A 35122-2023 artfynd.xlsx", "A 35122-2023")</f>
        <v/>
      </c>
      <c r="T62">
        <f>HYPERLINK("https://klasma.github.io/Logging_0480/kartor/A 35122-2023 karta.png", "A 35122-2023")</f>
        <v/>
      </c>
      <c r="V62">
        <f>HYPERLINK("https://klasma.github.io/Logging_0480/klagomål/A 35122-2023 FSC-klagomål.docx", "A 35122-2023")</f>
        <v/>
      </c>
      <c r="W62">
        <f>HYPERLINK("https://klasma.github.io/Logging_0480/klagomålsmail/A 35122-2023 FSC-klagomål mail.docx", "A 35122-2023")</f>
        <v/>
      </c>
      <c r="X62">
        <f>HYPERLINK("https://klasma.github.io/Logging_0480/tillsyn/A 35122-2023 tillsynsbegäran.docx", "A 35122-2023")</f>
        <v/>
      </c>
      <c r="Y62">
        <f>HYPERLINK("https://klasma.github.io/Logging_0480/tillsynsmail/A 35122-2023 tillsynsbegäran mail.docx", "A 35122-2023")</f>
        <v/>
      </c>
    </row>
    <row r="63" ht="15" customHeight="1">
      <c r="A63" t="inlineStr">
        <is>
          <t>A 16078-2023</t>
        </is>
      </c>
      <c r="B63" s="1" t="n">
        <v>45027</v>
      </c>
      <c r="C63" s="1" t="n">
        <v>45947</v>
      </c>
      <c r="D63" t="inlineStr">
        <is>
          <t>SÖDERMANLANDS LÄN</t>
        </is>
      </c>
      <c r="E63" t="inlineStr">
        <is>
          <t>NYKÖPING</t>
        </is>
      </c>
      <c r="G63" t="n">
        <v>0.9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Rödlånke</t>
        </is>
      </c>
      <c r="S63">
        <f>HYPERLINK("https://klasma.github.io/Logging_0480/artfynd/A 16078-2023 artfynd.xlsx", "A 16078-2023")</f>
        <v/>
      </c>
      <c r="T63">
        <f>HYPERLINK("https://klasma.github.io/Logging_0480/kartor/A 16078-2023 karta.png", "A 16078-2023")</f>
        <v/>
      </c>
      <c r="V63">
        <f>HYPERLINK("https://klasma.github.io/Logging_0480/klagomål/A 16078-2023 FSC-klagomål.docx", "A 16078-2023")</f>
        <v/>
      </c>
      <c r="W63">
        <f>HYPERLINK("https://klasma.github.io/Logging_0480/klagomålsmail/A 16078-2023 FSC-klagomål mail.docx", "A 16078-2023")</f>
        <v/>
      </c>
      <c r="X63">
        <f>HYPERLINK("https://klasma.github.io/Logging_0480/tillsyn/A 16078-2023 tillsynsbegäran.docx", "A 16078-2023")</f>
        <v/>
      </c>
      <c r="Y63">
        <f>HYPERLINK("https://klasma.github.io/Logging_0480/tillsynsmail/A 16078-2023 tillsynsbegäran mail.docx", "A 16078-2023")</f>
        <v/>
      </c>
    </row>
    <row r="64" ht="15" customHeight="1">
      <c r="A64" t="inlineStr">
        <is>
          <t>A 59214-2024</t>
        </is>
      </c>
      <c r="B64" s="1" t="n">
        <v>45636</v>
      </c>
      <c r="C64" s="1" t="n">
        <v>45947</v>
      </c>
      <c r="D64" t="inlineStr">
        <is>
          <t>SÖDERMANLANDS LÄN</t>
        </is>
      </c>
      <c r="E64" t="inlineStr">
        <is>
          <t>NYKÖPING</t>
        </is>
      </c>
      <c r="G64" t="n">
        <v>5.1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Blåmossa</t>
        </is>
      </c>
      <c r="S64">
        <f>HYPERLINK("https://klasma.github.io/Logging_0480/artfynd/A 59214-2024 artfynd.xlsx", "A 59214-2024")</f>
        <v/>
      </c>
      <c r="T64">
        <f>HYPERLINK("https://klasma.github.io/Logging_0480/kartor/A 59214-2024 karta.png", "A 59214-2024")</f>
        <v/>
      </c>
      <c r="V64">
        <f>HYPERLINK("https://klasma.github.io/Logging_0480/klagomål/A 59214-2024 FSC-klagomål.docx", "A 59214-2024")</f>
        <v/>
      </c>
      <c r="W64">
        <f>HYPERLINK("https://klasma.github.io/Logging_0480/klagomålsmail/A 59214-2024 FSC-klagomål mail.docx", "A 59214-2024")</f>
        <v/>
      </c>
      <c r="X64">
        <f>HYPERLINK("https://klasma.github.io/Logging_0480/tillsyn/A 59214-2024 tillsynsbegäran.docx", "A 59214-2024")</f>
        <v/>
      </c>
      <c r="Y64">
        <f>HYPERLINK("https://klasma.github.io/Logging_0480/tillsynsmail/A 59214-2024 tillsynsbegäran mail.docx", "A 59214-2024")</f>
        <v/>
      </c>
    </row>
    <row r="65" ht="15" customHeight="1">
      <c r="A65" t="inlineStr">
        <is>
          <t>A 36996-2022</t>
        </is>
      </c>
      <c r="B65" s="1" t="n">
        <v>44806</v>
      </c>
      <c r="C65" s="1" t="n">
        <v>45947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1.8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Vågbandad barkbock</t>
        </is>
      </c>
      <c r="S65">
        <f>HYPERLINK("https://klasma.github.io/Logging_0480/artfynd/A 36996-2022 artfynd.xlsx", "A 36996-2022")</f>
        <v/>
      </c>
      <c r="T65">
        <f>HYPERLINK("https://klasma.github.io/Logging_0480/kartor/A 36996-2022 karta.png", "A 36996-2022")</f>
        <v/>
      </c>
      <c r="V65">
        <f>HYPERLINK("https://klasma.github.io/Logging_0480/klagomål/A 36996-2022 FSC-klagomål.docx", "A 36996-2022")</f>
        <v/>
      </c>
      <c r="W65">
        <f>HYPERLINK("https://klasma.github.io/Logging_0480/klagomålsmail/A 36996-2022 FSC-klagomål mail.docx", "A 36996-2022")</f>
        <v/>
      </c>
      <c r="X65">
        <f>HYPERLINK("https://klasma.github.io/Logging_0480/tillsyn/A 36996-2022 tillsynsbegäran.docx", "A 36996-2022")</f>
        <v/>
      </c>
      <c r="Y65">
        <f>HYPERLINK("https://klasma.github.io/Logging_0480/tillsynsmail/A 36996-2022 tillsynsbegäran mail.docx", "A 36996-2022")</f>
        <v/>
      </c>
    </row>
    <row r="66" ht="15" customHeight="1">
      <c r="A66" t="inlineStr">
        <is>
          <t>A 40026-2025</t>
        </is>
      </c>
      <c r="B66" s="1" t="n">
        <v>45892</v>
      </c>
      <c r="C66" s="1" t="n">
        <v>45947</v>
      </c>
      <c r="D66" t="inlineStr">
        <is>
          <t>SÖDERMANLANDS LÄN</t>
        </is>
      </c>
      <c r="E66" t="inlineStr">
        <is>
          <t>NYKÖPING</t>
        </is>
      </c>
      <c r="F66" t="inlineStr">
        <is>
          <t>Allmännings- och besparingsskogar</t>
        </is>
      </c>
      <c r="G66" t="n">
        <v>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Sotlav</t>
        </is>
      </c>
      <c r="S66">
        <f>HYPERLINK("https://klasma.github.io/Logging_0480/artfynd/A 40026-2025 artfynd.xlsx", "A 40026-2025")</f>
        <v/>
      </c>
      <c r="T66">
        <f>HYPERLINK("https://klasma.github.io/Logging_0480/kartor/A 40026-2025 karta.png", "A 40026-2025")</f>
        <v/>
      </c>
      <c r="V66">
        <f>HYPERLINK("https://klasma.github.io/Logging_0480/klagomål/A 40026-2025 FSC-klagomål.docx", "A 40026-2025")</f>
        <v/>
      </c>
      <c r="W66">
        <f>HYPERLINK("https://klasma.github.io/Logging_0480/klagomålsmail/A 40026-2025 FSC-klagomål mail.docx", "A 40026-2025")</f>
        <v/>
      </c>
      <c r="X66">
        <f>HYPERLINK("https://klasma.github.io/Logging_0480/tillsyn/A 40026-2025 tillsynsbegäran.docx", "A 40026-2025")</f>
        <v/>
      </c>
      <c r="Y66">
        <f>HYPERLINK("https://klasma.github.io/Logging_0480/tillsynsmail/A 40026-2025 tillsynsbegäran mail.docx", "A 40026-2025")</f>
        <v/>
      </c>
    </row>
    <row r="67" ht="15" customHeight="1">
      <c r="A67" t="inlineStr">
        <is>
          <t>A 54498-2023</t>
        </is>
      </c>
      <c r="B67" s="1" t="n">
        <v>45226</v>
      </c>
      <c r="C67" s="1" t="n">
        <v>45947</v>
      </c>
      <c r="D67" t="inlineStr">
        <is>
          <t>SÖDERMANLANDS LÄN</t>
        </is>
      </c>
      <c r="E67" t="inlineStr">
        <is>
          <t>NYKÖPING</t>
        </is>
      </c>
      <c r="G67" t="n">
        <v>4.7</v>
      </c>
      <c r="H67" t="n">
        <v>1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Brun glada</t>
        </is>
      </c>
      <c r="S67">
        <f>HYPERLINK("https://klasma.github.io/Logging_0480/artfynd/A 54498-2023 artfynd.xlsx", "A 54498-2023")</f>
        <v/>
      </c>
      <c r="T67">
        <f>HYPERLINK("https://klasma.github.io/Logging_0480/kartor/A 54498-2023 karta.png", "A 54498-2023")</f>
        <v/>
      </c>
      <c r="V67">
        <f>HYPERLINK("https://klasma.github.io/Logging_0480/klagomål/A 54498-2023 FSC-klagomål.docx", "A 54498-2023")</f>
        <v/>
      </c>
      <c r="W67">
        <f>HYPERLINK("https://klasma.github.io/Logging_0480/klagomålsmail/A 54498-2023 FSC-klagomål mail.docx", "A 54498-2023")</f>
        <v/>
      </c>
      <c r="X67">
        <f>HYPERLINK("https://klasma.github.io/Logging_0480/tillsyn/A 54498-2023 tillsynsbegäran.docx", "A 54498-2023")</f>
        <v/>
      </c>
      <c r="Y67">
        <f>HYPERLINK("https://klasma.github.io/Logging_0480/tillsynsmail/A 54498-2023 tillsynsbegäran mail.docx", "A 54498-2023")</f>
        <v/>
      </c>
      <c r="Z67">
        <f>HYPERLINK("https://klasma.github.io/Logging_0480/fåglar/A 54498-2023 prioriterade fågelarter.docx", "A 54498-2023")</f>
        <v/>
      </c>
    </row>
    <row r="68" ht="15" customHeight="1">
      <c r="A68" t="inlineStr">
        <is>
          <t>A 65889-2021</t>
        </is>
      </c>
      <c r="B68" s="1" t="n">
        <v>44517</v>
      </c>
      <c r="C68" s="1" t="n">
        <v>45947</v>
      </c>
      <c r="D68" t="inlineStr">
        <is>
          <t>SÖDERMANLANDS LÄN</t>
        </is>
      </c>
      <c r="E68" t="inlineStr">
        <is>
          <t>NYKÖPING</t>
        </is>
      </c>
      <c r="G68" t="n">
        <v>4.8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Backstarr</t>
        </is>
      </c>
      <c r="S68">
        <f>HYPERLINK("https://klasma.github.io/Logging_0480/artfynd/A 65889-2021 artfynd.xlsx", "A 65889-2021")</f>
        <v/>
      </c>
      <c r="T68">
        <f>HYPERLINK("https://klasma.github.io/Logging_0480/kartor/A 65889-2021 karta.png", "A 65889-2021")</f>
        <v/>
      </c>
      <c r="V68">
        <f>HYPERLINK("https://klasma.github.io/Logging_0480/klagomål/A 65889-2021 FSC-klagomål.docx", "A 65889-2021")</f>
        <v/>
      </c>
      <c r="W68">
        <f>HYPERLINK("https://klasma.github.io/Logging_0480/klagomålsmail/A 65889-2021 FSC-klagomål mail.docx", "A 65889-2021")</f>
        <v/>
      </c>
      <c r="X68">
        <f>HYPERLINK("https://klasma.github.io/Logging_0480/tillsyn/A 65889-2021 tillsynsbegäran.docx", "A 65889-2021")</f>
        <v/>
      </c>
      <c r="Y68">
        <f>HYPERLINK("https://klasma.github.io/Logging_0480/tillsynsmail/A 65889-2021 tillsynsbegäran mail.docx", "A 65889-2021")</f>
        <v/>
      </c>
    </row>
    <row r="69" ht="15" customHeight="1">
      <c r="A69" t="inlineStr">
        <is>
          <t>A 47095-2021</t>
        </is>
      </c>
      <c r="B69" s="1" t="n">
        <v>44446</v>
      </c>
      <c r="C69" s="1" t="n">
        <v>45947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1.4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Kricka</t>
        </is>
      </c>
      <c r="S69">
        <f>HYPERLINK("https://klasma.github.io/Logging_0480/artfynd/A 47095-2021 artfynd.xlsx", "A 47095-2021")</f>
        <v/>
      </c>
      <c r="T69">
        <f>HYPERLINK("https://klasma.github.io/Logging_0480/kartor/A 47095-2021 karta.png", "A 47095-2021")</f>
        <v/>
      </c>
      <c r="V69">
        <f>HYPERLINK("https://klasma.github.io/Logging_0480/klagomål/A 47095-2021 FSC-klagomål.docx", "A 47095-2021")</f>
        <v/>
      </c>
      <c r="W69">
        <f>HYPERLINK("https://klasma.github.io/Logging_0480/klagomålsmail/A 47095-2021 FSC-klagomål mail.docx", "A 47095-2021")</f>
        <v/>
      </c>
      <c r="X69">
        <f>HYPERLINK("https://klasma.github.io/Logging_0480/tillsyn/A 47095-2021 tillsynsbegäran.docx", "A 47095-2021")</f>
        <v/>
      </c>
      <c r="Y69">
        <f>HYPERLINK("https://klasma.github.io/Logging_0480/tillsynsmail/A 47095-2021 tillsynsbegäran mail.docx", "A 47095-2021")</f>
        <v/>
      </c>
      <c r="Z69">
        <f>HYPERLINK("https://klasma.github.io/Logging_0480/fåglar/A 47095-2021 prioriterade fågelarter.docx", "A 47095-2021")</f>
        <v/>
      </c>
    </row>
    <row r="70" ht="15" customHeight="1">
      <c r="A70" t="inlineStr">
        <is>
          <t>A 49805-2025</t>
        </is>
      </c>
      <c r="B70" s="1" t="n">
        <v>45940.41657407407</v>
      </c>
      <c r="C70" s="1" t="n">
        <v>45947</v>
      </c>
      <c r="D70" t="inlineStr">
        <is>
          <t>SÖDERMANLANDS LÄN</t>
        </is>
      </c>
      <c r="E70" t="inlineStr">
        <is>
          <t>NYKÖPING</t>
        </is>
      </c>
      <c r="F70" t="inlineStr">
        <is>
          <t>Holmen skog AB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Renlosta</t>
        </is>
      </c>
      <c r="S70">
        <f>HYPERLINK("https://klasma.github.io/Logging_0480/artfynd/A 49805-2025 artfynd.xlsx", "A 49805-2025")</f>
        <v/>
      </c>
      <c r="T70">
        <f>HYPERLINK("https://klasma.github.io/Logging_0480/kartor/A 49805-2025 karta.png", "A 49805-2025")</f>
        <v/>
      </c>
      <c r="V70">
        <f>HYPERLINK("https://klasma.github.io/Logging_0480/klagomål/A 49805-2025 FSC-klagomål.docx", "A 49805-2025")</f>
        <v/>
      </c>
      <c r="W70">
        <f>HYPERLINK("https://klasma.github.io/Logging_0480/klagomålsmail/A 49805-2025 FSC-klagomål mail.docx", "A 49805-2025")</f>
        <v/>
      </c>
      <c r="X70">
        <f>HYPERLINK("https://klasma.github.io/Logging_0480/tillsyn/A 49805-2025 tillsynsbegäran.docx", "A 49805-2025")</f>
        <v/>
      </c>
      <c r="Y70">
        <f>HYPERLINK("https://klasma.github.io/Logging_0480/tillsynsmail/A 49805-2025 tillsynsbegäran mail.docx", "A 49805-2025")</f>
        <v/>
      </c>
    </row>
    <row r="71" ht="15" customHeight="1">
      <c r="A71" t="inlineStr">
        <is>
          <t>A 13724-2024</t>
        </is>
      </c>
      <c r="B71" s="1" t="n">
        <v>45390.67849537037</v>
      </c>
      <c r="C71" s="1" t="n">
        <v>45947</v>
      </c>
      <c r="D71" t="inlineStr">
        <is>
          <t>SÖDERMANLANDS LÄN</t>
        </is>
      </c>
      <c r="E71" t="inlineStr">
        <is>
          <t>NYKÖPING</t>
        </is>
      </c>
      <c r="G71" t="n">
        <v>0.9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Dropptaggsvamp</t>
        </is>
      </c>
      <c r="S71">
        <f>HYPERLINK("https://klasma.github.io/Logging_0480/artfynd/A 13724-2024 artfynd.xlsx", "A 13724-2024")</f>
        <v/>
      </c>
      <c r="T71">
        <f>HYPERLINK("https://klasma.github.io/Logging_0480/kartor/A 13724-2024 karta.png", "A 13724-2024")</f>
        <v/>
      </c>
      <c r="V71">
        <f>HYPERLINK("https://klasma.github.io/Logging_0480/klagomål/A 13724-2024 FSC-klagomål.docx", "A 13724-2024")</f>
        <v/>
      </c>
      <c r="W71">
        <f>HYPERLINK("https://klasma.github.io/Logging_0480/klagomålsmail/A 13724-2024 FSC-klagomål mail.docx", "A 13724-2024")</f>
        <v/>
      </c>
      <c r="X71">
        <f>HYPERLINK("https://klasma.github.io/Logging_0480/tillsyn/A 13724-2024 tillsynsbegäran.docx", "A 13724-2024")</f>
        <v/>
      </c>
      <c r="Y71">
        <f>HYPERLINK("https://klasma.github.io/Logging_0480/tillsynsmail/A 13724-2024 tillsynsbegäran mail.docx", "A 13724-2024")</f>
        <v/>
      </c>
    </row>
    <row r="72" ht="15" customHeight="1">
      <c r="A72" t="inlineStr">
        <is>
          <t>A 45122-2025</t>
        </is>
      </c>
      <c r="B72" s="1" t="n">
        <v>45919.42976851852</v>
      </c>
      <c r="C72" s="1" t="n">
        <v>45947</v>
      </c>
      <c r="D72" t="inlineStr">
        <is>
          <t>SÖDERMANLANDS LÄN</t>
        </is>
      </c>
      <c r="E72" t="inlineStr">
        <is>
          <t>NYKÖPING</t>
        </is>
      </c>
      <c r="G72" t="n">
        <v>6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HYPERLINK("https://klasma.github.io/Logging_0480/artfynd/A 45122-2025 artfynd.xlsx", "A 45122-2025")</f>
        <v/>
      </c>
      <c r="T72">
        <f>HYPERLINK("https://klasma.github.io/Logging_0480/kartor/A 45122-2025 karta.png", "A 45122-2025")</f>
        <v/>
      </c>
      <c r="V72">
        <f>HYPERLINK("https://klasma.github.io/Logging_0480/klagomål/A 45122-2025 FSC-klagomål.docx", "A 45122-2025")</f>
        <v/>
      </c>
      <c r="W72">
        <f>HYPERLINK("https://klasma.github.io/Logging_0480/klagomålsmail/A 45122-2025 FSC-klagomål mail.docx", "A 45122-2025")</f>
        <v/>
      </c>
      <c r="X72">
        <f>HYPERLINK("https://klasma.github.io/Logging_0480/tillsyn/A 45122-2025 tillsynsbegäran.docx", "A 45122-2025")</f>
        <v/>
      </c>
      <c r="Y72">
        <f>HYPERLINK("https://klasma.github.io/Logging_0480/tillsynsmail/A 45122-2025 tillsynsbegäran mail.docx", "A 45122-2025")</f>
        <v/>
      </c>
      <c r="Z72">
        <f>HYPERLINK("https://klasma.github.io/Logging_0480/fåglar/A 45122-2025 prioriterade fågelarter.docx", "A 45122-2025")</f>
        <v/>
      </c>
    </row>
    <row r="73" ht="15" customHeight="1">
      <c r="A73" t="inlineStr">
        <is>
          <t>A 50871-2025</t>
        </is>
      </c>
      <c r="B73" s="1" t="n">
        <v>45946.60702546296</v>
      </c>
      <c r="C73" s="1" t="n">
        <v>45947</v>
      </c>
      <c r="D73" t="inlineStr">
        <is>
          <t>SÖDERMANLANDS LÄN</t>
        </is>
      </c>
      <c r="E73" t="inlineStr">
        <is>
          <t>NYKÖPING</t>
        </is>
      </c>
      <c r="F73" t="inlineStr">
        <is>
          <t>Holmen skog AB</t>
        </is>
      </c>
      <c r="G73" t="n">
        <v>2.1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Nattskärra</t>
        </is>
      </c>
      <c r="S73">
        <f>HYPERLINK("https://klasma.github.io/Logging_0480/artfynd/A 50871-2025 artfynd.xlsx", "A 50871-2025")</f>
        <v/>
      </c>
      <c r="T73">
        <f>HYPERLINK("https://klasma.github.io/Logging_0480/kartor/A 50871-2025 karta.png", "A 50871-2025")</f>
        <v/>
      </c>
      <c r="V73">
        <f>HYPERLINK("https://klasma.github.io/Logging_0480/klagomål/A 50871-2025 FSC-klagomål.docx", "A 50871-2025")</f>
        <v/>
      </c>
      <c r="W73">
        <f>HYPERLINK("https://klasma.github.io/Logging_0480/klagomålsmail/A 50871-2025 FSC-klagomål mail.docx", "A 50871-2025")</f>
        <v/>
      </c>
      <c r="X73">
        <f>HYPERLINK("https://klasma.github.io/Logging_0480/tillsyn/A 50871-2025 tillsynsbegäran.docx", "A 50871-2025")</f>
        <v/>
      </c>
      <c r="Y73">
        <f>HYPERLINK("https://klasma.github.io/Logging_0480/tillsynsmail/A 50871-2025 tillsynsbegäran mail.docx", "A 50871-2025")</f>
        <v/>
      </c>
      <c r="Z73">
        <f>HYPERLINK("https://klasma.github.io/Logging_0480/fåglar/A 50871-2025 prioriterade fågelarter.docx", "A 50871-2025")</f>
        <v/>
      </c>
    </row>
    <row r="74" ht="15" customHeight="1">
      <c r="A74" t="inlineStr">
        <is>
          <t>A 21173-2024</t>
        </is>
      </c>
      <c r="B74" s="1" t="n">
        <v>45440</v>
      </c>
      <c r="C74" s="1" t="n">
        <v>45947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2.3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HYPERLINK("https://klasma.github.io/Logging_0480/artfynd/A 21173-2024 artfynd.xlsx", "A 21173-2024")</f>
        <v/>
      </c>
      <c r="T74">
        <f>HYPERLINK("https://klasma.github.io/Logging_0480/kartor/A 21173-2024 karta.png", "A 21173-2024")</f>
        <v/>
      </c>
      <c r="V74">
        <f>HYPERLINK("https://klasma.github.io/Logging_0480/klagomål/A 21173-2024 FSC-klagomål.docx", "A 21173-2024")</f>
        <v/>
      </c>
      <c r="W74">
        <f>HYPERLINK("https://klasma.github.io/Logging_0480/klagomålsmail/A 21173-2024 FSC-klagomål mail.docx", "A 21173-2024")</f>
        <v/>
      </c>
      <c r="X74">
        <f>HYPERLINK("https://klasma.github.io/Logging_0480/tillsyn/A 21173-2024 tillsynsbegäran.docx", "A 21173-2024")</f>
        <v/>
      </c>
      <c r="Y74">
        <f>HYPERLINK("https://klasma.github.io/Logging_0480/tillsynsmail/A 21173-2024 tillsynsbegäran mail.docx", "A 21173-2024")</f>
        <v/>
      </c>
    </row>
    <row r="75" ht="15" customHeight="1">
      <c r="A75" t="inlineStr">
        <is>
          <t>A 46042-2025</t>
        </is>
      </c>
      <c r="B75" s="1" t="n">
        <v>45924.45384259259</v>
      </c>
      <c r="C75" s="1" t="n">
        <v>45947</v>
      </c>
      <c r="D75" t="inlineStr">
        <is>
          <t>SÖDERMANLANDS LÄN</t>
        </is>
      </c>
      <c r="E75" t="inlineStr">
        <is>
          <t>NYKÖPING</t>
        </is>
      </c>
      <c r="G75" t="n">
        <v>5.3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HYPERLINK("https://klasma.github.io/Logging_0480/artfynd/A 46042-2025 artfynd.xlsx", "A 46042-2025")</f>
        <v/>
      </c>
      <c r="T75">
        <f>HYPERLINK("https://klasma.github.io/Logging_0480/kartor/A 46042-2025 karta.png", "A 46042-2025")</f>
        <v/>
      </c>
      <c r="V75">
        <f>HYPERLINK("https://klasma.github.io/Logging_0480/klagomål/A 46042-2025 FSC-klagomål.docx", "A 46042-2025")</f>
        <v/>
      </c>
      <c r="W75">
        <f>HYPERLINK("https://klasma.github.io/Logging_0480/klagomålsmail/A 46042-2025 FSC-klagomål mail.docx", "A 46042-2025")</f>
        <v/>
      </c>
      <c r="X75">
        <f>HYPERLINK("https://klasma.github.io/Logging_0480/tillsyn/A 46042-2025 tillsynsbegäran.docx", "A 46042-2025")</f>
        <v/>
      </c>
      <c r="Y75">
        <f>HYPERLINK("https://klasma.github.io/Logging_0480/tillsynsmail/A 46042-2025 tillsynsbegäran mail.docx", "A 46042-2025")</f>
        <v/>
      </c>
    </row>
    <row r="76" ht="15" customHeight="1">
      <c r="A76" t="inlineStr">
        <is>
          <t>A 20325-2023</t>
        </is>
      </c>
      <c r="B76" s="1" t="n">
        <v>45056</v>
      </c>
      <c r="C76" s="1" t="n">
        <v>45947</v>
      </c>
      <c r="D76" t="inlineStr">
        <is>
          <t>SÖDERMANLANDS LÄN</t>
        </is>
      </c>
      <c r="E76" t="inlineStr">
        <is>
          <t>NYKÖPING</t>
        </is>
      </c>
      <c r="G76" t="n">
        <v>0.2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Kamjordstjärna</t>
        </is>
      </c>
      <c r="S76">
        <f>HYPERLINK("https://klasma.github.io/Logging_0480/artfynd/A 20325-2023 artfynd.xlsx", "A 20325-2023")</f>
        <v/>
      </c>
      <c r="T76">
        <f>HYPERLINK("https://klasma.github.io/Logging_0480/kartor/A 20325-2023 karta.png", "A 20325-2023")</f>
        <v/>
      </c>
      <c r="V76">
        <f>HYPERLINK("https://klasma.github.io/Logging_0480/klagomål/A 20325-2023 FSC-klagomål.docx", "A 20325-2023")</f>
        <v/>
      </c>
      <c r="W76">
        <f>HYPERLINK("https://klasma.github.io/Logging_0480/klagomålsmail/A 20325-2023 FSC-klagomål mail.docx", "A 20325-2023")</f>
        <v/>
      </c>
      <c r="X76">
        <f>HYPERLINK("https://klasma.github.io/Logging_0480/tillsyn/A 20325-2023 tillsynsbegäran.docx", "A 20325-2023")</f>
        <v/>
      </c>
      <c r="Y76">
        <f>HYPERLINK("https://klasma.github.io/Logging_0480/tillsynsmail/A 20325-2023 tillsynsbegäran mail.docx", "A 20325-2023")</f>
        <v/>
      </c>
    </row>
    <row r="77" ht="15" customHeight="1">
      <c r="A77" t="inlineStr">
        <is>
          <t>A 59329-2023</t>
        </is>
      </c>
      <c r="B77" s="1" t="n">
        <v>45252</v>
      </c>
      <c r="C77" s="1" t="n">
        <v>45947</v>
      </c>
      <c r="D77" t="inlineStr">
        <is>
          <t>SÖDERMANLANDS LÄN</t>
        </is>
      </c>
      <c r="E77" t="inlineStr">
        <is>
          <t>NYKÖPING</t>
        </is>
      </c>
      <c r="G77" t="n">
        <v>22.1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HYPERLINK("https://klasma.github.io/Logging_0480/artfynd/A 59329-2023 artfynd.xlsx", "A 59329-2023")</f>
        <v/>
      </c>
      <c r="T77">
        <f>HYPERLINK("https://klasma.github.io/Logging_0480/kartor/A 59329-2023 karta.png", "A 59329-2023")</f>
        <v/>
      </c>
      <c r="V77">
        <f>HYPERLINK("https://klasma.github.io/Logging_0480/klagomål/A 59329-2023 FSC-klagomål.docx", "A 59329-2023")</f>
        <v/>
      </c>
      <c r="W77">
        <f>HYPERLINK("https://klasma.github.io/Logging_0480/klagomålsmail/A 59329-2023 FSC-klagomål mail.docx", "A 59329-2023")</f>
        <v/>
      </c>
      <c r="X77">
        <f>HYPERLINK("https://klasma.github.io/Logging_0480/tillsyn/A 59329-2023 tillsynsbegäran.docx", "A 59329-2023")</f>
        <v/>
      </c>
      <c r="Y77">
        <f>HYPERLINK("https://klasma.github.io/Logging_0480/tillsynsmail/A 59329-2023 tillsynsbegäran mail.docx", "A 59329-2023")</f>
        <v/>
      </c>
    </row>
    <row r="78" ht="15" customHeight="1">
      <c r="A78" t="inlineStr">
        <is>
          <t>A 28542-2023</t>
        </is>
      </c>
      <c r="B78" s="1" t="n">
        <v>45103</v>
      </c>
      <c r="C78" s="1" t="n">
        <v>45947</v>
      </c>
      <c r="D78" t="inlineStr">
        <is>
          <t>SÖDERMANLANDS LÄN</t>
        </is>
      </c>
      <c r="E78" t="inlineStr">
        <is>
          <t>NYKÖPING</t>
        </is>
      </c>
      <c r="G78" t="n">
        <v>2.8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HYPERLINK("https://klasma.github.io/Logging_0480/artfynd/A 28542-2023 artfynd.xlsx", "A 28542-2023")</f>
        <v/>
      </c>
      <c r="T78">
        <f>HYPERLINK("https://klasma.github.io/Logging_0480/kartor/A 28542-2023 karta.png", "A 28542-2023")</f>
        <v/>
      </c>
      <c r="U78">
        <f>HYPERLINK("https://klasma.github.io/Logging_0480/knärot/A 28542-2023 karta knärot.png", "A 28542-2023")</f>
        <v/>
      </c>
      <c r="V78">
        <f>HYPERLINK("https://klasma.github.io/Logging_0480/klagomål/A 28542-2023 FSC-klagomål.docx", "A 28542-2023")</f>
        <v/>
      </c>
      <c r="W78">
        <f>HYPERLINK("https://klasma.github.io/Logging_0480/klagomålsmail/A 28542-2023 FSC-klagomål mail.docx", "A 28542-2023")</f>
        <v/>
      </c>
      <c r="X78">
        <f>HYPERLINK("https://klasma.github.io/Logging_0480/tillsyn/A 28542-2023 tillsynsbegäran.docx", "A 28542-2023")</f>
        <v/>
      </c>
      <c r="Y78">
        <f>HYPERLINK("https://klasma.github.io/Logging_0480/tillsynsmail/A 28542-2023 tillsynsbegäran mail.docx", "A 28542-2023")</f>
        <v/>
      </c>
    </row>
    <row r="79" ht="15" customHeight="1">
      <c r="A79" t="inlineStr">
        <is>
          <t>A 51258-2024</t>
        </is>
      </c>
      <c r="B79" s="1" t="n">
        <v>45603.69032407407</v>
      </c>
      <c r="C79" s="1" t="n">
        <v>45947</v>
      </c>
      <c r="D79" t="inlineStr">
        <is>
          <t>SÖDERMANLANDS LÄN</t>
        </is>
      </c>
      <c r="E79" t="inlineStr">
        <is>
          <t>NYKÖPING</t>
        </is>
      </c>
      <c r="F79" t="inlineStr">
        <is>
          <t>Sveaskog</t>
        </is>
      </c>
      <c r="G79" t="n">
        <v>2.6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HYPERLINK("https://klasma.github.io/Logging_0480/artfynd/A 51258-2024 artfynd.xlsx", "A 51258-2024")</f>
        <v/>
      </c>
      <c r="T79">
        <f>HYPERLINK("https://klasma.github.io/Logging_0480/kartor/A 51258-2024 karta.png", "A 51258-2024")</f>
        <v/>
      </c>
      <c r="V79">
        <f>HYPERLINK("https://klasma.github.io/Logging_0480/klagomål/A 51258-2024 FSC-klagomål.docx", "A 51258-2024")</f>
        <v/>
      </c>
      <c r="W79">
        <f>HYPERLINK("https://klasma.github.io/Logging_0480/klagomålsmail/A 51258-2024 FSC-klagomål mail.docx", "A 51258-2024")</f>
        <v/>
      </c>
      <c r="X79">
        <f>HYPERLINK("https://klasma.github.io/Logging_0480/tillsyn/A 51258-2024 tillsynsbegäran.docx", "A 51258-2024")</f>
        <v/>
      </c>
      <c r="Y79">
        <f>HYPERLINK("https://klasma.github.io/Logging_0480/tillsynsmail/A 51258-2024 tillsynsbegäran mail.docx", "A 51258-2024")</f>
        <v/>
      </c>
    </row>
    <row r="80" ht="15" customHeight="1">
      <c r="A80" t="inlineStr">
        <is>
          <t>A 4725-2024</t>
        </is>
      </c>
      <c r="B80" s="1" t="n">
        <v>45328</v>
      </c>
      <c r="C80" s="1" t="n">
        <v>45947</v>
      </c>
      <c r="D80" t="inlineStr">
        <is>
          <t>SÖDERMANLANDS LÄN</t>
        </is>
      </c>
      <c r="E80" t="inlineStr">
        <is>
          <t>NYKÖPING</t>
        </is>
      </c>
      <c r="G80" t="n">
        <v>4.7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Plattsäv</t>
        </is>
      </c>
      <c r="S80">
        <f>HYPERLINK("https://klasma.github.io/Logging_0480/artfynd/A 4725-2024 artfynd.xlsx", "A 4725-2024")</f>
        <v/>
      </c>
      <c r="T80">
        <f>HYPERLINK("https://klasma.github.io/Logging_0480/kartor/A 4725-2024 karta.png", "A 4725-2024")</f>
        <v/>
      </c>
      <c r="V80">
        <f>HYPERLINK("https://klasma.github.io/Logging_0480/klagomål/A 4725-2024 FSC-klagomål.docx", "A 4725-2024")</f>
        <v/>
      </c>
      <c r="W80">
        <f>HYPERLINK("https://klasma.github.io/Logging_0480/klagomålsmail/A 4725-2024 FSC-klagomål mail.docx", "A 4725-2024")</f>
        <v/>
      </c>
      <c r="X80">
        <f>HYPERLINK("https://klasma.github.io/Logging_0480/tillsyn/A 4725-2024 tillsynsbegäran.docx", "A 4725-2024")</f>
        <v/>
      </c>
      <c r="Y80">
        <f>HYPERLINK("https://klasma.github.io/Logging_0480/tillsynsmail/A 4725-2024 tillsynsbegäran mail.docx", "A 4725-2024")</f>
        <v/>
      </c>
    </row>
    <row r="81" ht="15" customHeight="1">
      <c r="A81" t="inlineStr">
        <is>
          <t>A 57128-2020</t>
        </is>
      </c>
      <c r="B81" s="1" t="n">
        <v>44138</v>
      </c>
      <c r="C81" s="1" t="n">
        <v>45947</v>
      </c>
      <c r="D81" t="inlineStr">
        <is>
          <t>SÖDERMANLANDS LÄN</t>
        </is>
      </c>
      <c r="E81" t="inlineStr">
        <is>
          <t>NYKÖPING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60464-2020</t>
        </is>
      </c>
      <c r="B82" s="1" t="n">
        <v>44153</v>
      </c>
      <c r="C82" s="1" t="n">
        <v>45947</v>
      </c>
      <c r="D82" t="inlineStr">
        <is>
          <t>SÖDERMANLANDS LÄN</t>
        </is>
      </c>
      <c r="E82" t="inlineStr">
        <is>
          <t>NYKÖPING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15132-2021</t>
        </is>
      </c>
      <c r="B83" s="1" t="n">
        <v>44283.88116898148</v>
      </c>
      <c r="C83" s="1" t="n">
        <v>45947</v>
      </c>
      <c r="D83" t="inlineStr">
        <is>
          <t>SÖDERMANLANDS LÄN</t>
        </is>
      </c>
      <c r="E83" t="inlineStr">
        <is>
          <t>NYKÖPING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13759-2021</t>
        </is>
      </c>
      <c r="B84" s="1" t="n">
        <v>44274</v>
      </c>
      <c r="C84" s="1" t="n">
        <v>45947</v>
      </c>
      <c r="D84" t="inlineStr">
        <is>
          <t>SÖDERMANLANDS LÄN</t>
        </is>
      </c>
      <c r="E84" t="inlineStr">
        <is>
          <t>NYKÖPING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26984-2021</t>
        </is>
      </c>
      <c r="B85" s="1" t="n">
        <v>44349</v>
      </c>
      <c r="C85" s="1" t="n">
        <v>45947</v>
      </c>
      <c r="D85" t="inlineStr">
        <is>
          <t>SÖDERMANLANDS LÄN</t>
        </is>
      </c>
      <c r="E85" t="inlineStr">
        <is>
          <t>NYKÖPING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15545-2021</t>
        </is>
      </c>
      <c r="B86" s="1" t="n">
        <v>44285.57488425926</v>
      </c>
      <c r="C86" s="1" t="n">
        <v>45947</v>
      </c>
      <c r="D86" t="inlineStr">
        <is>
          <t>SÖDERMANLANDS LÄN</t>
        </is>
      </c>
      <c r="E86" t="inlineStr">
        <is>
          <t>NYKÖPING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3359-2021</t>
        </is>
      </c>
      <c r="B87" s="1" t="n">
        <v>44218</v>
      </c>
      <c r="C87" s="1" t="n">
        <v>45947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74404-2021</t>
        </is>
      </c>
      <c r="B88" s="1" t="n">
        <v>44560</v>
      </c>
      <c r="C88" s="1" t="n">
        <v>45947</v>
      </c>
      <c r="D88" t="inlineStr">
        <is>
          <t>SÖDERMANLANDS LÄN</t>
        </is>
      </c>
      <c r="E88" t="inlineStr">
        <is>
          <t>NYKÖPING</t>
        </is>
      </c>
      <c r="F88" t="inlineStr">
        <is>
          <t>Kyrkan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51569-2022</t>
        </is>
      </c>
      <c r="B89" s="1" t="n">
        <v>44870</v>
      </c>
      <c r="C89" s="1" t="n">
        <v>45947</v>
      </c>
      <c r="D89" t="inlineStr">
        <is>
          <t>SÖDERMANLANDS LÄN</t>
        </is>
      </c>
      <c r="E89" t="inlineStr">
        <is>
          <t>NYKÖPING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37908-2022</t>
        </is>
      </c>
      <c r="B90" s="1" t="n">
        <v>44811.41642361111</v>
      </c>
      <c r="C90" s="1" t="n">
        <v>45947</v>
      </c>
      <c r="D90" t="inlineStr">
        <is>
          <t>SÖDERMANLANDS LÄN</t>
        </is>
      </c>
      <c r="E90" t="inlineStr">
        <is>
          <t>NYKÖPING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7172-2021</t>
        </is>
      </c>
      <c r="B91" s="1" t="n">
        <v>44238</v>
      </c>
      <c r="C91" s="1" t="n">
        <v>45947</v>
      </c>
      <c r="D91" t="inlineStr">
        <is>
          <t>SÖDERMANLANDS LÄN</t>
        </is>
      </c>
      <c r="E91" t="inlineStr">
        <is>
          <t>NYKÖPING</t>
        </is>
      </c>
      <c r="F91" t="inlineStr">
        <is>
          <t>Holmen skog AB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12205-2021</t>
        </is>
      </c>
      <c r="B92" s="1" t="n">
        <v>44266</v>
      </c>
      <c r="C92" s="1" t="n">
        <v>45947</v>
      </c>
      <c r="D92" t="inlineStr">
        <is>
          <t>SÖDERMANLANDS LÄN</t>
        </is>
      </c>
      <c r="E92" t="inlineStr">
        <is>
          <t>NYKÖPING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14654-2021</t>
        </is>
      </c>
      <c r="B93" s="1" t="n">
        <v>44264</v>
      </c>
      <c r="C93" s="1" t="n">
        <v>45947</v>
      </c>
      <c r="D93" t="inlineStr">
        <is>
          <t>SÖDERMANLANDS LÄN</t>
        </is>
      </c>
      <c r="E93" t="inlineStr">
        <is>
          <t>NYKÖPING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10152-2021</t>
        </is>
      </c>
      <c r="B94" s="1" t="n">
        <v>44256</v>
      </c>
      <c r="C94" s="1" t="n">
        <v>45947</v>
      </c>
      <c r="D94" t="inlineStr">
        <is>
          <t>SÖDERMANLANDS LÄN</t>
        </is>
      </c>
      <c r="E94" t="inlineStr">
        <is>
          <t>NYKÖPING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63017-2021</t>
        </is>
      </c>
      <c r="B95" s="1" t="n">
        <v>44505</v>
      </c>
      <c r="C95" s="1" t="n">
        <v>45947</v>
      </c>
      <c r="D95" t="inlineStr">
        <is>
          <t>SÖDERMANLANDS LÄN</t>
        </is>
      </c>
      <c r="E95" t="inlineStr">
        <is>
          <t>NYKÖPING</t>
        </is>
      </c>
      <c r="G95" t="n">
        <v>21.9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11582-2021</t>
        </is>
      </c>
      <c r="B96" s="1" t="n">
        <v>44264</v>
      </c>
      <c r="C96" s="1" t="n">
        <v>45947</v>
      </c>
      <c r="D96" t="inlineStr">
        <is>
          <t>SÖDERMANLANDS LÄN</t>
        </is>
      </c>
      <c r="E96" t="inlineStr">
        <is>
          <t>NYKÖPING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14828-2022</t>
        </is>
      </c>
      <c r="B97" s="1" t="n">
        <v>44656</v>
      </c>
      <c r="C97" s="1" t="n">
        <v>45947</v>
      </c>
      <c r="D97" t="inlineStr">
        <is>
          <t>SÖDERMANLANDS LÄN</t>
        </is>
      </c>
      <c r="E97" t="inlineStr">
        <is>
          <t>NYKÖPING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66852-2021</t>
        </is>
      </c>
      <c r="B98" s="1" t="n">
        <v>44522</v>
      </c>
      <c r="C98" s="1" t="n">
        <v>45947</v>
      </c>
      <c r="D98" t="inlineStr">
        <is>
          <t>SÖDERMANLANDS LÄN</t>
        </is>
      </c>
      <c r="E98" t="inlineStr">
        <is>
          <t>NYKÖPING</t>
        </is>
      </c>
      <c r="F98" t="inlineStr">
        <is>
          <t>Holmen skog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12960-2021</t>
        </is>
      </c>
      <c r="B99" s="1" t="n">
        <v>44271</v>
      </c>
      <c r="C99" s="1" t="n">
        <v>45947</v>
      </c>
      <c r="D99" t="inlineStr">
        <is>
          <t>SÖDERMANLANDS LÄN</t>
        </is>
      </c>
      <c r="E99" t="inlineStr">
        <is>
          <t>NYKÖPING</t>
        </is>
      </c>
      <c r="G99" t="n">
        <v>12.6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59776-2021</t>
        </is>
      </c>
      <c r="B100" s="1" t="n">
        <v>44494</v>
      </c>
      <c r="C100" s="1" t="n">
        <v>45947</v>
      </c>
      <c r="D100" t="inlineStr">
        <is>
          <t>SÖDERMANLANDS LÄN</t>
        </is>
      </c>
      <c r="E100" t="inlineStr">
        <is>
          <t>NYKÖPING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12332-2021</t>
        </is>
      </c>
      <c r="B101" s="1" t="n">
        <v>44267</v>
      </c>
      <c r="C101" s="1" t="n">
        <v>45947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2863-2021</t>
        </is>
      </c>
      <c r="B102" s="1" t="n">
        <v>44216</v>
      </c>
      <c r="C102" s="1" t="n">
        <v>45947</v>
      </c>
      <c r="D102" t="inlineStr">
        <is>
          <t>SÖDERMANLANDS LÄN</t>
        </is>
      </c>
      <c r="E102" t="inlineStr">
        <is>
          <t>NYKÖPING</t>
        </is>
      </c>
      <c r="F102" t="inlineStr">
        <is>
          <t>Holmen skog AB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64162-2021</t>
        </is>
      </c>
      <c r="B103" s="1" t="n">
        <v>44510</v>
      </c>
      <c r="C103" s="1" t="n">
        <v>45947</v>
      </c>
      <c r="D103" t="inlineStr">
        <is>
          <t>SÖDERMANLANDS LÄN</t>
        </is>
      </c>
      <c r="E103" t="inlineStr">
        <is>
          <t>NYKÖPING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53201-2021</t>
        </is>
      </c>
      <c r="B104" s="1" t="n">
        <v>44466</v>
      </c>
      <c r="C104" s="1" t="n">
        <v>45947</v>
      </c>
      <c r="D104" t="inlineStr">
        <is>
          <t>SÖDERMANLANDS LÄN</t>
        </is>
      </c>
      <c r="E104" t="inlineStr">
        <is>
          <t>NYKÖPING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21374-2022</t>
        </is>
      </c>
      <c r="B105" s="1" t="n">
        <v>44705.71707175926</v>
      </c>
      <c r="C105" s="1" t="n">
        <v>45947</v>
      </c>
      <c r="D105" t="inlineStr">
        <is>
          <t>SÖDERMANLANDS LÄN</t>
        </is>
      </c>
      <c r="E105" t="inlineStr">
        <is>
          <t>NYKÖPING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31538-2022</t>
        </is>
      </c>
      <c r="B106" s="1" t="n">
        <v>44775</v>
      </c>
      <c r="C106" s="1" t="n">
        <v>45947</v>
      </c>
      <c r="D106" t="inlineStr">
        <is>
          <t>SÖDERMANLANDS LÄN</t>
        </is>
      </c>
      <c r="E106" t="inlineStr">
        <is>
          <t>NYKÖPING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40025-2021</t>
        </is>
      </c>
      <c r="B107" s="1" t="n">
        <v>44418</v>
      </c>
      <c r="C107" s="1" t="n">
        <v>45947</v>
      </c>
      <c r="D107" t="inlineStr">
        <is>
          <t>SÖDERMANLANDS LÄN</t>
        </is>
      </c>
      <c r="E107" t="inlineStr">
        <is>
          <t>NYKÖPING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13542-2022</t>
        </is>
      </c>
      <c r="B108" s="1" t="n">
        <v>44648</v>
      </c>
      <c r="C108" s="1" t="n">
        <v>45947</v>
      </c>
      <c r="D108" t="inlineStr">
        <is>
          <t>SÖDERMANLANDS LÄN</t>
        </is>
      </c>
      <c r="E108" t="inlineStr">
        <is>
          <t>NYKÖPING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30865-2022</t>
        </is>
      </c>
      <c r="B109" s="1" t="n">
        <v>44767</v>
      </c>
      <c r="C109" s="1" t="n">
        <v>45947</v>
      </c>
      <c r="D109" t="inlineStr">
        <is>
          <t>SÖDERMANLANDS LÄN</t>
        </is>
      </c>
      <c r="E109" t="inlineStr">
        <is>
          <t>NYKÖPING</t>
        </is>
      </c>
      <c r="F109" t="inlineStr">
        <is>
          <t>Holmen skog AB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62786-2021</t>
        </is>
      </c>
      <c r="B110" s="1" t="n">
        <v>44504</v>
      </c>
      <c r="C110" s="1" t="n">
        <v>45947</v>
      </c>
      <c r="D110" t="inlineStr">
        <is>
          <t>SÖDERMANLANDS LÄN</t>
        </is>
      </c>
      <c r="E110" t="inlineStr">
        <is>
          <t>NYKÖPING</t>
        </is>
      </c>
      <c r="G110" t="n">
        <v>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31398-2022</t>
        </is>
      </c>
      <c r="B111" s="1" t="n">
        <v>44774</v>
      </c>
      <c r="C111" s="1" t="n">
        <v>45947</v>
      </c>
      <c r="D111" t="inlineStr">
        <is>
          <t>SÖDERMANLANDS LÄN</t>
        </is>
      </c>
      <c r="E111" t="inlineStr">
        <is>
          <t>NYKÖPING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25714-2022</t>
        </is>
      </c>
      <c r="B112" s="1" t="n">
        <v>44733.39394675926</v>
      </c>
      <c r="C112" s="1" t="n">
        <v>45947</v>
      </c>
      <c r="D112" t="inlineStr">
        <is>
          <t>SÖDERMANLANDS LÄN</t>
        </is>
      </c>
      <c r="E112" t="inlineStr">
        <is>
          <t>NYKÖPING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29499-2022</t>
        </is>
      </c>
      <c r="B113" s="1" t="n">
        <v>44753</v>
      </c>
      <c r="C113" s="1" t="n">
        <v>45947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Kyrkan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52084-2022</t>
        </is>
      </c>
      <c r="B114" s="1" t="n">
        <v>44873.38078703704</v>
      </c>
      <c r="C114" s="1" t="n">
        <v>45947</v>
      </c>
      <c r="D114" t="inlineStr">
        <is>
          <t>SÖDERMANLANDS LÄN</t>
        </is>
      </c>
      <c r="E114" t="inlineStr">
        <is>
          <t>NYKÖPING</t>
        </is>
      </c>
      <c r="G114" t="n">
        <v>14.6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15520-2021</t>
        </is>
      </c>
      <c r="B115" s="1" t="n">
        <v>44285</v>
      </c>
      <c r="C115" s="1" t="n">
        <v>45947</v>
      </c>
      <c r="D115" t="inlineStr">
        <is>
          <t>SÖDERMANLANDS LÄN</t>
        </is>
      </c>
      <c r="E115" t="inlineStr">
        <is>
          <t>NYKÖPING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14350-2022</t>
        </is>
      </c>
      <c r="B116" s="1" t="n">
        <v>44652.44121527778</v>
      </c>
      <c r="C116" s="1" t="n">
        <v>45947</v>
      </c>
      <c r="D116" t="inlineStr">
        <is>
          <t>SÖDERMANLANDS LÄN</t>
        </is>
      </c>
      <c r="E116" t="inlineStr">
        <is>
          <t>NYKÖPING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1539-2021</t>
        </is>
      </c>
      <c r="B117" s="1" t="n">
        <v>44209</v>
      </c>
      <c r="C117" s="1" t="n">
        <v>45947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3068-2021</t>
        </is>
      </c>
      <c r="B118" s="1" t="n">
        <v>44216</v>
      </c>
      <c r="C118" s="1" t="n">
        <v>45947</v>
      </c>
      <c r="D118" t="inlineStr">
        <is>
          <t>SÖDERMANLANDS LÄN</t>
        </is>
      </c>
      <c r="E118" t="inlineStr">
        <is>
          <t>NYKÖPING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15404-2022</t>
        </is>
      </c>
      <c r="B119" s="1" t="n">
        <v>44659</v>
      </c>
      <c r="C119" s="1" t="n">
        <v>45947</v>
      </c>
      <c r="D119" t="inlineStr">
        <is>
          <t>SÖDERMANLANDS LÄN</t>
        </is>
      </c>
      <c r="E119" t="inlineStr">
        <is>
          <t>NYKÖPING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67817-2021</t>
        </is>
      </c>
      <c r="B120" s="1" t="n">
        <v>44525</v>
      </c>
      <c r="C120" s="1" t="n">
        <v>45947</v>
      </c>
      <c r="D120" t="inlineStr">
        <is>
          <t>SÖDERMANLANDS LÄN</t>
        </is>
      </c>
      <c r="E120" t="inlineStr">
        <is>
          <t>NYKÖPING</t>
        </is>
      </c>
      <c r="F120" t="inlineStr">
        <is>
          <t>Sveaskog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41715-2021</t>
        </is>
      </c>
      <c r="B121" s="1" t="n">
        <v>44425</v>
      </c>
      <c r="C121" s="1" t="n">
        <v>45947</v>
      </c>
      <c r="D121" t="inlineStr">
        <is>
          <t>SÖDERMANLANDS LÄN</t>
        </is>
      </c>
      <c r="E121" t="inlineStr">
        <is>
          <t>NYKÖPING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38166-2022</t>
        </is>
      </c>
      <c r="B122" s="1" t="n">
        <v>44812</v>
      </c>
      <c r="C122" s="1" t="n">
        <v>45947</v>
      </c>
      <c r="D122" t="inlineStr">
        <is>
          <t>SÖDERMANLANDS LÄN</t>
        </is>
      </c>
      <c r="E122" t="inlineStr">
        <is>
          <t>NYKÖPING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30570-2021</t>
        </is>
      </c>
      <c r="B123" s="1" t="n">
        <v>44364</v>
      </c>
      <c r="C123" s="1" t="n">
        <v>45947</v>
      </c>
      <c r="D123" t="inlineStr">
        <is>
          <t>SÖDERMANLANDS LÄN</t>
        </is>
      </c>
      <c r="E123" t="inlineStr">
        <is>
          <t>NYKÖPING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13559-2022</t>
        </is>
      </c>
      <c r="B124" s="1" t="n">
        <v>44648</v>
      </c>
      <c r="C124" s="1" t="n">
        <v>45947</v>
      </c>
      <c r="D124" t="inlineStr">
        <is>
          <t>SÖDERMANLANDS LÄN</t>
        </is>
      </c>
      <c r="E124" t="inlineStr">
        <is>
          <t>NYKÖPING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2973-2022</t>
        </is>
      </c>
      <c r="B125" s="1" t="n">
        <v>44581</v>
      </c>
      <c r="C125" s="1" t="n">
        <v>45947</v>
      </c>
      <c r="D125" t="inlineStr">
        <is>
          <t>SÖDERMANLANDS LÄN</t>
        </is>
      </c>
      <c r="E125" t="inlineStr">
        <is>
          <t>NYKÖPING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25493-2022</t>
        </is>
      </c>
      <c r="B126" s="1" t="n">
        <v>44732</v>
      </c>
      <c r="C126" s="1" t="n">
        <v>45947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Övriga Aktiebolag</t>
        </is>
      </c>
      <c r="G126" t="n">
        <v>8.300000000000001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33875-2022</t>
        </is>
      </c>
      <c r="B127" s="1" t="n">
        <v>44790</v>
      </c>
      <c r="C127" s="1" t="n">
        <v>45947</v>
      </c>
      <c r="D127" t="inlineStr">
        <is>
          <t>SÖDERMANLANDS LÄN</t>
        </is>
      </c>
      <c r="E127" t="inlineStr">
        <is>
          <t>NYKÖPING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39538-2021</t>
        </is>
      </c>
      <c r="B128" s="1" t="n">
        <v>44416</v>
      </c>
      <c r="C128" s="1" t="n">
        <v>45947</v>
      </c>
      <c r="D128" t="inlineStr">
        <is>
          <t>SÖDERMANLANDS LÄN</t>
        </is>
      </c>
      <c r="E128" t="inlineStr">
        <is>
          <t>NYKÖPING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52090-2022</t>
        </is>
      </c>
      <c r="B129" s="1" t="n">
        <v>44873.38539351852</v>
      </c>
      <c r="C129" s="1" t="n">
        <v>45947</v>
      </c>
      <c r="D129" t="inlineStr">
        <is>
          <t>SÖDERMANLANDS LÄN</t>
        </is>
      </c>
      <c r="E129" t="inlineStr">
        <is>
          <t>NYKÖPING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10357-2022</t>
        </is>
      </c>
      <c r="B130" s="1" t="n">
        <v>44623</v>
      </c>
      <c r="C130" s="1" t="n">
        <v>45947</v>
      </c>
      <c r="D130" t="inlineStr">
        <is>
          <t>SÖDERMANLANDS LÄN</t>
        </is>
      </c>
      <c r="E130" t="inlineStr">
        <is>
          <t>NYKÖPING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21364-2022</t>
        </is>
      </c>
      <c r="B131" s="1" t="n">
        <v>44705.69604166667</v>
      </c>
      <c r="C131" s="1" t="n">
        <v>45947</v>
      </c>
      <c r="D131" t="inlineStr">
        <is>
          <t>SÖDERMANLANDS LÄN</t>
        </is>
      </c>
      <c r="E131" t="inlineStr">
        <is>
          <t>NYKÖPING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42990-2021</t>
        </is>
      </c>
      <c r="B132" s="1" t="n">
        <v>44431</v>
      </c>
      <c r="C132" s="1" t="n">
        <v>45947</v>
      </c>
      <c r="D132" t="inlineStr">
        <is>
          <t>SÖDERMANLANDS LÄN</t>
        </is>
      </c>
      <c r="E132" t="inlineStr">
        <is>
          <t>NYKÖPING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2866-2021</t>
        </is>
      </c>
      <c r="B133" s="1" t="n">
        <v>44216</v>
      </c>
      <c r="C133" s="1" t="n">
        <v>45947</v>
      </c>
      <c r="D133" t="inlineStr">
        <is>
          <t>SÖDERMANLANDS LÄN</t>
        </is>
      </c>
      <c r="E133" t="inlineStr">
        <is>
          <t>NYKÖPING</t>
        </is>
      </c>
      <c r="F133" t="inlineStr">
        <is>
          <t>Holmen skog AB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18824-2022</t>
        </is>
      </c>
      <c r="B134" s="1" t="n">
        <v>44690</v>
      </c>
      <c r="C134" s="1" t="n">
        <v>45947</v>
      </c>
      <c r="D134" t="inlineStr">
        <is>
          <t>SÖDERMANLANDS LÄN</t>
        </is>
      </c>
      <c r="E134" t="inlineStr">
        <is>
          <t>NYKÖPING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229-2021</t>
        </is>
      </c>
      <c r="B135" s="1" t="n">
        <v>44200</v>
      </c>
      <c r="C135" s="1" t="n">
        <v>45947</v>
      </c>
      <c r="D135" t="inlineStr">
        <is>
          <t>SÖDERMANLANDS LÄN</t>
        </is>
      </c>
      <c r="E135" t="inlineStr">
        <is>
          <t>NYKÖPING</t>
        </is>
      </c>
      <c r="F135" t="inlineStr">
        <is>
          <t>Holmen skog AB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41748-2021</t>
        </is>
      </c>
      <c r="B136" s="1" t="n">
        <v>44425</v>
      </c>
      <c r="C136" s="1" t="n">
        <v>45947</v>
      </c>
      <c r="D136" t="inlineStr">
        <is>
          <t>SÖDERMANLANDS LÄN</t>
        </is>
      </c>
      <c r="E136" t="inlineStr">
        <is>
          <t>NYKÖPING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41721-2021</t>
        </is>
      </c>
      <c r="B137" s="1" t="n">
        <v>44425</v>
      </c>
      <c r="C137" s="1" t="n">
        <v>45947</v>
      </c>
      <c r="D137" t="inlineStr">
        <is>
          <t>SÖDERMANLANDS LÄN</t>
        </is>
      </c>
      <c r="E137" t="inlineStr">
        <is>
          <t>NYKÖPING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42920-2021</t>
        </is>
      </c>
      <c r="B138" s="1" t="n">
        <v>44430</v>
      </c>
      <c r="C138" s="1" t="n">
        <v>45947</v>
      </c>
      <c r="D138" t="inlineStr">
        <is>
          <t>SÖDERMANLANDS LÄN</t>
        </is>
      </c>
      <c r="E138" t="inlineStr">
        <is>
          <t>NYKÖPING</t>
        </is>
      </c>
      <c r="G138" t="n">
        <v>9.199999999999999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37223-2021</t>
        </is>
      </c>
      <c r="B139" s="1" t="n">
        <v>44396</v>
      </c>
      <c r="C139" s="1" t="n">
        <v>45947</v>
      </c>
      <c r="D139" t="inlineStr">
        <is>
          <t>SÖDERMANLANDS LÄN</t>
        </is>
      </c>
      <c r="E139" t="inlineStr">
        <is>
          <t>NYKÖPING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42245-2022</t>
        </is>
      </c>
      <c r="B140" s="1" t="n">
        <v>44830.91241898148</v>
      </c>
      <c r="C140" s="1" t="n">
        <v>45947</v>
      </c>
      <c r="D140" t="inlineStr">
        <is>
          <t>SÖDERMANLANDS LÄN</t>
        </is>
      </c>
      <c r="E140" t="inlineStr">
        <is>
          <t>NYKÖPING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64157-2021</t>
        </is>
      </c>
      <c r="B141" s="1" t="n">
        <v>44510</v>
      </c>
      <c r="C141" s="1" t="n">
        <v>45947</v>
      </c>
      <c r="D141" t="inlineStr">
        <is>
          <t>SÖDERMANLANDS LÄN</t>
        </is>
      </c>
      <c r="E141" t="inlineStr">
        <is>
          <t>NYKÖPING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10848-2021</t>
        </is>
      </c>
      <c r="B142" s="1" t="n">
        <v>44259</v>
      </c>
      <c r="C142" s="1" t="n">
        <v>45947</v>
      </c>
      <c r="D142" t="inlineStr">
        <is>
          <t>SÖDERMANLANDS LÄN</t>
        </is>
      </c>
      <c r="E142" t="inlineStr">
        <is>
          <t>NYKÖPING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36622-2022</t>
        </is>
      </c>
      <c r="B143" s="1" t="n">
        <v>44804.68011574074</v>
      </c>
      <c r="C143" s="1" t="n">
        <v>45947</v>
      </c>
      <c r="D143" t="inlineStr">
        <is>
          <t>SÖDERMANLANDS LÄN</t>
        </is>
      </c>
      <c r="E143" t="inlineStr">
        <is>
          <t>NYKÖPING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59856-2020</t>
        </is>
      </c>
      <c r="B144" s="1" t="n">
        <v>44151</v>
      </c>
      <c r="C144" s="1" t="n">
        <v>45947</v>
      </c>
      <c r="D144" t="inlineStr">
        <is>
          <t>SÖDERMANLANDS LÄN</t>
        </is>
      </c>
      <c r="E144" t="inlineStr">
        <is>
          <t>NYKÖPING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8783-2022</t>
        </is>
      </c>
      <c r="B145" s="1" t="n">
        <v>44614</v>
      </c>
      <c r="C145" s="1" t="n">
        <v>45947</v>
      </c>
      <c r="D145" t="inlineStr">
        <is>
          <t>SÖDERMANLANDS LÄN</t>
        </is>
      </c>
      <c r="E145" t="inlineStr">
        <is>
          <t>NYKÖPING</t>
        </is>
      </c>
      <c r="G145" t="n">
        <v>4.9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15391-2022</t>
        </is>
      </c>
      <c r="B146" s="1" t="n">
        <v>44659</v>
      </c>
      <c r="C146" s="1" t="n">
        <v>45947</v>
      </c>
      <c r="D146" t="inlineStr">
        <is>
          <t>SÖDERMANLANDS LÄN</t>
        </is>
      </c>
      <c r="E146" t="inlineStr">
        <is>
          <t>NYKÖPING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8532-2022</t>
        </is>
      </c>
      <c r="B147" s="1" t="n">
        <v>44613</v>
      </c>
      <c r="C147" s="1" t="n">
        <v>45947</v>
      </c>
      <c r="D147" t="inlineStr">
        <is>
          <t>SÖDERMANLANDS LÄN</t>
        </is>
      </c>
      <c r="E147" t="inlineStr">
        <is>
          <t>NYKÖPING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69255-2021</t>
        </is>
      </c>
      <c r="B148" s="1" t="n">
        <v>44530</v>
      </c>
      <c r="C148" s="1" t="n">
        <v>45947</v>
      </c>
      <c r="D148" t="inlineStr">
        <is>
          <t>SÖDERMANLANDS LÄN</t>
        </is>
      </c>
      <c r="E148" t="inlineStr">
        <is>
          <t>NYKÖPING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7434-2021</t>
        </is>
      </c>
      <c r="B149" s="1" t="n">
        <v>44239</v>
      </c>
      <c r="C149" s="1" t="n">
        <v>45947</v>
      </c>
      <c r="D149" t="inlineStr">
        <is>
          <t>SÖDERMANLANDS LÄN</t>
        </is>
      </c>
      <c r="E149" t="inlineStr">
        <is>
          <t>NYKÖPING</t>
        </is>
      </c>
      <c r="F149" t="inlineStr">
        <is>
          <t>Holmen skog AB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10550-2021</t>
        </is>
      </c>
      <c r="B150" s="1" t="n">
        <v>44258</v>
      </c>
      <c r="C150" s="1" t="n">
        <v>45947</v>
      </c>
      <c r="D150" t="inlineStr">
        <is>
          <t>SÖDERMANLANDS LÄN</t>
        </is>
      </c>
      <c r="E150" t="inlineStr">
        <is>
          <t>NYKÖPING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11151-2021</t>
        </is>
      </c>
      <c r="B151" s="1" t="n">
        <v>44261</v>
      </c>
      <c r="C151" s="1" t="n">
        <v>45947</v>
      </c>
      <c r="D151" t="inlineStr">
        <is>
          <t>SÖDERMANLANDS LÄN</t>
        </is>
      </c>
      <c r="E151" t="inlineStr">
        <is>
          <t>NYKÖPING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7022-2021</t>
        </is>
      </c>
      <c r="B152" s="1" t="n">
        <v>44237</v>
      </c>
      <c r="C152" s="1" t="n">
        <v>45947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Holmen skog AB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7000-2021</t>
        </is>
      </c>
      <c r="B153" s="1" t="n">
        <v>44237</v>
      </c>
      <c r="C153" s="1" t="n">
        <v>45947</v>
      </c>
      <c r="D153" t="inlineStr">
        <is>
          <t>SÖDERMANLANDS LÄN</t>
        </is>
      </c>
      <c r="E153" t="inlineStr">
        <is>
          <t>NYKÖPING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13120-2021</t>
        </is>
      </c>
      <c r="B154" s="1" t="n">
        <v>44272</v>
      </c>
      <c r="C154" s="1" t="n">
        <v>45947</v>
      </c>
      <c r="D154" t="inlineStr">
        <is>
          <t>SÖDERMANLANDS LÄN</t>
        </is>
      </c>
      <c r="E154" t="inlineStr">
        <is>
          <t>NYKÖPING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59592-2021</t>
        </is>
      </c>
      <c r="B155" s="1" t="n">
        <v>44491</v>
      </c>
      <c r="C155" s="1" t="n">
        <v>45947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Kyrkan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16957-2022</t>
        </is>
      </c>
      <c r="B156" s="1" t="n">
        <v>44676.50108796296</v>
      </c>
      <c r="C156" s="1" t="n">
        <v>45947</v>
      </c>
      <c r="D156" t="inlineStr">
        <is>
          <t>SÖDERMANLANDS LÄN</t>
        </is>
      </c>
      <c r="E156" t="inlineStr">
        <is>
          <t>NYKÖPING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38368-2022</t>
        </is>
      </c>
      <c r="B157" s="1" t="n">
        <v>44812</v>
      </c>
      <c r="C157" s="1" t="n">
        <v>45947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62076-2021</t>
        </is>
      </c>
      <c r="B158" s="1" t="n">
        <v>44502</v>
      </c>
      <c r="C158" s="1" t="n">
        <v>45947</v>
      </c>
      <c r="D158" t="inlineStr">
        <is>
          <t>SÖDERMANLANDS LÄN</t>
        </is>
      </c>
      <c r="E158" t="inlineStr">
        <is>
          <t>NYKÖPING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39539-2021</t>
        </is>
      </c>
      <c r="B159" s="1" t="n">
        <v>44416</v>
      </c>
      <c r="C159" s="1" t="n">
        <v>45947</v>
      </c>
      <c r="D159" t="inlineStr">
        <is>
          <t>SÖDERMANLANDS LÄN</t>
        </is>
      </c>
      <c r="E159" t="inlineStr">
        <is>
          <t>NYKÖPING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39540-2021</t>
        </is>
      </c>
      <c r="B160" s="1" t="n">
        <v>44416</v>
      </c>
      <c r="C160" s="1" t="n">
        <v>45947</v>
      </c>
      <c r="D160" t="inlineStr">
        <is>
          <t>SÖDERMANLANDS LÄN</t>
        </is>
      </c>
      <c r="E160" t="inlineStr">
        <is>
          <t>NYKÖPING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27934-2021</t>
        </is>
      </c>
      <c r="B161" s="1" t="n">
        <v>44354</v>
      </c>
      <c r="C161" s="1" t="n">
        <v>45947</v>
      </c>
      <c r="D161" t="inlineStr">
        <is>
          <t>SÖDERMANLANDS LÄN</t>
        </is>
      </c>
      <c r="E161" t="inlineStr">
        <is>
          <t>NYKÖPING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55706-2021</t>
        </is>
      </c>
      <c r="B162" s="1" t="n">
        <v>44476</v>
      </c>
      <c r="C162" s="1" t="n">
        <v>45947</v>
      </c>
      <c r="D162" t="inlineStr">
        <is>
          <t>SÖDERMANLANDS LÄN</t>
        </is>
      </c>
      <c r="E162" t="inlineStr">
        <is>
          <t>NYKÖPING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4322-2021</t>
        </is>
      </c>
      <c r="B163" s="1" t="n">
        <v>44223</v>
      </c>
      <c r="C163" s="1" t="n">
        <v>45947</v>
      </c>
      <c r="D163" t="inlineStr">
        <is>
          <t>SÖDERMANLANDS LÄN</t>
        </is>
      </c>
      <c r="E163" t="inlineStr">
        <is>
          <t>NYKÖPING</t>
        </is>
      </c>
      <c r="F163" t="inlineStr">
        <is>
          <t>Sveaskog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42966-2021</t>
        </is>
      </c>
      <c r="B164" s="1" t="n">
        <v>44430</v>
      </c>
      <c r="C164" s="1" t="n">
        <v>45947</v>
      </c>
      <c r="D164" t="inlineStr">
        <is>
          <t>SÖDERMANLANDS LÄN</t>
        </is>
      </c>
      <c r="E164" t="inlineStr">
        <is>
          <t>NYKÖPING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14686-2021</t>
        </is>
      </c>
      <c r="B165" s="1" t="n">
        <v>44264</v>
      </c>
      <c r="C165" s="1" t="n">
        <v>45947</v>
      </c>
      <c r="D165" t="inlineStr">
        <is>
          <t>SÖDERMANLANDS LÄN</t>
        </is>
      </c>
      <c r="E165" t="inlineStr">
        <is>
          <t>NYKÖPING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32719-2022</t>
        </is>
      </c>
      <c r="B166" s="1" t="n">
        <v>44783</v>
      </c>
      <c r="C166" s="1" t="n">
        <v>45947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69247-2021</t>
        </is>
      </c>
      <c r="B167" s="1" t="n">
        <v>44530</v>
      </c>
      <c r="C167" s="1" t="n">
        <v>45947</v>
      </c>
      <c r="D167" t="inlineStr">
        <is>
          <t>SÖDERMANLANDS LÄN</t>
        </is>
      </c>
      <c r="E167" t="inlineStr">
        <is>
          <t>NYKÖPING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41723-2021</t>
        </is>
      </c>
      <c r="B168" s="1" t="n">
        <v>44425</v>
      </c>
      <c r="C168" s="1" t="n">
        <v>45947</v>
      </c>
      <c r="D168" t="inlineStr">
        <is>
          <t>SÖDERMANLANDS LÄN</t>
        </is>
      </c>
      <c r="E168" t="inlineStr">
        <is>
          <t>NYKÖPING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61248-2021</t>
        </is>
      </c>
      <c r="B169" s="1" t="n">
        <v>44498</v>
      </c>
      <c r="C169" s="1" t="n">
        <v>45947</v>
      </c>
      <c r="D169" t="inlineStr">
        <is>
          <t>SÖDERMANLANDS LÄN</t>
        </is>
      </c>
      <c r="E169" t="inlineStr">
        <is>
          <t>NYKÖPING</t>
        </is>
      </c>
      <c r="F169" t="inlineStr">
        <is>
          <t>Holmen skog AB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63055-2021</t>
        </is>
      </c>
      <c r="B170" s="1" t="n">
        <v>44505</v>
      </c>
      <c r="C170" s="1" t="n">
        <v>45947</v>
      </c>
      <c r="D170" t="inlineStr">
        <is>
          <t>SÖDERMANLANDS LÄN</t>
        </is>
      </c>
      <c r="E170" t="inlineStr">
        <is>
          <t>NYKÖPING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52543-2021</t>
        </is>
      </c>
      <c r="B171" s="1" t="n">
        <v>44466</v>
      </c>
      <c r="C171" s="1" t="n">
        <v>45947</v>
      </c>
      <c r="D171" t="inlineStr">
        <is>
          <t>SÖDERMANLANDS LÄN</t>
        </is>
      </c>
      <c r="E171" t="inlineStr">
        <is>
          <t>NYKÖPING</t>
        </is>
      </c>
      <c r="F171" t="inlineStr">
        <is>
          <t>Holmen skog AB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63052-2021</t>
        </is>
      </c>
      <c r="B172" s="1" t="n">
        <v>44505</v>
      </c>
      <c r="C172" s="1" t="n">
        <v>45947</v>
      </c>
      <c r="D172" t="inlineStr">
        <is>
          <t>SÖDERMANLANDS LÄN</t>
        </is>
      </c>
      <c r="E172" t="inlineStr">
        <is>
          <t>NYKÖPING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4596-2021</t>
        </is>
      </c>
      <c r="B173" s="1" t="n">
        <v>44224</v>
      </c>
      <c r="C173" s="1" t="n">
        <v>45947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4609-2021</t>
        </is>
      </c>
      <c r="B174" s="1" t="n">
        <v>44224</v>
      </c>
      <c r="C174" s="1" t="n">
        <v>45947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66860-2021</t>
        </is>
      </c>
      <c r="B175" s="1" t="n">
        <v>44522</v>
      </c>
      <c r="C175" s="1" t="n">
        <v>45947</v>
      </c>
      <c r="D175" t="inlineStr">
        <is>
          <t>SÖDERMANLANDS LÄN</t>
        </is>
      </c>
      <c r="E175" t="inlineStr">
        <is>
          <t>NYKÖPING</t>
        </is>
      </c>
      <c r="F175" t="inlineStr">
        <is>
          <t>Holmen skog AB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8781-2022</t>
        </is>
      </c>
      <c r="B176" s="1" t="n">
        <v>44614</v>
      </c>
      <c r="C176" s="1" t="n">
        <v>45947</v>
      </c>
      <c r="D176" t="inlineStr">
        <is>
          <t>SÖDERMANLANDS LÄN</t>
        </is>
      </c>
      <c r="E176" t="inlineStr">
        <is>
          <t>NYKÖPING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66939-2021</t>
        </is>
      </c>
      <c r="B177" s="1" t="n">
        <v>44522</v>
      </c>
      <c r="C177" s="1" t="n">
        <v>45947</v>
      </c>
      <c r="D177" t="inlineStr">
        <is>
          <t>SÖDERMANLANDS LÄN</t>
        </is>
      </c>
      <c r="E177" t="inlineStr">
        <is>
          <t>NYKÖPING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8767-2021</t>
        </is>
      </c>
      <c r="B178" s="1" t="n">
        <v>44246</v>
      </c>
      <c r="C178" s="1" t="n">
        <v>45947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Holmen skog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39542-2021</t>
        </is>
      </c>
      <c r="B179" s="1" t="n">
        <v>44416</v>
      </c>
      <c r="C179" s="1" t="n">
        <v>45947</v>
      </c>
      <c r="D179" t="inlineStr">
        <is>
          <t>SÖDERMANLANDS LÄN</t>
        </is>
      </c>
      <c r="E179" t="inlineStr">
        <is>
          <t>NYKÖPING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42417-2021</t>
        </is>
      </c>
      <c r="B180" s="1" t="n">
        <v>44427</v>
      </c>
      <c r="C180" s="1" t="n">
        <v>45947</v>
      </c>
      <c r="D180" t="inlineStr">
        <is>
          <t>SÖDERMANLANDS LÄN</t>
        </is>
      </c>
      <c r="E180" t="inlineStr">
        <is>
          <t>NYKÖPING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67852-2021</t>
        </is>
      </c>
      <c r="B181" s="1" t="n">
        <v>44525.48111111111</v>
      </c>
      <c r="C181" s="1" t="n">
        <v>45947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38372-2022</t>
        </is>
      </c>
      <c r="B182" s="1" t="n">
        <v>44812.67331018519</v>
      </c>
      <c r="C182" s="1" t="n">
        <v>45947</v>
      </c>
      <c r="D182" t="inlineStr">
        <is>
          <t>SÖDERMANLANDS LÄN</t>
        </is>
      </c>
      <c r="E182" t="inlineStr">
        <is>
          <t>NYKÖPING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49395-2021</t>
        </is>
      </c>
      <c r="B183" s="1" t="n">
        <v>44454</v>
      </c>
      <c r="C183" s="1" t="n">
        <v>45947</v>
      </c>
      <c r="D183" t="inlineStr">
        <is>
          <t>SÖDERMANLANDS LÄN</t>
        </is>
      </c>
      <c r="E183" t="inlineStr">
        <is>
          <t>NYKÖPING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54556-2022</t>
        </is>
      </c>
      <c r="B184" s="1" t="n">
        <v>44882</v>
      </c>
      <c r="C184" s="1" t="n">
        <v>45947</v>
      </c>
      <c r="D184" t="inlineStr">
        <is>
          <t>SÖDERMANLANDS LÄN</t>
        </is>
      </c>
      <c r="E184" t="inlineStr">
        <is>
          <t>NYKÖPING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46838-2021</t>
        </is>
      </c>
      <c r="B185" s="1" t="n">
        <v>44446</v>
      </c>
      <c r="C185" s="1" t="n">
        <v>45947</v>
      </c>
      <c r="D185" t="inlineStr">
        <is>
          <t>SÖDERMANLANDS LÄN</t>
        </is>
      </c>
      <c r="E185" t="inlineStr">
        <is>
          <t>NYKÖPING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30859-2022</t>
        </is>
      </c>
      <c r="B186" s="1" t="n">
        <v>44767</v>
      </c>
      <c r="C186" s="1" t="n">
        <v>45947</v>
      </c>
      <c r="D186" t="inlineStr">
        <is>
          <t>SÖDERMANLANDS LÄN</t>
        </is>
      </c>
      <c r="E186" t="inlineStr">
        <is>
          <t>NYKÖPING</t>
        </is>
      </c>
      <c r="F186" t="inlineStr">
        <is>
          <t>Holmen skog AB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42092-2022</t>
        </is>
      </c>
      <c r="B187" s="1" t="n">
        <v>44830</v>
      </c>
      <c r="C187" s="1" t="n">
        <v>45947</v>
      </c>
      <c r="D187" t="inlineStr">
        <is>
          <t>SÖDERMANLANDS LÄN</t>
        </is>
      </c>
      <c r="E187" t="inlineStr">
        <is>
          <t>NYKÖPING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15466-2022</t>
        </is>
      </c>
      <c r="B188" s="1" t="n">
        <v>44662</v>
      </c>
      <c r="C188" s="1" t="n">
        <v>45947</v>
      </c>
      <c r="D188" t="inlineStr">
        <is>
          <t>SÖDERMANLANDS LÄN</t>
        </is>
      </c>
      <c r="E188" t="inlineStr">
        <is>
          <t>NYKÖPING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4623-2021</t>
        </is>
      </c>
      <c r="B189" s="1" t="n">
        <v>44224</v>
      </c>
      <c r="C189" s="1" t="n">
        <v>45947</v>
      </c>
      <c r="D189" t="inlineStr">
        <is>
          <t>SÖDERMANLANDS LÄN</t>
        </is>
      </c>
      <c r="E189" t="inlineStr">
        <is>
          <t>NYKÖPING</t>
        </is>
      </c>
      <c r="F189" t="inlineStr">
        <is>
          <t>Holmen skog AB</t>
        </is>
      </c>
      <c r="G189" t="n">
        <v>0.2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71103-2021</t>
        </is>
      </c>
      <c r="B190" s="1" t="n">
        <v>44537</v>
      </c>
      <c r="C190" s="1" t="n">
        <v>45947</v>
      </c>
      <c r="D190" t="inlineStr">
        <is>
          <t>SÖDERMANLANDS LÄN</t>
        </is>
      </c>
      <c r="E190" t="inlineStr">
        <is>
          <t>NYKÖPING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22486-2021</t>
        </is>
      </c>
      <c r="B191" s="1" t="n">
        <v>44326</v>
      </c>
      <c r="C191" s="1" t="n">
        <v>45947</v>
      </c>
      <c r="D191" t="inlineStr">
        <is>
          <t>SÖDERMANLANDS LÄN</t>
        </is>
      </c>
      <c r="E191" t="inlineStr">
        <is>
          <t>NYKÖPING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70791-2021</t>
        </is>
      </c>
      <c r="B192" s="1" t="n">
        <v>44536</v>
      </c>
      <c r="C192" s="1" t="n">
        <v>45947</v>
      </c>
      <c r="D192" t="inlineStr">
        <is>
          <t>SÖDERMANLANDS LÄN</t>
        </is>
      </c>
      <c r="E192" t="inlineStr">
        <is>
          <t>NYKÖPING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38468-2022</t>
        </is>
      </c>
      <c r="B193" s="1" t="n">
        <v>44813.53872685185</v>
      </c>
      <c r="C193" s="1" t="n">
        <v>45947</v>
      </c>
      <c r="D193" t="inlineStr">
        <is>
          <t>SÖDERMANLANDS LÄN</t>
        </is>
      </c>
      <c r="E193" t="inlineStr">
        <is>
          <t>NYKÖPING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45574-2021</t>
        </is>
      </c>
      <c r="B194" s="1" t="n">
        <v>44440</v>
      </c>
      <c r="C194" s="1" t="n">
        <v>45947</v>
      </c>
      <c r="D194" t="inlineStr">
        <is>
          <t>SÖDERMANLANDS LÄN</t>
        </is>
      </c>
      <c r="E194" t="inlineStr">
        <is>
          <t>NYKÖPING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17541-2022</t>
        </is>
      </c>
      <c r="B195" s="1" t="n">
        <v>44679</v>
      </c>
      <c r="C195" s="1" t="n">
        <v>45947</v>
      </c>
      <c r="D195" t="inlineStr">
        <is>
          <t>SÖDERMANLANDS LÄN</t>
        </is>
      </c>
      <c r="E195" t="inlineStr">
        <is>
          <t>NYKÖPING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54234-2021</t>
        </is>
      </c>
      <c r="B196" s="1" t="n">
        <v>44470</v>
      </c>
      <c r="C196" s="1" t="n">
        <v>45947</v>
      </c>
      <c r="D196" t="inlineStr">
        <is>
          <t>SÖDERMANLANDS LÄN</t>
        </is>
      </c>
      <c r="E196" t="inlineStr">
        <is>
          <t>NYKÖPING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22990-2022</t>
        </is>
      </c>
      <c r="B197" s="1" t="n">
        <v>44718.44672453704</v>
      </c>
      <c r="C197" s="1" t="n">
        <v>45947</v>
      </c>
      <c r="D197" t="inlineStr">
        <is>
          <t>SÖDERMANLANDS LÄN</t>
        </is>
      </c>
      <c r="E197" t="inlineStr">
        <is>
          <t>NYKÖPING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21540-2021</t>
        </is>
      </c>
      <c r="B198" s="1" t="n">
        <v>44316</v>
      </c>
      <c r="C198" s="1" t="n">
        <v>45947</v>
      </c>
      <c r="D198" t="inlineStr">
        <is>
          <t>SÖDERMANLANDS LÄN</t>
        </is>
      </c>
      <c r="E198" t="inlineStr">
        <is>
          <t>NYKÖPING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49763-2022</t>
        </is>
      </c>
      <c r="B199" s="1" t="n">
        <v>44862</v>
      </c>
      <c r="C199" s="1" t="n">
        <v>45947</v>
      </c>
      <c r="D199" t="inlineStr">
        <is>
          <t>SÖDERMANLANDS LÄN</t>
        </is>
      </c>
      <c r="E199" t="inlineStr">
        <is>
          <t>NYKÖPING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3193-2022</t>
        </is>
      </c>
      <c r="B200" s="1" t="n">
        <v>44582.64112268519</v>
      </c>
      <c r="C200" s="1" t="n">
        <v>45947</v>
      </c>
      <c r="D200" t="inlineStr">
        <is>
          <t>SÖDERMANLANDS LÄN</t>
        </is>
      </c>
      <c r="E200" t="inlineStr">
        <is>
          <t>NYKÖPING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41139-2022</t>
        </is>
      </c>
      <c r="B201" s="1" t="n">
        <v>44825</v>
      </c>
      <c r="C201" s="1" t="n">
        <v>45947</v>
      </c>
      <c r="D201" t="inlineStr">
        <is>
          <t>SÖDERMANLANDS LÄN</t>
        </is>
      </c>
      <c r="E201" t="inlineStr">
        <is>
          <t>NYKÖPING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23107-2022</t>
        </is>
      </c>
      <c r="B202" s="1" t="n">
        <v>44719</v>
      </c>
      <c r="C202" s="1" t="n">
        <v>45947</v>
      </c>
      <c r="D202" t="inlineStr">
        <is>
          <t>SÖDERMANLANDS LÄN</t>
        </is>
      </c>
      <c r="E202" t="inlineStr">
        <is>
          <t>NYKÖPING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47372-2022</t>
        </is>
      </c>
      <c r="B203" s="1" t="n">
        <v>44853</v>
      </c>
      <c r="C203" s="1" t="n">
        <v>45947</v>
      </c>
      <c r="D203" t="inlineStr">
        <is>
          <t>SÖDERMANLANDS LÄN</t>
        </is>
      </c>
      <c r="E203" t="inlineStr">
        <is>
          <t>NYKÖPING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20775-2022</t>
        </is>
      </c>
      <c r="B204" s="1" t="n">
        <v>44701</v>
      </c>
      <c r="C204" s="1" t="n">
        <v>45947</v>
      </c>
      <c r="D204" t="inlineStr">
        <is>
          <t>SÖDERMANLANDS LÄN</t>
        </is>
      </c>
      <c r="E204" t="inlineStr">
        <is>
          <t>NYKÖPING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21088-2022</t>
        </is>
      </c>
      <c r="B205" s="1" t="n">
        <v>44704.5418287037</v>
      </c>
      <c r="C205" s="1" t="n">
        <v>45947</v>
      </c>
      <c r="D205" t="inlineStr">
        <is>
          <t>SÖDERMANLANDS LÄN</t>
        </is>
      </c>
      <c r="E205" t="inlineStr">
        <is>
          <t>NYKÖPING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69598-2021</t>
        </is>
      </c>
      <c r="B206" s="1" t="n">
        <v>44531</v>
      </c>
      <c r="C206" s="1" t="n">
        <v>45947</v>
      </c>
      <c r="D206" t="inlineStr">
        <is>
          <t>SÖDERMANLANDS LÄN</t>
        </is>
      </c>
      <c r="E206" t="inlineStr">
        <is>
          <t>NYKÖPING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28511-2022</t>
        </is>
      </c>
      <c r="B207" s="1" t="n">
        <v>44748</v>
      </c>
      <c r="C207" s="1" t="n">
        <v>45947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Holmen skog AB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2256-2022</t>
        </is>
      </c>
      <c r="B208" s="1" t="n">
        <v>44578</v>
      </c>
      <c r="C208" s="1" t="n">
        <v>45947</v>
      </c>
      <c r="D208" t="inlineStr">
        <is>
          <t>SÖDERMANLANDS LÄN</t>
        </is>
      </c>
      <c r="E208" t="inlineStr">
        <is>
          <t>NYKÖPING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55288-2022</t>
        </is>
      </c>
      <c r="B209" s="1" t="n">
        <v>44887.38490740741</v>
      </c>
      <c r="C209" s="1" t="n">
        <v>45947</v>
      </c>
      <c r="D209" t="inlineStr">
        <is>
          <t>SÖDERMANLANDS LÄN</t>
        </is>
      </c>
      <c r="E209" t="inlineStr">
        <is>
          <t>NYKÖPING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38459-2022</t>
        </is>
      </c>
      <c r="B210" s="1" t="n">
        <v>44813.5283449074</v>
      </c>
      <c r="C210" s="1" t="n">
        <v>45947</v>
      </c>
      <c r="D210" t="inlineStr">
        <is>
          <t>SÖDERMANLANDS LÄN</t>
        </is>
      </c>
      <c r="E210" t="inlineStr">
        <is>
          <t>NYKÖPING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21917-2022</t>
        </is>
      </c>
      <c r="B211" s="1" t="n">
        <v>44711.460625</v>
      </c>
      <c r="C211" s="1" t="n">
        <v>45947</v>
      </c>
      <c r="D211" t="inlineStr">
        <is>
          <t>SÖDERMANLANDS LÄN</t>
        </is>
      </c>
      <c r="E211" t="inlineStr">
        <is>
          <t>NYKÖPING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28503-2022</t>
        </is>
      </c>
      <c r="B212" s="1" t="n">
        <v>44747</v>
      </c>
      <c r="C212" s="1" t="n">
        <v>45947</v>
      </c>
      <c r="D212" t="inlineStr">
        <is>
          <t>SÖDERMANLANDS LÄN</t>
        </is>
      </c>
      <c r="E212" t="inlineStr">
        <is>
          <t>NYKÖPING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32841-2022</t>
        </is>
      </c>
      <c r="B213" s="1" t="n">
        <v>44784</v>
      </c>
      <c r="C213" s="1" t="n">
        <v>45947</v>
      </c>
      <c r="D213" t="inlineStr">
        <is>
          <t>SÖDERMANLANDS LÄN</t>
        </is>
      </c>
      <c r="E213" t="inlineStr">
        <is>
          <t>NYKÖPING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10161-2021</t>
        </is>
      </c>
      <c r="B214" s="1" t="n">
        <v>44256</v>
      </c>
      <c r="C214" s="1" t="n">
        <v>45947</v>
      </c>
      <c r="D214" t="inlineStr">
        <is>
          <t>SÖDERMANLANDS LÄN</t>
        </is>
      </c>
      <c r="E214" t="inlineStr">
        <is>
          <t>NYKÖPING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41437-2021</t>
        </is>
      </c>
      <c r="B215" s="1" t="n">
        <v>44424</v>
      </c>
      <c r="C215" s="1" t="n">
        <v>45947</v>
      </c>
      <c r="D215" t="inlineStr">
        <is>
          <t>SÖDERMANLANDS LÄN</t>
        </is>
      </c>
      <c r="E215" t="inlineStr">
        <is>
          <t>NYKÖPING</t>
        </is>
      </c>
      <c r="G215" t="n">
        <v>9.699999999999999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67825-2021</t>
        </is>
      </c>
      <c r="B216" s="1" t="n">
        <v>44525.45300925926</v>
      </c>
      <c r="C216" s="1" t="n">
        <v>45947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9320-2021</t>
        </is>
      </c>
      <c r="B217" s="1" t="n">
        <v>44250</v>
      </c>
      <c r="C217" s="1" t="n">
        <v>45947</v>
      </c>
      <c r="D217" t="inlineStr">
        <is>
          <t>SÖDERMANLANDS LÄN</t>
        </is>
      </c>
      <c r="E217" t="inlineStr">
        <is>
          <t>NYKÖPING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32671-2022</t>
        </is>
      </c>
      <c r="B218" s="1" t="n">
        <v>44783</v>
      </c>
      <c r="C218" s="1" t="n">
        <v>45947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Holmen skog AB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10141-2021</t>
        </is>
      </c>
      <c r="B219" s="1" t="n">
        <v>44256</v>
      </c>
      <c r="C219" s="1" t="n">
        <v>45947</v>
      </c>
      <c r="D219" t="inlineStr">
        <is>
          <t>SÖDERMANLANDS LÄN</t>
        </is>
      </c>
      <c r="E219" t="inlineStr">
        <is>
          <t>NYKÖPING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21819-2022</t>
        </is>
      </c>
      <c r="B220" s="1" t="n">
        <v>44709.48592592592</v>
      </c>
      <c r="C220" s="1" t="n">
        <v>45947</v>
      </c>
      <c r="D220" t="inlineStr">
        <is>
          <t>SÖDERMANLANDS LÄN</t>
        </is>
      </c>
      <c r="E220" t="inlineStr">
        <is>
          <t>NYKÖPING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25705-2022</t>
        </is>
      </c>
      <c r="B221" s="1" t="n">
        <v>44733.37920138889</v>
      </c>
      <c r="C221" s="1" t="n">
        <v>45947</v>
      </c>
      <c r="D221" t="inlineStr">
        <is>
          <t>SÖDERMANLANDS LÄN</t>
        </is>
      </c>
      <c r="E221" t="inlineStr">
        <is>
          <t>NYKÖPING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25709-2022</t>
        </is>
      </c>
      <c r="B222" s="1" t="n">
        <v>44733.38643518519</v>
      </c>
      <c r="C222" s="1" t="n">
        <v>45947</v>
      </c>
      <c r="D222" t="inlineStr">
        <is>
          <t>SÖDERMANLANDS LÄN</t>
        </is>
      </c>
      <c r="E222" t="inlineStr">
        <is>
          <t>NYKÖPING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36634-2022</t>
        </is>
      </c>
      <c r="B223" s="1" t="n">
        <v>44804</v>
      </c>
      <c r="C223" s="1" t="n">
        <v>45947</v>
      </c>
      <c r="D223" t="inlineStr">
        <is>
          <t>SÖDERMANLANDS LÄN</t>
        </is>
      </c>
      <c r="E223" t="inlineStr">
        <is>
          <t>NYKÖPING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52535-2021</t>
        </is>
      </c>
      <c r="B224" s="1" t="n">
        <v>44466</v>
      </c>
      <c r="C224" s="1" t="n">
        <v>45947</v>
      </c>
      <c r="D224" t="inlineStr">
        <is>
          <t>SÖDERMANLANDS LÄN</t>
        </is>
      </c>
      <c r="E224" t="inlineStr">
        <is>
          <t>NYKÖPING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8455-2021</t>
        </is>
      </c>
      <c r="B225" s="1" t="n">
        <v>44245</v>
      </c>
      <c r="C225" s="1" t="n">
        <v>45947</v>
      </c>
      <c r="D225" t="inlineStr">
        <is>
          <t>SÖDERMANLANDS LÄN</t>
        </is>
      </c>
      <c r="E225" t="inlineStr">
        <is>
          <t>NYKÖPING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40680-2021</t>
        </is>
      </c>
      <c r="B226" s="1" t="n">
        <v>44420</v>
      </c>
      <c r="C226" s="1" t="n">
        <v>45947</v>
      </c>
      <c r="D226" t="inlineStr">
        <is>
          <t>SÖDERMANLANDS LÄN</t>
        </is>
      </c>
      <c r="E226" t="inlineStr">
        <is>
          <t>NYKÖPING</t>
        </is>
      </c>
      <c r="G226" t="n">
        <v>11.1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23922-2022</t>
        </is>
      </c>
      <c r="B227" s="1" t="n">
        <v>44722.62962962963</v>
      </c>
      <c r="C227" s="1" t="n">
        <v>45947</v>
      </c>
      <c r="D227" t="inlineStr">
        <is>
          <t>SÖDERMANLANDS LÄN</t>
        </is>
      </c>
      <c r="E227" t="inlineStr">
        <is>
          <t>NYKÖPING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21815-2022</t>
        </is>
      </c>
      <c r="B228" s="1" t="n">
        <v>44709.46103009259</v>
      </c>
      <c r="C228" s="1" t="n">
        <v>45947</v>
      </c>
      <c r="D228" t="inlineStr">
        <is>
          <t>SÖDERMANLANDS LÄN</t>
        </is>
      </c>
      <c r="E228" t="inlineStr">
        <is>
          <t>NYKÖPING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21818-2022</t>
        </is>
      </c>
      <c r="B229" s="1" t="n">
        <v>44709.47613425926</v>
      </c>
      <c r="C229" s="1" t="n">
        <v>45947</v>
      </c>
      <c r="D229" t="inlineStr">
        <is>
          <t>SÖDERMANLANDS LÄN</t>
        </is>
      </c>
      <c r="E229" t="inlineStr">
        <is>
          <t>NYKÖPING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58923-2020</t>
        </is>
      </c>
      <c r="B230" s="1" t="n">
        <v>44146</v>
      </c>
      <c r="C230" s="1" t="n">
        <v>45947</v>
      </c>
      <c r="D230" t="inlineStr">
        <is>
          <t>SÖDERMANLANDS LÄN</t>
        </is>
      </c>
      <c r="E230" t="inlineStr">
        <is>
          <t>NYKÖPING</t>
        </is>
      </c>
      <c r="G230" t="n">
        <v>7.8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25718-2022</t>
        </is>
      </c>
      <c r="B231" s="1" t="n">
        <v>44733.3975462963</v>
      </c>
      <c r="C231" s="1" t="n">
        <v>45947</v>
      </c>
      <c r="D231" t="inlineStr">
        <is>
          <t>SÖDERMANLANDS LÄN</t>
        </is>
      </c>
      <c r="E231" t="inlineStr">
        <is>
          <t>NYKÖPING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8523-2022</t>
        </is>
      </c>
      <c r="B232" s="1" t="n">
        <v>44613</v>
      </c>
      <c r="C232" s="1" t="n">
        <v>45947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69252-2021</t>
        </is>
      </c>
      <c r="B233" s="1" t="n">
        <v>44530</v>
      </c>
      <c r="C233" s="1" t="n">
        <v>45947</v>
      </c>
      <c r="D233" t="inlineStr">
        <is>
          <t>SÖDERMANLANDS LÄN</t>
        </is>
      </c>
      <c r="E233" t="inlineStr">
        <is>
          <t>NYKÖPING</t>
        </is>
      </c>
      <c r="G233" t="n">
        <v>6.4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71175-2021</t>
        </is>
      </c>
      <c r="B234" s="1" t="n">
        <v>44539</v>
      </c>
      <c r="C234" s="1" t="n">
        <v>45947</v>
      </c>
      <c r="D234" t="inlineStr">
        <is>
          <t>SÖDERMANLANDS LÄN</t>
        </is>
      </c>
      <c r="E234" t="inlineStr">
        <is>
          <t>NYKÖPING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10862-2021</t>
        </is>
      </c>
      <c r="B235" s="1" t="n">
        <v>44259</v>
      </c>
      <c r="C235" s="1" t="n">
        <v>45947</v>
      </c>
      <c r="D235" t="inlineStr">
        <is>
          <t>SÖDERMANLANDS LÄN</t>
        </is>
      </c>
      <c r="E235" t="inlineStr">
        <is>
          <t>NYKÖPING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41737-2021</t>
        </is>
      </c>
      <c r="B236" s="1" t="n">
        <v>44425</v>
      </c>
      <c r="C236" s="1" t="n">
        <v>45947</v>
      </c>
      <c r="D236" t="inlineStr">
        <is>
          <t>SÖDERMANLANDS LÄN</t>
        </is>
      </c>
      <c r="E236" t="inlineStr">
        <is>
          <t>NYKÖPING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71107-2021</t>
        </is>
      </c>
      <c r="B237" s="1" t="n">
        <v>44537</v>
      </c>
      <c r="C237" s="1" t="n">
        <v>45947</v>
      </c>
      <c r="D237" t="inlineStr">
        <is>
          <t>SÖDERMANLANDS LÄN</t>
        </is>
      </c>
      <c r="E237" t="inlineStr">
        <is>
          <t>NYKÖPING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7503-2021</t>
        </is>
      </c>
      <c r="B238" s="1" t="n">
        <v>44239</v>
      </c>
      <c r="C238" s="1" t="n">
        <v>45947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Holmen skog AB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45569-2021</t>
        </is>
      </c>
      <c r="B239" s="1" t="n">
        <v>44440</v>
      </c>
      <c r="C239" s="1" t="n">
        <v>45947</v>
      </c>
      <c r="D239" t="inlineStr">
        <is>
          <t>SÖDERMANLANDS LÄN</t>
        </is>
      </c>
      <c r="E239" t="inlineStr">
        <is>
          <t>NYKÖPING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8778-2022</t>
        </is>
      </c>
      <c r="B240" s="1" t="n">
        <v>44614</v>
      </c>
      <c r="C240" s="1" t="n">
        <v>45947</v>
      </c>
      <c r="D240" t="inlineStr">
        <is>
          <t>SÖDERMANLANDS LÄN</t>
        </is>
      </c>
      <c r="E240" t="inlineStr">
        <is>
          <t>NYKÖPING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7187-2021</t>
        </is>
      </c>
      <c r="B241" s="1" t="n">
        <v>44238</v>
      </c>
      <c r="C241" s="1" t="n">
        <v>45947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Holmen skog AB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51720-2021</t>
        </is>
      </c>
      <c r="B242" s="1" t="n">
        <v>44462</v>
      </c>
      <c r="C242" s="1" t="n">
        <v>45947</v>
      </c>
      <c r="D242" t="inlineStr">
        <is>
          <t>SÖDERMANLANDS LÄN</t>
        </is>
      </c>
      <c r="E242" t="inlineStr">
        <is>
          <t>NYKÖPING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39306-2021</t>
        </is>
      </c>
      <c r="B243" s="1" t="n">
        <v>44413</v>
      </c>
      <c r="C243" s="1" t="n">
        <v>45947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Holmen skog AB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14384-2022</t>
        </is>
      </c>
      <c r="B244" s="1" t="n">
        <v>44652.50168981482</v>
      </c>
      <c r="C244" s="1" t="n">
        <v>45947</v>
      </c>
      <c r="D244" t="inlineStr">
        <is>
          <t>SÖDERMANLANDS LÄN</t>
        </is>
      </c>
      <c r="E244" t="inlineStr">
        <is>
          <t>NYKÖPING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15147-2022</t>
        </is>
      </c>
      <c r="B245" s="1" t="n">
        <v>44658</v>
      </c>
      <c r="C245" s="1" t="n">
        <v>45947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Allmännings- och besparingsskogar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60478-2020</t>
        </is>
      </c>
      <c r="B246" s="1" t="n">
        <v>44153</v>
      </c>
      <c r="C246" s="1" t="n">
        <v>45947</v>
      </c>
      <c r="D246" t="inlineStr">
        <is>
          <t>SÖDERMANLANDS LÄN</t>
        </is>
      </c>
      <c r="E246" t="inlineStr">
        <is>
          <t>NYKÖPING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56617-2020</t>
        </is>
      </c>
      <c r="B247" s="1" t="n">
        <v>44137</v>
      </c>
      <c r="C247" s="1" t="n">
        <v>45947</v>
      </c>
      <c r="D247" t="inlineStr">
        <is>
          <t>SÖDERMANLANDS LÄN</t>
        </is>
      </c>
      <c r="E247" t="inlineStr">
        <is>
          <t>NYKÖPING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54897-2021</t>
        </is>
      </c>
      <c r="B248" s="1" t="n">
        <v>44474</v>
      </c>
      <c r="C248" s="1" t="n">
        <v>45947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Holmen skog AB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21804-2022</t>
        </is>
      </c>
      <c r="B249" s="1" t="n">
        <v>44708</v>
      </c>
      <c r="C249" s="1" t="n">
        <v>45947</v>
      </c>
      <c r="D249" t="inlineStr">
        <is>
          <t>SÖDERMANLANDS LÄN</t>
        </is>
      </c>
      <c r="E249" t="inlineStr">
        <is>
          <t>NYKÖPING</t>
        </is>
      </c>
      <c r="G249" t="n">
        <v>12.7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25130-2022</t>
        </is>
      </c>
      <c r="B250" s="1" t="n">
        <v>44729</v>
      </c>
      <c r="C250" s="1" t="n">
        <v>45947</v>
      </c>
      <c r="D250" t="inlineStr">
        <is>
          <t>SÖDERMANLANDS LÄN</t>
        </is>
      </c>
      <c r="E250" t="inlineStr">
        <is>
          <t>NYKÖPING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68401-2021</t>
        </is>
      </c>
      <c r="B251" s="1" t="n">
        <v>44529</v>
      </c>
      <c r="C251" s="1" t="n">
        <v>45947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Övriga Aktiebolag</t>
        </is>
      </c>
      <c r="G251" t="n">
        <v>16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70749-2021</t>
        </is>
      </c>
      <c r="B252" s="1" t="n">
        <v>44536</v>
      </c>
      <c r="C252" s="1" t="n">
        <v>45947</v>
      </c>
      <c r="D252" t="inlineStr">
        <is>
          <t>SÖDERMANLANDS LÄN</t>
        </is>
      </c>
      <c r="E252" t="inlineStr">
        <is>
          <t>NYKÖPING</t>
        </is>
      </c>
      <c r="G252" t="n">
        <v>5.1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22393-2022</t>
        </is>
      </c>
      <c r="B253" s="1" t="n">
        <v>44713</v>
      </c>
      <c r="C253" s="1" t="n">
        <v>45947</v>
      </c>
      <c r="D253" t="inlineStr">
        <is>
          <t>SÖDERMANLANDS LÄN</t>
        </is>
      </c>
      <c r="E253" t="inlineStr">
        <is>
          <t>NYKÖPING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54029-2022</t>
        </is>
      </c>
      <c r="B254" s="1" t="n">
        <v>44881.43841435185</v>
      </c>
      <c r="C254" s="1" t="n">
        <v>45947</v>
      </c>
      <c r="D254" t="inlineStr">
        <is>
          <t>SÖDERMANLANDS LÄN</t>
        </is>
      </c>
      <c r="E254" t="inlineStr">
        <is>
          <t>NYKÖPING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45533-2021</t>
        </is>
      </c>
      <c r="B255" s="1" t="n">
        <v>44440</v>
      </c>
      <c r="C255" s="1" t="n">
        <v>45947</v>
      </c>
      <c r="D255" t="inlineStr">
        <is>
          <t>SÖDERMANLANDS LÄN</t>
        </is>
      </c>
      <c r="E255" t="inlineStr">
        <is>
          <t>NYKÖPING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35192-2021</t>
        </is>
      </c>
      <c r="B256" s="1" t="n">
        <v>44384</v>
      </c>
      <c r="C256" s="1" t="n">
        <v>45947</v>
      </c>
      <c r="D256" t="inlineStr">
        <is>
          <t>SÖDERMANLANDS LÄN</t>
        </is>
      </c>
      <c r="E256" t="inlineStr">
        <is>
          <t>NYKÖPING</t>
        </is>
      </c>
      <c r="G256" t="n">
        <v>13.1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3353-2022</t>
        </is>
      </c>
      <c r="B257" s="1" t="n">
        <v>44585.39070601852</v>
      </c>
      <c r="C257" s="1" t="n">
        <v>45947</v>
      </c>
      <c r="D257" t="inlineStr">
        <is>
          <t>SÖDERMANLANDS LÄN</t>
        </is>
      </c>
      <c r="E257" t="inlineStr">
        <is>
          <t>NYKÖPING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33126-2023</t>
        </is>
      </c>
      <c r="B258" s="1" t="n">
        <v>45114</v>
      </c>
      <c r="C258" s="1" t="n">
        <v>45947</v>
      </c>
      <c r="D258" t="inlineStr">
        <is>
          <t>SÖDERMANLANDS LÄN</t>
        </is>
      </c>
      <c r="E258" t="inlineStr">
        <is>
          <t>NYKÖPING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11638-2024</t>
        </is>
      </c>
      <c r="B259" s="1" t="n">
        <v>45373.48542824074</v>
      </c>
      <c r="C259" s="1" t="n">
        <v>45947</v>
      </c>
      <c r="D259" t="inlineStr">
        <is>
          <t>SÖDERMANLANDS LÄN</t>
        </is>
      </c>
      <c r="E259" t="inlineStr">
        <is>
          <t>NYKÖPING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46828-2021</t>
        </is>
      </c>
      <c r="B260" s="1" t="n">
        <v>44446</v>
      </c>
      <c r="C260" s="1" t="n">
        <v>45947</v>
      </c>
      <c r="D260" t="inlineStr">
        <is>
          <t>SÖDERMANLANDS LÄN</t>
        </is>
      </c>
      <c r="E260" t="inlineStr">
        <is>
          <t>NYKÖPING</t>
        </is>
      </c>
      <c r="G260" t="n">
        <v>30.2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55272-2021</t>
        </is>
      </c>
      <c r="B261" s="1" t="n">
        <v>44475</v>
      </c>
      <c r="C261" s="1" t="n">
        <v>45947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Holmen skog AB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26651-2021</t>
        </is>
      </c>
      <c r="B262" s="1" t="n">
        <v>44348.90090277778</v>
      </c>
      <c r="C262" s="1" t="n">
        <v>45947</v>
      </c>
      <c r="D262" t="inlineStr">
        <is>
          <t>SÖDERMANLANDS LÄN</t>
        </is>
      </c>
      <c r="E262" t="inlineStr">
        <is>
          <t>NYKÖPING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69077-2020</t>
        </is>
      </c>
      <c r="B263" s="1" t="n">
        <v>44188</v>
      </c>
      <c r="C263" s="1" t="n">
        <v>45947</v>
      </c>
      <c r="D263" t="inlineStr">
        <is>
          <t>SÖDERMANLANDS LÄN</t>
        </is>
      </c>
      <c r="E263" t="inlineStr">
        <is>
          <t>NYKÖPING</t>
        </is>
      </c>
      <c r="G263" t="n">
        <v>4.4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58899-2020</t>
        </is>
      </c>
      <c r="B264" s="1" t="n">
        <v>44146</v>
      </c>
      <c r="C264" s="1" t="n">
        <v>45947</v>
      </c>
      <c r="D264" t="inlineStr">
        <is>
          <t>SÖDERMANLANDS LÄN</t>
        </is>
      </c>
      <c r="E264" t="inlineStr">
        <is>
          <t>NYKÖPING</t>
        </is>
      </c>
      <c r="G264" t="n">
        <v>17.4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13863-2022</t>
        </is>
      </c>
      <c r="B265" s="1" t="n">
        <v>44649</v>
      </c>
      <c r="C265" s="1" t="n">
        <v>45947</v>
      </c>
      <c r="D265" t="inlineStr">
        <is>
          <t>SÖDERMANLANDS LÄN</t>
        </is>
      </c>
      <c r="E265" t="inlineStr">
        <is>
          <t>NYKÖPING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10873-2022</t>
        </is>
      </c>
      <c r="B266" s="1" t="n">
        <v>44627</v>
      </c>
      <c r="C266" s="1" t="n">
        <v>45947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Övriga Aktiebolag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2225-2022</t>
        </is>
      </c>
      <c r="B267" s="1" t="n">
        <v>44578</v>
      </c>
      <c r="C267" s="1" t="n">
        <v>45947</v>
      </c>
      <c r="D267" t="inlineStr">
        <is>
          <t>SÖDERMANLANDS LÄN</t>
        </is>
      </c>
      <c r="E267" t="inlineStr">
        <is>
          <t>NYKÖPING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11718-2023</t>
        </is>
      </c>
      <c r="B268" s="1" t="n">
        <v>44992</v>
      </c>
      <c r="C268" s="1" t="n">
        <v>45947</v>
      </c>
      <c r="D268" t="inlineStr">
        <is>
          <t>SÖDERMANLANDS LÄN</t>
        </is>
      </c>
      <c r="E268" t="inlineStr">
        <is>
          <t>NYKÖPING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57140-2020</t>
        </is>
      </c>
      <c r="B269" s="1" t="n">
        <v>44138</v>
      </c>
      <c r="C269" s="1" t="n">
        <v>45947</v>
      </c>
      <c r="D269" t="inlineStr">
        <is>
          <t>SÖDERMANLANDS LÄN</t>
        </is>
      </c>
      <c r="E269" t="inlineStr">
        <is>
          <t>NYKÖPING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57148-2020</t>
        </is>
      </c>
      <c r="B270" s="1" t="n">
        <v>44138</v>
      </c>
      <c r="C270" s="1" t="n">
        <v>45947</v>
      </c>
      <c r="D270" t="inlineStr">
        <is>
          <t>SÖDERMANLANDS LÄN</t>
        </is>
      </c>
      <c r="E270" t="inlineStr">
        <is>
          <t>NYKÖPING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40635-2023</t>
        </is>
      </c>
      <c r="B271" s="1" t="n">
        <v>45170</v>
      </c>
      <c r="C271" s="1" t="n">
        <v>45947</v>
      </c>
      <c r="D271" t="inlineStr">
        <is>
          <t>SÖDERMANLANDS LÄN</t>
        </is>
      </c>
      <c r="E271" t="inlineStr">
        <is>
          <t>NYKÖPING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63006-2021</t>
        </is>
      </c>
      <c r="B272" s="1" t="n">
        <v>44505</v>
      </c>
      <c r="C272" s="1" t="n">
        <v>45947</v>
      </c>
      <c r="D272" t="inlineStr">
        <is>
          <t>SÖDERMANLANDS LÄN</t>
        </is>
      </c>
      <c r="E272" t="inlineStr">
        <is>
          <t>NYKÖPING</t>
        </is>
      </c>
      <c r="F272" t="inlineStr">
        <is>
          <t>Holmen skog AB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41132-2024</t>
        </is>
      </c>
      <c r="B273" s="1" t="n">
        <v>45559</v>
      </c>
      <c r="C273" s="1" t="n">
        <v>45947</v>
      </c>
      <c r="D273" t="inlineStr">
        <is>
          <t>SÖDERMANLANDS LÄN</t>
        </is>
      </c>
      <c r="E273" t="inlineStr">
        <is>
          <t>NYKÖPING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41145-2024</t>
        </is>
      </c>
      <c r="B274" s="1" t="n">
        <v>45559</v>
      </c>
      <c r="C274" s="1" t="n">
        <v>45947</v>
      </c>
      <c r="D274" t="inlineStr">
        <is>
          <t>SÖDERMANLANDS LÄN</t>
        </is>
      </c>
      <c r="E274" t="inlineStr">
        <is>
          <t>NYKÖPING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8751-2023</t>
        </is>
      </c>
      <c r="B275" s="1" t="n">
        <v>44978</v>
      </c>
      <c r="C275" s="1" t="n">
        <v>45947</v>
      </c>
      <c r="D275" t="inlineStr">
        <is>
          <t>SÖDERMANLANDS LÄN</t>
        </is>
      </c>
      <c r="E275" t="inlineStr">
        <is>
          <t>NYKÖPING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61007-2021</t>
        </is>
      </c>
      <c r="B276" s="1" t="n">
        <v>44497</v>
      </c>
      <c r="C276" s="1" t="n">
        <v>45947</v>
      </c>
      <c r="D276" t="inlineStr">
        <is>
          <t>SÖDERMANLANDS LÄN</t>
        </is>
      </c>
      <c r="E276" t="inlineStr">
        <is>
          <t>NYKÖPING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4877-2024</t>
        </is>
      </c>
      <c r="B277" s="1" t="n">
        <v>45329</v>
      </c>
      <c r="C277" s="1" t="n">
        <v>45947</v>
      </c>
      <c r="D277" t="inlineStr">
        <is>
          <t>SÖDERMANLANDS LÄN</t>
        </is>
      </c>
      <c r="E277" t="inlineStr">
        <is>
          <t>NYKÖPING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60518-2022</t>
        </is>
      </c>
      <c r="B278" s="1" t="n">
        <v>44904</v>
      </c>
      <c r="C278" s="1" t="n">
        <v>45947</v>
      </c>
      <c r="D278" t="inlineStr">
        <is>
          <t>SÖDERMANLANDS LÄN</t>
        </is>
      </c>
      <c r="E278" t="inlineStr">
        <is>
          <t>NYKÖPING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58553-2024</t>
        </is>
      </c>
      <c r="B279" s="1" t="n">
        <v>45635.46380787037</v>
      </c>
      <c r="C279" s="1" t="n">
        <v>45947</v>
      </c>
      <c r="D279" t="inlineStr">
        <is>
          <t>SÖDERMANLANDS LÄN</t>
        </is>
      </c>
      <c r="E279" t="inlineStr">
        <is>
          <t>NYKÖPING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68041-2021</t>
        </is>
      </c>
      <c r="B280" s="1" t="n">
        <v>44525</v>
      </c>
      <c r="C280" s="1" t="n">
        <v>45947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16456-2021</t>
        </is>
      </c>
      <c r="B281" s="1" t="n">
        <v>44293</v>
      </c>
      <c r="C281" s="1" t="n">
        <v>45947</v>
      </c>
      <c r="D281" t="inlineStr">
        <is>
          <t>SÖDERMANLANDS LÄN</t>
        </is>
      </c>
      <c r="E281" t="inlineStr">
        <is>
          <t>NYKÖPING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23118-2023</t>
        </is>
      </c>
      <c r="B282" s="1" t="n">
        <v>45075</v>
      </c>
      <c r="C282" s="1" t="n">
        <v>45947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22693-2025</t>
        </is>
      </c>
      <c r="B283" s="1" t="n">
        <v>45789.53918981482</v>
      </c>
      <c r="C283" s="1" t="n">
        <v>45947</v>
      </c>
      <c r="D283" t="inlineStr">
        <is>
          <t>SÖDERMANLANDS LÄN</t>
        </is>
      </c>
      <c r="E283" t="inlineStr">
        <is>
          <t>NYKÖPING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13955-2023</t>
        </is>
      </c>
      <c r="B284" s="1" t="n">
        <v>45008.46658564815</v>
      </c>
      <c r="C284" s="1" t="n">
        <v>45947</v>
      </c>
      <c r="D284" t="inlineStr">
        <is>
          <t>SÖDERMANLANDS LÄN</t>
        </is>
      </c>
      <c r="E284" t="inlineStr">
        <is>
          <t>NYKÖPING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26574-2023</t>
        </is>
      </c>
      <c r="B285" s="1" t="n">
        <v>45090</v>
      </c>
      <c r="C285" s="1" t="n">
        <v>45947</v>
      </c>
      <c r="D285" t="inlineStr">
        <is>
          <t>SÖDERMANLANDS LÄN</t>
        </is>
      </c>
      <c r="E285" t="inlineStr">
        <is>
          <t>NYKÖPING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34203-2024</t>
        </is>
      </c>
      <c r="B286" s="1" t="n">
        <v>45524</v>
      </c>
      <c r="C286" s="1" t="n">
        <v>45947</v>
      </c>
      <c r="D286" t="inlineStr">
        <is>
          <t>SÖDERMANLANDS LÄN</t>
        </is>
      </c>
      <c r="E286" t="inlineStr">
        <is>
          <t>NYKÖPING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56928-2023</t>
        </is>
      </c>
      <c r="B287" s="1" t="n">
        <v>45244</v>
      </c>
      <c r="C287" s="1" t="n">
        <v>45947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Övriga Aktiebolag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36573-2024</t>
        </is>
      </c>
      <c r="B288" s="1" t="n">
        <v>45537</v>
      </c>
      <c r="C288" s="1" t="n">
        <v>45947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Kommuner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32836-2022</t>
        </is>
      </c>
      <c r="B289" s="1" t="n">
        <v>44784</v>
      </c>
      <c r="C289" s="1" t="n">
        <v>45947</v>
      </c>
      <c r="D289" t="inlineStr">
        <is>
          <t>SÖDERMANLANDS LÄN</t>
        </is>
      </c>
      <c r="E289" t="inlineStr">
        <is>
          <t>NYKÖPING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10619-2025</t>
        </is>
      </c>
      <c r="B290" s="1" t="n">
        <v>45721.61918981482</v>
      </c>
      <c r="C290" s="1" t="n">
        <v>45947</v>
      </c>
      <c r="D290" t="inlineStr">
        <is>
          <t>SÖDERMANLANDS LÄN</t>
        </is>
      </c>
      <c r="E290" t="inlineStr">
        <is>
          <t>NYKÖPING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10622-2025</t>
        </is>
      </c>
      <c r="B291" s="1" t="n">
        <v>45721.62387731481</v>
      </c>
      <c r="C291" s="1" t="n">
        <v>45947</v>
      </c>
      <c r="D291" t="inlineStr">
        <is>
          <t>SÖDERMANLANDS LÄN</t>
        </is>
      </c>
      <c r="E291" t="inlineStr">
        <is>
          <t>NYKÖPING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32721-2022</t>
        </is>
      </c>
      <c r="B292" s="1" t="n">
        <v>44783</v>
      </c>
      <c r="C292" s="1" t="n">
        <v>45947</v>
      </c>
      <c r="D292" t="inlineStr">
        <is>
          <t>SÖDERMANLANDS LÄN</t>
        </is>
      </c>
      <c r="E292" t="inlineStr">
        <is>
          <t>NYKÖPING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50554-2023</t>
        </is>
      </c>
      <c r="B293" s="1" t="n">
        <v>45210</v>
      </c>
      <c r="C293" s="1" t="n">
        <v>45947</v>
      </c>
      <c r="D293" t="inlineStr">
        <is>
          <t>SÖDERMANLANDS LÄN</t>
        </is>
      </c>
      <c r="E293" t="inlineStr">
        <is>
          <t>NYKÖPING</t>
        </is>
      </c>
      <c r="G293" t="n">
        <v>10.9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8378-2024</t>
        </is>
      </c>
      <c r="B294" s="1" t="n">
        <v>45351</v>
      </c>
      <c r="C294" s="1" t="n">
        <v>45947</v>
      </c>
      <c r="D294" t="inlineStr">
        <is>
          <t>SÖDERMANLANDS LÄN</t>
        </is>
      </c>
      <c r="E294" t="inlineStr">
        <is>
          <t>NYKÖPING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8387-2024</t>
        </is>
      </c>
      <c r="B295" s="1" t="n">
        <v>45352</v>
      </c>
      <c r="C295" s="1" t="n">
        <v>45947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Sveaskog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8388-2024</t>
        </is>
      </c>
      <c r="B296" s="1" t="n">
        <v>45352</v>
      </c>
      <c r="C296" s="1" t="n">
        <v>45947</v>
      </c>
      <c r="D296" t="inlineStr">
        <is>
          <t>SÖDERMANLANDS LÄN</t>
        </is>
      </c>
      <c r="E296" t="inlineStr">
        <is>
          <t>NYKÖPING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8392-2024</t>
        </is>
      </c>
      <c r="B297" s="1" t="n">
        <v>45352</v>
      </c>
      <c r="C297" s="1" t="n">
        <v>45947</v>
      </c>
      <c r="D297" t="inlineStr">
        <is>
          <t>SÖDERMANLANDS LÄN</t>
        </is>
      </c>
      <c r="E297" t="inlineStr">
        <is>
          <t>NYKÖPING</t>
        </is>
      </c>
      <c r="F297" t="inlineStr">
        <is>
          <t>Kommuner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56268-2022</t>
        </is>
      </c>
      <c r="B298" s="1" t="n">
        <v>44890</v>
      </c>
      <c r="C298" s="1" t="n">
        <v>45947</v>
      </c>
      <c r="D298" t="inlineStr">
        <is>
          <t>SÖDERMANLANDS LÄN</t>
        </is>
      </c>
      <c r="E298" t="inlineStr">
        <is>
          <t>NYKÖPING</t>
        </is>
      </c>
      <c r="F298" t="inlineStr">
        <is>
          <t>Övriga Aktiebolag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15418-2025</t>
        </is>
      </c>
      <c r="B299" s="1" t="n">
        <v>45747</v>
      </c>
      <c r="C299" s="1" t="n">
        <v>45947</v>
      </c>
      <c r="D299" t="inlineStr">
        <is>
          <t>SÖDERMANLANDS LÄN</t>
        </is>
      </c>
      <c r="E299" t="inlineStr">
        <is>
          <t>NYKÖPING</t>
        </is>
      </c>
      <c r="F299" t="inlineStr">
        <is>
          <t>Sveaskog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51241-2024</t>
        </is>
      </c>
      <c r="B300" s="1" t="n">
        <v>45603.67597222222</v>
      </c>
      <c r="C300" s="1" t="n">
        <v>45947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Sveaskog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22698-2025</t>
        </is>
      </c>
      <c r="B301" s="1" t="n">
        <v>45789.54369212963</v>
      </c>
      <c r="C301" s="1" t="n">
        <v>45947</v>
      </c>
      <c r="D301" t="inlineStr">
        <is>
          <t>SÖDERMANLANDS LÄN</t>
        </is>
      </c>
      <c r="E301" t="inlineStr">
        <is>
          <t>NYKÖPING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7253-2022</t>
        </is>
      </c>
      <c r="B302" s="1" t="n">
        <v>44606</v>
      </c>
      <c r="C302" s="1" t="n">
        <v>45947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Allmännings- och besparingsskogar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43359-2021</t>
        </is>
      </c>
      <c r="B303" s="1" t="n">
        <v>44432</v>
      </c>
      <c r="C303" s="1" t="n">
        <v>45947</v>
      </c>
      <c r="D303" t="inlineStr">
        <is>
          <t>SÖDERMANLANDS LÄN</t>
        </is>
      </c>
      <c r="E303" t="inlineStr">
        <is>
          <t>NYKÖPING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10689-2023</t>
        </is>
      </c>
      <c r="B304" s="1" t="n">
        <v>44988</v>
      </c>
      <c r="C304" s="1" t="n">
        <v>45947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52551-2023</t>
        </is>
      </c>
      <c r="B305" s="1" t="n">
        <v>45218</v>
      </c>
      <c r="C305" s="1" t="n">
        <v>45947</v>
      </c>
      <c r="D305" t="inlineStr">
        <is>
          <t>SÖDERMANLANDS LÄN</t>
        </is>
      </c>
      <c r="E305" t="inlineStr">
        <is>
          <t>NYKÖPING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5857-2024</t>
        </is>
      </c>
      <c r="B306" s="1" t="n">
        <v>45335</v>
      </c>
      <c r="C306" s="1" t="n">
        <v>45947</v>
      </c>
      <c r="D306" t="inlineStr">
        <is>
          <t>SÖDERMANLANDS LÄN</t>
        </is>
      </c>
      <c r="E306" t="inlineStr">
        <is>
          <t>NYKÖPING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59148-2024</t>
        </is>
      </c>
      <c r="B307" s="1" t="n">
        <v>45637.46026620371</v>
      </c>
      <c r="C307" s="1" t="n">
        <v>45947</v>
      </c>
      <c r="D307" t="inlineStr">
        <is>
          <t>SÖDERMANLANDS LÄN</t>
        </is>
      </c>
      <c r="E307" t="inlineStr">
        <is>
          <t>NYKÖPING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56080-2024</t>
        </is>
      </c>
      <c r="B308" s="1" t="n">
        <v>45624.38962962963</v>
      </c>
      <c r="C308" s="1" t="n">
        <v>45947</v>
      </c>
      <c r="D308" t="inlineStr">
        <is>
          <t>SÖDERMANLANDS LÄN</t>
        </is>
      </c>
      <c r="E308" t="inlineStr">
        <is>
          <t>NYKÖPING</t>
        </is>
      </c>
      <c r="G308" t="n">
        <v>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42977-2021</t>
        </is>
      </c>
      <c r="B309" s="1" t="n">
        <v>44430</v>
      </c>
      <c r="C309" s="1" t="n">
        <v>45947</v>
      </c>
      <c r="D309" t="inlineStr">
        <is>
          <t>SÖDERMANLANDS LÄN</t>
        </is>
      </c>
      <c r="E309" t="inlineStr">
        <is>
          <t>NYKÖPING</t>
        </is>
      </c>
      <c r="G309" t="n">
        <v>25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47255-2023</t>
        </is>
      </c>
      <c r="B310" s="1" t="n">
        <v>45202.41581018519</v>
      </c>
      <c r="C310" s="1" t="n">
        <v>45947</v>
      </c>
      <c r="D310" t="inlineStr">
        <is>
          <t>SÖDERMANLANDS LÄN</t>
        </is>
      </c>
      <c r="E310" t="inlineStr">
        <is>
          <t>NYKÖPING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50158-2022</t>
        </is>
      </c>
      <c r="B311" s="1" t="n">
        <v>44865</v>
      </c>
      <c r="C311" s="1" t="n">
        <v>45947</v>
      </c>
      <c r="D311" t="inlineStr">
        <is>
          <t>SÖDERMANLANDS LÄN</t>
        </is>
      </c>
      <c r="E311" t="inlineStr">
        <is>
          <t>NYKÖPING</t>
        </is>
      </c>
      <c r="F311" t="inlineStr">
        <is>
          <t>Holmen skog AB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14257-2024</t>
        </is>
      </c>
      <c r="B312" s="1" t="n">
        <v>45393.53303240741</v>
      </c>
      <c r="C312" s="1" t="n">
        <v>45947</v>
      </c>
      <c r="D312" t="inlineStr">
        <is>
          <t>SÖDERMANLANDS LÄN</t>
        </is>
      </c>
      <c r="E312" t="inlineStr">
        <is>
          <t>NYKÖPING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30003-2021</t>
        </is>
      </c>
      <c r="B313" s="1" t="n">
        <v>44363</v>
      </c>
      <c r="C313" s="1" t="n">
        <v>45947</v>
      </c>
      <c r="D313" t="inlineStr">
        <is>
          <t>SÖDERMANLANDS LÄN</t>
        </is>
      </c>
      <c r="E313" t="inlineStr">
        <is>
          <t>NYKÖPING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61003-2020</t>
        </is>
      </c>
      <c r="B314" s="1" t="n">
        <v>44153</v>
      </c>
      <c r="C314" s="1" t="n">
        <v>45947</v>
      </c>
      <c r="D314" t="inlineStr">
        <is>
          <t>SÖDERMANLANDS LÄN</t>
        </is>
      </c>
      <c r="E314" t="inlineStr">
        <is>
          <t>NYKÖPING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56615-2020</t>
        </is>
      </c>
      <c r="B315" s="1" t="n">
        <v>44137</v>
      </c>
      <c r="C315" s="1" t="n">
        <v>45947</v>
      </c>
      <c r="D315" t="inlineStr">
        <is>
          <t>SÖDERMANLANDS LÄN</t>
        </is>
      </c>
      <c r="E315" t="inlineStr">
        <is>
          <t>NYKÖPING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5312-2024</t>
        </is>
      </c>
      <c r="B316" s="1" t="n">
        <v>45330</v>
      </c>
      <c r="C316" s="1" t="n">
        <v>45947</v>
      </c>
      <c r="D316" t="inlineStr">
        <is>
          <t>SÖDERMANLANDS LÄN</t>
        </is>
      </c>
      <c r="E316" t="inlineStr">
        <is>
          <t>NYKÖPING</t>
        </is>
      </c>
      <c r="G316" t="n">
        <v>10.9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44820-2022</t>
        </is>
      </c>
      <c r="B317" s="1" t="n">
        <v>44839</v>
      </c>
      <c r="C317" s="1" t="n">
        <v>45947</v>
      </c>
      <c r="D317" t="inlineStr">
        <is>
          <t>SÖDERMANLANDS LÄN</t>
        </is>
      </c>
      <c r="E317" t="inlineStr">
        <is>
          <t>NYKÖPING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44908-2022</t>
        </is>
      </c>
      <c r="B318" s="1" t="n">
        <v>44840</v>
      </c>
      <c r="C318" s="1" t="n">
        <v>45947</v>
      </c>
      <c r="D318" t="inlineStr">
        <is>
          <t>SÖDERMANLANDS LÄN</t>
        </is>
      </c>
      <c r="E318" t="inlineStr">
        <is>
          <t>NYKÖPING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7008-2024</t>
        </is>
      </c>
      <c r="B319" s="1" t="n">
        <v>45343.55482638889</v>
      </c>
      <c r="C319" s="1" t="n">
        <v>45947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341-2025</t>
        </is>
      </c>
      <c r="B320" s="1" t="n">
        <v>45660.70398148148</v>
      </c>
      <c r="C320" s="1" t="n">
        <v>45947</v>
      </c>
      <c r="D320" t="inlineStr">
        <is>
          <t>SÖDERMANLANDS LÄN</t>
        </is>
      </c>
      <c r="E320" t="inlineStr">
        <is>
          <t>NYKÖPING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61006-2020</t>
        </is>
      </c>
      <c r="B321" s="1" t="n">
        <v>44153</v>
      </c>
      <c r="C321" s="1" t="n">
        <v>45947</v>
      </c>
      <c r="D321" t="inlineStr">
        <is>
          <t>SÖDERMANLANDS LÄN</t>
        </is>
      </c>
      <c r="E321" t="inlineStr">
        <is>
          <t>NYKÖPING</t>
        </is>
      </c>
      <c r="G321" t="n">
        <v>13.6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39149-2023</t>
        </is>
      </c>
      <c r="B322" s="1" t="n">
        <v>45166</v>
      </c>
      <c r="C322" s="1" t="n">
        <v>45947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Holmen skog AB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18941-2023</t>
        </is>
      </c>
      <c r="B323" s="1" t="n">
        <v>45044.63796296297</v>
      </c>
      <c r="C323" s="1" t="n">
        <v>45947</v>
      </c>
      <c r="D323" t="inlineStr">
        <is>
          <t>SÖDERMANLANDS LÄN</t>
        </is>
      </c>
      <c r="E323" t="inlineStr">
        <is>
          <t>NYKÖPING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68024-2021</t>
        </is>
      </c>
      <c r="B324" s="1" t="n">
        <v>44525.90890046296</v>
      </c>
      <c r="C324" s="1" t="n">
        <v>45947</v>
      </c>
      <c r="D324" t="inlineStr">
        <is>
          <t>SÖDERMANLANDS LÄN</t>
        </is>
      </c>
      <c r="E324" t="inlineStr">
        <is>
          <t>NYKÖPING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68030-2021</t>
        </is>
      </c>
      <c r="B325" s="1" t="n">
        <v>44525.9234375</v>
      </c>
      <c r="C325" s="1" t="n">
        <v>45947</v>
      </c>
      <c r="D325" t="inlineStr">
        <is>
          <t>SÖDERMANLANDS LÄN</t>
        </is>
      </c>
      <c r="E325" t="inlineStr">
        <is>
          <t>NYKÖPING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20327-2023</t>
        </is>
      </c>
      <c r="B326" s="1" t="n">
        <v>45056</v>
      </c>
      <c r="C326" s="1" t="n">
        <v>45947</v>
      </c>
      <c r="D326" t="inlineStr">
        <is>
          <t>SÖDERMANLANDS LÄN</t>
        </is>
      </c>
      <c r="E326" t="inlineStr">
        <is>
          <t>NYKÖPING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54846-2020</t>
        </is>
      </c>
      <c r="B327" s="1" t="n">
        <v>44126</v>
      </c>
      <c r="C327" s="1" t="n">
        <v>45947</v>
      </c>
      <c r="D327" t="inlineStr">
        <is>
          <t>SÖDERMANLANDS LÄN</t>
        </is>
      </c>
      <c r="E327" t="inlineStr">
        <is>
          <t>NYKÖPING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12157-2025</t>
        </is>
      </c>
      <c r="B328" s="1" t="n">
        <v>45729.41755787037</v>
      </c>
      <c r="C328" s="1" t="n">
        <v>45947</v>
      </c>
      <c r="D328" t="inlineStr">
        <is>
          <t>SÖDERMANLANDS LÄN</t>
        </is>
      </c>
      <c r="E328" t="inlineStr">
        <is>
          <t>NYKÖPING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8006-2024</t>
        </is>
      </c>
      <c r="B329" s="1" t="n">
        <v>45350.66584490741</v>
      </c>
      <c r="C329" s="1" t="n">
        <v>45947</v>
      </c>
      <c r="D329" t="inlineStr">
        <is>
          <t>SÖDERMANLANDS LÄN</t>
        </is>
      </c>
      <c r="E329" t="inlineStr">
        <is>
          <t>NYKÖPING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36714-2023</t>
        </is>
      </c>
      <c r="B330" s="1" t="n">
        <v>45153</v>
      </c>
      <c r="C330" s="1" t="n">
        <v>45947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Kommuner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14370-2022</t>
        </is>
      </c>
      <c r="B331" s="1" t="n">
        <v>44652</v>
      </c>
      <c r="C331" s="1" t="n">
        <v>45947</v>
      </c>
      <c r="D331" t="inlineStr">
        <is>
          <t>SÖDERMANLANDS LÄN</t>
        </is>
      </c>
      <c r="E331" t="inlineStr">
        <is>
          <t>NYKÖPING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53071-2024</t>
        </is>
      </c>
      <c r="B332" s="1" t="n">
        <v>45611.48289351852</v>
      </c>
      <c r="C332" s="1" t="n">
        <v>45947</v>
      </c>
      <c r="D332" t="inlineStr">
        <is>
          <t>SÖDERMANLANDS LÄN</t>
        </is>
      </c>
      <c r="E332" t="inlineStr">
        <is>
          <t>NYKÖPING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54024-2022</t>
        </is>
      </c>
      <c r="B333" s="1" t="n">
        <v>44881</v>
      </c>
      <c r="C333" s="1" t="n">
        <v>45947</v>
      </c>
      <c r="D333" t="inlineStr">
        <is>
          <t>SÖDERMANLANDS LÄN</t>
        </is>
      </c>
      <c r="E333" t="inlineStr">
        <is>
          <t>NYKÖPING</t>
        </is>
      </c>
      <c r="G333" t="n">
        <v>16.2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12226-2024</t>
        </is>
      </c>
      <c r="B334" s="1" t="n">
        <v>45378.34151620371</v>
      </c>
      <c r="C334" s="1" t="n">
        <v>45947</v>
      </c>
      <c r="D334" t="inlineStr">
        <is>
          <t>SÖDERMANLANDS LÄN</t>
        </is>
      </c>
      <c r="E334" t="inlineStr">
        <is>
          <t>NYKÖPING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18918-2023</t>
        </is>
      </c>
      <c r="B335" s="1" t="n">
        <v>45044</v>
      </c>
      <c r="C335" s="1" t="n">
        <v>45947</v>
      </c>
      <c r="D335" t="inlineStr">
        <is>
          <t>SÖDERMANLANDS LÄN</t>
        </is>
      </c>
      <c r="E335" t="inlineStr">
        <is>
          <t>NYKÖPING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18926-2023</t>
        </is>
      </c>
      <c r="B336" s="1" t="n">
        <v>45044.60363425926</v>
      </c>
      <c r="C336" s="1" t="n">
        <v>45947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Holmen skog AB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12538-2025</t>
        </is>
      </c>
      <c r="B337" s="1" t="n">
        <v>45730.74708333334</v>
      </c>
      <c r="C337" s="1" t="n">
        <v>45947</v>
      </c>
      <c r="D337" t="inlineStr">
        <is>
          <t>SÖDERMANLANDS LÄN</t>
        </is>
      </c>
      <c r="E337" t="inlineStr">
        <is>
          <t>NYKÖPING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32056-2021</t>
        </is>
      </c>
      <c r="B338" s="1" t="n">
        <v>44370</v>
      </c>
      <c r="C338" s="1" t="n">
        <v>45947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Holmen skog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23778-2025</t>
        </is>
      </c>
      <c r="B339" s="1" t="n">
        <v>45793.50888888889</v>
      </c>
      <c r="C339" s="1" t="n">
        <v>45947</v>
      </c>
      <c r="D339" t="inlineStr">
        <is>
          <t>SÖDERMANLANDS LÄN</t>
        </is>
      </c>
      <c r="E339" t="inlineStr">
        <is>
          <t>NYKÖPING</t>
        </is>
      </c>
      <c r="F339" t="inlineStr">
        <is>
          <t>Holmen skog AB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49223-2022</t>
        </is>
      </c>
      <c r="B340" s="1" t="n">
        <v>44858</v>
      </c>
      <c r="C340" s="1" t="n">
        <v>45947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Övriga statliga verk och myndigheter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15419-2025</t>
        </is>
      </c>
      <c r="B341" s="1" t="n">
        <v>45747.46189814815</v>
      </c>
      <c r="C341" s="1" t="n">
        <v>45947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Sveaskog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42249-2022</t>
        </is>
      </c>
      <c r="B342" s="1" t="n">
        <v>44830</v>
      </c>
      <c r="C342" s="1" t="n">
        <v>45947</v>
      </c>
      <c r="D342" t="inlineStr">
        <is>
          <t>SÖDERMANLANDS LÄN</t>
        </is>
      </c>
      <c r="E342" t="inlineStr">
        <is>
          <t>NYKÖPING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11728-2022</t>
        </is>
      </c>
      <c r="B343" s="1" t="n">
        <v>44634</v>
      </c>
      <c r="C343" s="1" t="n">
        <v>45947</v>
      </c>
      <c r="D343" t="inlineStr">
        <is>
          <t>SÖDERMANLANDS LÄN</t>
        </is>
      </c>
      <c r="E343" t="inlineStr">
        <is>
          <t>NYKÖPING</t>
        </is>
      </c>
      <c r="G343" t="n">
        <v>11.4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21062-2023</t>
        </is>
      </c>
      <c r="B344" s="1" t="n">
        <v>45061</v>
      </c>
      <c r="C344" s="1" t="n">
        <v>45947</v>
      </c>
      <c r="D344" t="inlineStr">
        <is>
          <t>SÖDERMANLANDS LÄN</t>
        </is>
      </c>
      <c r="E344" t="inlineStr">
        <is>
          <t>NYKÖPING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10287-2024</t>
        </is>
      </c>
      <c r="B345" s="1" t="n">
        <v>45365.46865740741</v>
      </c>
      <c r="C345" s="1" t="n">
        <v>45947</v>
      </c>
      <c r="D345" t="inlineStr">
        <is>
          <t>SÖDERMANLANDS LÄN</t>
        </is>
      </c>
      <c r="E345" t="inlineStr">
        <is>
          <t>NYKÖPING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51558-2024</t>
        </is>
      </c>
      <c r="B346" s="1" t="n">
        <v>45604.61385416667</v>
      </c>
      <c r="C346" s="1" t="n">
        <v>45947</v>
      </c>
      <c r="D346" t="inlineStr">
        <is>
          <t>SÖDERMANLANDS LÄN</t>
        </is>
      </c>
      <c r="E346" t="inlineStr">
        <is>
          <t>NYKÖPING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41137-2022</t>
        </is>
      </c>
      <c r="B347" s="1" t="n">
        <v>44825</v>
      </c>
      <c r="C347" s="1" t="n">
        <v>45947</v>
      </c>
      <c r="D347" t="inlineStr">
        <is>
          <t>SÖDERMANLANDS LÄN</t>
        </is>
      </c>
      <c r="E347" t="inlineStr">
        <is>
          <t>NYKÖPING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43880-2023</t>
        </is>
      </c>
      <c r="B348" s="1" t="n">
        <v>45187</v>
      </c>
      <c r="C348" s="1" t="n">
        <v>45947</v>
      </c>
      <c r="D348" t="inlineStr">
        <is>
          <t>SÖDERMANLANDS LÄN</t>
        </is>
      </c>
      <c r="E348" t="inlineStr">
        <is>
          <t>NYKÖPING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13296-2023</t>
        </is>
      </c>
      <c r="B349" s="1" t="n">
        <v>45005.33341435185</v>
      </c>
      <c r="C349" s="1" t="n">
        <v>45947</v>
      </c>
      <c r="D349" t="inlineStr">
        <is>
          <t>SÖDERMANLANDS LÄN</t>
        </is>
      </c>
      <c r="E349" t="inlineStr">
        <is>
          <t>NYKÖPING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21127-2024</t>
        </is>
      </c>
      <c r="B350" s="1" t="n">
        <v>45440</v>
      </c>
      <c r="C350" s="1" t="n">
        <v>45947</v>
      </c>
      <c r="D350" t="inlineStr">
        <is>
          <t>SÖDERMANLANDS LÄN</t>
        </is>
      </c>
      <c r="E350" t="inlineStr">
        <is>
          <t>NYKÖPING</t>
        </is>
      </c>
      <c r="F350" t="inlineStr">
        <is>
          <t>Kommuner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18500-2024</t>
        </is>
      </c>
      <c r="B351" s="1" t="n">
        <v>45424</v>
      </c>
      <c r="C351" s="1" t="n">
        <v>45947</v>
      </c>
      <c r="D351" t="inlineStr">
        <is>
          <t>SÖDERMANLANDS LÄN</t>
        </is>
      </c>
      <c r="E351" t="inlineStr">
        <is>
          <t>NYKÖPING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21480-2024</t>
        </is>
      </c>
      <c r="B352" s="1" t="n">
        <v>45441.52587962963</v>
      </c>
      <c r="C352" s="1" t="n">
        <v>45947</v>
      </c>
      <c r="D352" t="inlineStr">
        <is>
          <t>SÖDERMANLANDS LÄN</t>
        </is>
      </c>
      <c r="E352" t="inlineStr">
        <is>
          <t>NYKÖPING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2598-2025</t>
        </is>
      </c>
      <c r="B353" s="1" t="n">
        <v>45674</v>
      </c>
      <c r="C353" s="1" t="n">
        <v>45947</v>
      </c>
      <c r="D353" t="inlineStr">
        <is>
          <t>SÖDERMANLANDS LÄN</t>
        </is>
      </c>
      <c r="E353" t="inlineStr">
        <is>
          <t>NYKÖPING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1820-2023</t>
        </is>
      </c>
      <c r="B354" s="1" t="n">
        <v>44938.65421296296</v>
      </c>
      <c r="C354" s="1" t="n">
        <v>45947</v>
      </c>
      <c r="D354" t="inlineStr">
        <is>
          <t>SÖDERMANLANDS LÄN</t>
        </is>
      </c>
      <c r="E354" t="inlineStr">
        <is>
          <t>NYKÖPING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67543-2020</t>
        </is>
      </c>
      <c r="B355" s="1" t="n">
        <v>44181</v>
      </c>
      <c r="C355" s="1" t="n">
        <v>45947</v>
      </c>
      <c r="D355" t="inlineStr">
        <is>
          <t>SÖDERMANLANDS LÄN</t>
        </is>
      </c>
      <c r="E355" t="inlineStr">
        <is>
          <t>NYKÖPING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30860-2023</t>
        </is>
      </c>
      <c r="B356" s="1" t="n">
        <v>45110</v>
      </c>
      <c r="C356" s="1" t="n">
        <v>45947</v>
      </c>
      <c r="D356" t="inlineStr">
        <is>
          <t>SÖDERMANLANDS LÄN</t>
        </is>
      </c>
      <c r="E356" t="inlineStr">
        <is>
          <t>NYKÖPING</t>
        </is>
      </c>
      <c r="G356" t="n">
        <v>11.5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14930-2024</t>
        </is>
      </c>
      <c r="B357" s="1" t="n">
        <v>45398</v>
      </c>
      <c r="C357" s="1" t="n">
        <v>45947</v>
      </c>
      <c r="D357" t="inlineStr">
        <is>
          <t>SÖDERMANLANDS LÄN</t>
        </is>
      </c>
      <c r="E357" t="inlineStr">
        <is>
          <t>NYKÖPING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9842-2022</t>
        </is>
      </c>
      <c r="B358" s="1" t="n">
        <v>44620</v>
      </c>
      <c r="C358" s="1" t="n">
        <v>45947</v>
      </c>
      <c r="D358" t="inlineStr">
        <is>
          <t>SÖDERMANLANDS LÄN</t>
        </is>
      </c>
      <c r="E358" t="inlineStr">
        <is>
          <t>NYKÖPING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10955-2024</t>
        </is>
      </c>
      <c r="B359" s="1" t="n">
        <v>45370</v>
      </c>
      <c r="C359" s="1" t="n">
        <v>45947</v>
      </c>
      <c r="D359" t="inlineStr">
        <is>
          <t>SÖDERMANLANDS LÄN</t>
        </is>
      </c>
      <c r="E359" t="inlineStr">
        <is>
          <t>NYKÖPING</t>
        </is>
      </c>
      <c r="F359" t="inlineStr">
        <is>
          <t>Kommuner</t>
        </is>
      </c>
      <c r="G359" t="n">
        <v>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4461-2021</t>
        </is>
      </c>
      <c r="B360" s="1" t="n">
        <v>44224</v>
      </c>
      <c r="C360" s="1" t="n">
        <v>45947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Holmen skog AB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38394-2024</t>
        </is>
      </c>
      <c r="B361" s="1" t="n">
        <v>45546.32984953704</v>
      </c>
      <c r="C361" s="1" t="n">
        <v>45947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Holmen skog AB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38745-2023</t>
        </is>
      </c>
      <c r="B362" s="1" t="n">
        <v>45161</v>
      </c>
      <c r="C362" s="1" t="n">
        <v>45947</v>
      </c>
      <c r="D362" t="inlineStr">
        <is>
          <t>SÖDERMANLANDS LÄN</t>
        </is>
      </c>
      <c r="E362" t="inlineStr">
        <is>
          <t>NYKÖPING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59159-2022</t>
        </is>
      </c>
      <c r="B363" s="1" t="n">
        <v>44896</v>
      </c>
      <c r="C363" s="1" t="n">
        <v>45947</v>
      </c>
      <c r="D363" t="inlineStr">
        <is>
          <t>SÖDERMANLANDS LÄN</t>
        </is>
      </c>
      <c r="E363" t="inlineStr">
        <is>
          <t>NYKÖPING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35458-2023</t>
        </is>
      </c>
      <c r="B364" s="1" t="n">
        <v>45146</v>
      </c>
      <c r="C364" s="1" t="n">
        <v>45947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Holmen skog AB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61008-2023</t>
        </is>
      </c>
      <c r="B365" s="1" t="n">
        <v>45261</v>
      </c>
      <c r="C365" s="1" t="n">
        <v>45947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Holmen skog AB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45930-2022</t>
        </is>
      </c>
      <c r="B366" s="1" t="n">
        <v>44846.6333912037</v>
      </c>
      <c r="C366" s="1" t="n">
        <v>45947</v>
      </c>
      <c r="D366" t="inlineStr">
        <is>
          <t>SÖDERMANLANDS LÄN</t>
        </is>
      </c>
      <c r="E366" t="inlineStr">
        <is>
          <t>NYKÖPING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65172-2023</t>
        </is>
      </c>
      <c r="B367" s="1" t="n">
        <v>45288</v>
      </c>
      <c r="C367" s="1" t="n">
        <v>45947</v>
      </c>
      <c r="D367" t="inlineStr">
        <is>
          <t>SÖDERMANLANDS LÄN</t>
        </is>
      </c>
      <c r="E367" t="inlineStr">
        <is>
          <t>NYKÖPING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45856-2021</t>
        </is>
      </c>
      <c r="B368" s="1" t="n">
        <v>44433</v>
      </c>
      <c r="C368" s="1" t="n">
        <v>45947</v>
      </c>
      <c r="D368" t="inlineStr">
        <is>
          <t>SÖDERMANLANDS LÄN</t>
        </is>
      </c>
      <c r="E368" t="inlineStr">
        <is>
          <t>NYKÖPING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39368-2021</t>
        </is>
      </c>
      <c r="B369" s="1" t="n">
        <v>44414.37789351852</v>
      </c>
      <c r="C369" s="1" t="n">
        <v>45947</v>
      </c>
      <c r="D369" t="inlineStr">
        <is>
          <t>SÖDERMANLANDS LÄN</t>
        </is>
      </c>
      <c r="E369" t="inlineStr">
        <is>
          <t>NYKÖPING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52373-2023</t>
        </is>
      </c>
      <c r="B370" s="1" t="n">
        <v>45224</v>
      </c>
      <c r="C370" s="1" t="n">
        <v>45947</v>
      </c>
      <c r="D370" t="inlineStr">
        <is>
          <t>SÖDERMANLANDS LÄN</t>
        </is>
      </c>
      <c r="E370" t="inlineStr">
        <is>
          <t>NYKÖPING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52374-2023</t>
        </is>
      </c>
      <c r="B371" s="1" t="n">
        <v>45224</v>
      </c>
      <c r="C371" s="1" t="n">
        <v>45947</v>
      </c>
      <c r="D371" t="inlineStr">
        <is>
          <t>SÖDERMANLANDS LÄN</t>
        </is>
      </c>
      <c r="E371" t="inlineStr">
        <is>
          <t>NYKÖPING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35178-2023</t>
        </is>
      </c>
      <c r="B372" s="1" t="n">
        <v>45145.5899537037</v>
      </c>
      <c r="C372" s="1" t="n">
        <v>45947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Holmen skog AB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42971-2021</t>
        </is>
      </c>
      <c r="B373" s="1" t="n">
        <v>44430</v>
      </c>
      <c r="C373" s="1" t="n">
        <v>45947</v>
      </c>
      <c r="D373" t="inlineStr">
        <is>
          <t>SÖDERMANLANDS LÄN</t>
        </is>
      </c>
      <c r="E373" t="inlineStr">
        <is>
          <t>NYKÖPING</t>
        </is>
      </c>
      <c r="G373" t="n">
        <v>9.4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71115-2021</t>
        </is>
      </c>
      <c r="B374" s="1" t="n">
        <v>44537</v>
      </c>
      <c r="C374" s="1" t="n">
        <v>45947</v>
      </c>
      <c r="D374" t="inlineStr">
        <is>
          <t>SÖDERMANLANDS LÄN</t>
        </is>
      </c>
      <c r="E374" t="inlineStr">
        <is>
          <t>NYKÖPING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55865-2023</t>
        </is>
      </c>
      <c r="B375" s="1" t="n">
        <v>45239</v>
      </c>
      <c r="C375" s="1" t="n">
        <v>45947</v>
      </c>
      <c r="D375" t="inlineStr">
        <is>
          <t>SÖDERMANLANDS LÄN</t>
        </is>
      </c>
      <c r="E375" t="inlineStr">
        <is>
          <t>NYKÖPING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4683-2023</t>
        </is>
      </c>
      <c r="B376" s="1" t="n">
        <v>44957</v>
      </c>
      <c r="C376" s="1" t="n">
        <v>45947</v>
      </c>
      <c r="D376" t="inlineStr">
        <is>
          <t>SÖDERMANLANDS LÄN</t>
        </is>
      </c>
      <c r="E376" t="inlineStr">
        <is>
          <t>NYKÖPING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60634-2022</t>
        </is>
      </c>
      <c r="B377" s="1" t="n">
        <v>44911</v>
      </c>
      <c r="C377" s="1" t="n">
        <v>45947</v>
      </c>
      <c r="D377" t="inlineStr">
        <is>
          <t>SÖDERMANLANDS LÄN</t>
        </is>
      </c>
      <c r="E377" t="inlineStr">
        <is>
          <t>NYKÖPING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39356-2023</t>
        </is>
      </c>
      <c r="B378" s="1" t="n">
        <v>45166</v>
      </c>
      <c r="C378" s="1" t="n">
        <v>45947</v>
      </c>
      <c r="D378" t="inlineStr">
        <is>
          <t>SÖDERMANLANDS LÄN</t>
        </is>
      </c>
      <c r="E378" t="inlineStr">
        <is>
          <t>NYKÖPING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39120-2022</t>
        </is>
      </c>
      <c r="B379" s="1" t="n">
        <v>44817</v>
      </c>
      <c r="C379" s="1" t="n">
        <v>45947</v>
      </c>
      <c r="D379" t="inlineStr">
        <is>
          <t>SÖDERMANLANDS LÄN</t>
        </is>
      </c>
      <c r="E379" t="inlineStr">
        <is>
          <t>NYKÖPING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10977-2024</t>
        </is>
      </c>
      <c r="B380" s="1" t="n">
        <v>45370</v>
      </c>
      <c r="C380" s="1" t="n">
        <v>45947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Kommuner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21925-2022</t>
        </is>
      </c>
      <c r="B381" s="1" t="n">
        <v>44711.46961805555</v>
      </c>
      <c r="C381" s="1" t="n">
        <v>45947</v>
      </c>
      <c r="D381" t="inlineStr">
        <is>
          <t>SÖDERMANLANDS LÄN</t>
        </is>
      </c>
      <c r="E381" t="inlineStr">
        <is>
          <t>NYKÖPING</t>
        </is>
      </c>
      <c r="G381" t="n">
        <v>5.7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19763-2023</t>
        </is>
      </c>
      <c r="B382" s="1" t="n">
        <v>45051</v>
      </c>
      <c r="C382" s="1" t="n">
        <v>45947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Holmen skog AB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2668-2023</t>
        </is>
      </c>
      <c r="B383" s="1" t="n">
        <v>44944</v>
      </c>
      <c r="C383" s="1" t="n">
        <v>45947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Sveaskog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12340-2021</t>
        </is>
      </c>
      <c r="B384" s="1" t="n">
        <v>44267</v>
      </c>
      <c r="C384" s="1" t="n">
        <v>45947</v>
      </c>
      <c r="D384" t="inlineStr">
        <is>
          <t>SÖDERMANLANDS LÄN</t>
        </is>
      </c>
      <c r="E384" t="inlineStr">
        <is>
          <t>NYKÖPING</t>
        </is>
      </c>
      <c r="F384" t="inlineStr">
        <is>
          <t>Holmen skog AB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65923-2021</t>
        </is>
      </c>
      <c r="B385" s="1" t="n">
        <v>44517</v>
      </c>
      <c r="C385" s="1" t="n">
        <v>45947</v>
      </c>
      <c r="D385" t="inlineStr">
        <is>
          <t>SÖDERMANLANDS LÄN</t>
        </is>
      </c>
      <c r="E385" t="inlineStr">
        <is>
          <t>NYKÖPING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25442-2025</t>
        </is>
      </c>
      <c r="B386" s="1" t="n">
        <v>45801.4565162037</v>
      </c>
      <c r="C386" s="1" t="n">
        <v>45947</v>
      </c>
      <c r="D386" t="inlineStr">
        <is>
          <t>SÖDERMANLANDS LÄN</t>
        </is>
      </c>
      <c r="E386" t="inlineStr">
        <is>
          <t>NYKÖPING</t>
        </is>
      </c>
      <c r="G386" t="n">
        <v>4.7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13858-2022</t>
        </is>
      </c>
      <c r="B387" s="1" t="n">
        <v>44649</v>
      </c>
      <c r="C387" s="1" t="n">
        <v>45947</v>
      </c>
      <c r="D387" t="inlineStr">
        <is>
          <t>SÖDERMANLANDS LÄN</t>
        </is>
      </c>
      <c r="E387" t="inlineStr">
        <is>
          <t>NYKÖPING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37907-2022</t>
        </is>
      </c>
      <c r="B388" s="1" t="n">
        <v>44811</v>
      </c>
      <c r="C388" s="1" t="n">
        <v>45947</v>
      </c>
      <c r="D388" t="inlineStr">
        <is>
          <t>SÖDERMANLANDS LÄN</t>
        </is>
      </c>
      <c r="E388" t="inlineStr">
        <is>
          <t>NYKÖPING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37911-2022</t>
        </is>
      </c>
      <c r="B389" s="1" t="n">
        <v>44810</v>
      </c>
      <c r="C389" s="1" t="n">
        <v>45947</v>
      </c>
      <c r="D389" t="inlineStr">
        <is>
          <t>SÖDERMANLANDS LÄN</t>
        </is>
      </c>
      <c r="E389" t="inlineStr">
        <is>
          <t>NYKÖPING</t>
        </is>
      </c>
      <c r="G389" t="n">
        <v>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10283-2024</t>
        </is>
      </c>
      <c r="B390" s="1" t="n">
        <v>45365.46444444444</v>
      </c>
      <c r="C390" s="1" t="n">
        <v>45947</v>
      </c>
      <c r="D390" t="inlineStr">
        <is>
          <t>SÖDERMANLANDS LÄN</t>
        </is>
      </c>
      <c r="E390" t="inlineStr">
        <is>
          <t>NYKÖPING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43952-2022</t>
        </is>
      </c>
      <c r="B391" s="1" t="n">
        <v>44838</v>
      </c>
      <c r="C391" s="1" t="n">
        <v>45947</v>
      </c>
      <c r="D391" t="inlineStr">
        <is>
          <t>SÖDERMANLANDS LÄN</t>
        </is>
      </c>
      <c r="E391" t="inlineStr">
        <is>
          <t>NYKÖPING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44191-2022</t>
        </is>
      </c>
      <c r="B392" s="1" t="n">
        <v>44839</v>
      </c>
      <c r="C392" s="1" t="n">
        <v>45947</v>
      </c>
      <c r="D392" t="inlineStr">
        <is>
          <t>SÖDERMANLANDS LÄN</t>
        </is>
      </c>
      <c r="E392" t="inlineStr">
        <is>
          <t>NYKÖPING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55312-2021</t>
        </is>
      </c>
      <c r="B393" s="1" t="n">
        <v>44475.45990740741</v>
      </c>
      <c r="C393" s="1" t="n">
        <v>45947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Sveaskog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43653-2022</t>
        </is>
      </c>
      <c r="B394" s="1" t="n">
        <v>44837</v>
      </c>
      <c r="C394" s="1" t="n">
        <v>45947</v>
      </c>
      <c r="D394" t="inlineStr">
        <is>
          <t>SÖDERMANLANDS LÄN</t>
        </is>
      </c>
      <c r="E394" t="inlineStr">
        <is>
          <t>NYKÖPING</t>
        </is>
      </c>
      <c r="G394" t="n">
        <v>4.2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48709-2022</t>
        </is>
      </c>
      <c r="B395" s="1" t="n">
        <v>44859</v>
      </c>
      <c r="C395" s="1" t="n">
        <v>45947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Holmen skog AB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37272-2021</t>
        </is>
      </c>
      <c r="B396" s="1" t="n">
        <v>44397.39152777778</v>
      </c>
      <c r="C396" s="1" t="n">
        <v>45947</v>
      </c>
      <c r="D396" t="inlineStr">
        <is>
          <t>SÖDERMANLANDS LÄN</t>
        </is>
      </c>
      <c r="E396" t="inlineStr">
        <is>
          <t>NYKÖPING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60117-2023</t>
        </is>
      </c>
      <c r="B397" s="1" t="n">
        <v>45258</v>
      </c>
      <c r="C397" s="1" t="n">
        <v>45947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Övriga Aktiebolag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1392-2023</t>
        </is>
      </c>
      <c r="B398" s="1" t="n">
        <v>44936</v>
      </c>
      <c r="C398" s="1" t="n">
        <v>45947</v>
      </c>
      <c r="D398" t="inlineStr">
        <is>
          <t>SÖDERMANLANDS LÄN</t>
        </is>
      </c>
      <c r="E398" t="inlineStr">
        <is>
          <t>NYKÖPING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63-2021</t>
        </is>
      </c>
      <c r="B399" s="1" t="n">
        <v>44199</v>
      </c>
      <c r="C399" s="1" t="n">
        <v>45947</v>
      </c>
      <c r="D399" t="inlineStr">
        <is>
          <t>SÖDERMANLANDS LÄN</t>
        </is>
      </c>
      <c r="E399" t="inlineStr">
        <is>
          <t>NYKÖPING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70-2021</t>
        </is>
      </c>
      <c r="B400" s="1" t="n">
        <v>44200</v>
      </c>
      <c r="C400" s="1" t="n">
        <v>45947</v>
      </c>
      <c r="D400" t="inlineStr">
        <is>
          <t>SÖDERMANLANDS LÄN</t>
        </is>
      </c>
      <c r="E400" t="inlineStr">
        <is>
          <t>NYKÖPING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75-2021</t>
        </is>
      </c>
      <c r="B401" s="1" t="n">
        <v>44200</v>
      </c>
      <c r="C401" s="1" t="n">
        <v>45947</v>
      </c>
      <c r="D401" t="inlineStr">
        <is>
          <t>SÖDERMANLANDS LÄN</t>
        </is>
      </c>
      <c r="E401" t="inlineStr">
        <is>
          <t>NYKÖPING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9386-2024</t>
        </is>
      </c>
      <c r="B402" s="1" t="n">
        <v>45359.38408564815</v>
      </c>
      <c r="C402" s="1" t="n">
        <v>45947</v>
      </c>
      <c r="D402" t="inlineStr">
        <is>
          <t>SÖDERMANLANDS LÄN</t>
        </is>
      </c>
      <c r="E402" t="inlineStr">
        <is>
          <t>NYKÖPING</t>
        </is>
      </c>
      <c r="F402" t="inlineStr">
        <is>
          <t>Holmen skog AB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25461-2025</t>
        </is>
      </c>
      <c r="B403" s="1" t="n">
        <v>45802</v>
      </c>
      <c r="C403" s="1" t="n">
        <v>45947</v>
      </c>
      <c r="D403" t="inlineStr">
        <is>
          <t>SÖDERMANLANDS LÄN</t>
        </is>
      </c>
      <c r="E403" t="inlineStr">
        <is>
          <t>NYKÖPING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24798-2022</t>
        </is>
      </c>
      <c r="B404" s="1" t="n">
        <v>44728.40604166667</v>
      </c>
      <c r="C404" s="1" t="n">
        <v>45947</v>
      </c>
      <c r="D404" t="inlineStr">
        <is>
          <t>SÖDERMANLANDS LÄN</t>
        </is>
      </c>
      <c r="E404" t="inlineStr">
        <is>
          <t>NYKÖPING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10353-2025</t>
        </is>
      </c>
      <c r="B405" s="1" t="n">
        <v>45720.51685185185</v>
      </c>
      <c r="C405" s="1" t="n">
        <v>45947</v>
      </c>
      <c r="D405" t="inlineStr">
        <is>
          <t>SÖDERMANLANDS LÄN</t>
        </is>
      </c>
      <c r="E405" t="inlineStr">
        <is>
          <t>NYKÖPING</t>
        </is>
      </c>
      <c r="G405" t="n">
        <v>7.8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25488-2025</t>
        </is>
      </c>
      <c r="B406" s="1" t="n">
        <v>45803.28027777778</v>
      </c>
      <c r="C406" s="1" t="n">
        <v>45947</v>
      </c>
      <c r="D406" t="inlineStr">
        <is>
          <t>SÖDERMANLANDS LÄN</t>
        </is>
      </c>
      <c r="E406" t="inlineStr">
        <is>
          <t>NYKÖPING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39321-2023</t>
        </is>
      </c>
      <c r="B407" s="1" t="n">
        <v>45166.58883101852</v>
      </c>
      <c r="C407" s="1" t="n">
        <v>45947</v>
      </c>
      <c r="D407" t="inlineStr">
        <is>
          <t>SÖDERMANLANDS LÄN</t>
        </is>
      </c>
      <c r="E407" t="inlineStr">
        <is>
          <t>NYKÖPING</t>
        </is>
      </c>
      <c r="F407" t="inlineStr">
        <is>
          <t>Holmen skog AB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4124-2025</t>
        </is>
      </c>
      <c r="B408" s="1" t="n">
        <v>45685.31189814815</v>
      </c>
      <c r="C408" s="1" t="n">
        <v>45947</v>
      </c>
      <c r="D408" t="inlineStr">
        <is>
          <t>SÖDERMANLANDS LÄN</t>
        </is>
      </c>
      <c r="E408" t="inlineStr">
        <is>
          <t>NYKÖPING</t>
        </is>
      </c>
      <c r="F408" t="inlineStr">
        <is>
          <t>Holmen skog AB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4182-2025</t>
        </is>
      </c>
      <c r="B409" s="1" t="n">
        <v>45685</v>
      </c>
      <c r="C409" s="1" t="n">
        <v>45947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Holmen skog AB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38155-2022</t>
        </is>
      </c>
      <c r="B410" s="1" t="n">
        <v>44812</v>
      </c>
      <c r="C410" s="1" t="n">
        <v>45947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346-2021</t>
        </is>
      </c>
      <c r="B411" s="1" t="n">
        <v>44200</v>
      </c>
      <c r="C411" s="1" t="n">
        <v>45947</v>
      </c>
      <c r="D411" t="inlineStr">
        <is>
          <t>SÖDERMANLANDS LÄN</t>
        </is>
      </c>
      <c r="E411" t="inlineStr">
        <is>
          <t>NYKÖPING</t>
        </is>
      </c>
      <c r="F411" t="inlineStr">
        <is>
          <t>Allmännings- och besparingsskogar</t>
        </is>
      </c>
      <c r="G411" t="n">
        <v>18.1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24280-2022</t>
        </is>
      </c>
      <c r="B412" s="1" t="n">
        <v>44725</v>
      </c>
      <c r="C412" s="1" t="n">
        <v>45947</v>
      </c>
      <c r="D412" t="inlineStr">
        <is>
          <t>SÖDERMANLANDS LÄN</t>
        </is>
      </c>
      <c r="E412" t="inlineStr">
        <is>
          <t>NYKÖPING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27151-2021</t>
        </is>
      </c>
      <c r="B413" s="1" t="n">
        <v>44350</v>
      </c>
      <c r="C413" s="1" t="n">
        <v>45947</v>
      </c>
      <c r="D413" t="inlineStr">
        <is>
          <t>SÖDERMANLANDS LÄN</t>
        </is>
      </c>
      <c r="E413" t="inlineStr">
        <is>
          <t>NYKÖPING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31424-2022</t>
        </is>
      </c>
      <c r="B414" s="1" t="n">
        <v>44774</v>
      </c>
      <c r="C414" s="1" t="n">
        <v>45947</v>
      </c>
      <c r="D414" t="inlineStr">
        <is>
          <t>SÖDERMANLANDS LÄN</t>
        </is>
      </c>
      <c r="E414" t="inlineStr">
        <is>
          <t>NYKÖPING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47370-2022</t>
        </is>
      </c>
      <c r="B415" s="1" t="n">
        <v>44853</v>
      </c>
      <c r="C415" s="1" t="n">
        <v>45947</v>
      </c>
      <c r="D415" t="inlineStr">
        <is>
          <t>SÖDERMANLANDS LÄN</t>
        </is>
      </c>
      <c r="E415" t="inlineStr">
        <is>
          <t>NYKÖPING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8742-2021</t>
        </is>
      </c>
      <c r="B416" s="1" t="n">
        <v>44246</v>
      </c>
      <c r="C416" s="1" t="n">
        <v>45947</v>
      </c>
      <c r="D416" t="inlineStr">
        <is>
          <t>SÖDERMANLANDS LÄN</t>
        </is>
      </c>
      <c r="E416" t="inlineStr">
        <is>
          <t>NYKÖPING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55696-2020</t>
        </is>
      </c>
      <c r="B417" s="1" t="n">
        <v>44132</v>
      </c>
      <c r="C417" s="1" t="n">
        <v>45947</v>
      </c>
      <c r="D417" t="inlineStr">
        <is>
          <t>SÖDERMANLANDS LÄN</t>
        </is>
      </c>
      <c r="E417" t="inlineStr">
        <is>
          <t>NYKÖPING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55709-2020</t>
        </is>
      </c>
      <c r="B418" s="1" t="n">
        <v>44132</v>
      </c>
      <c r="C418" s="1" t="n">
        <v>45947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Kommuner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41646-2021</t>
        </is>
      </c>
      <c r="B419" s="1" t="n">
        <v>44425</v>
      </c>
      <c r="C419" s="1" t="n">
        <v>45947</v>
      </c>
      <c r="D419" t="inlineStr">
        <is>
          <t>SÖDERMANLANDS LÄN</t>
        </is>
      </c>
      <c r="E419" t="inlineStr">
        <is>
          <t>NYKÖPING</t>
        </is>
      </c>
      <c r="G419" t="n">
        <v>7.7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38508-2023</t>
        </is>
      </c>
      <c r="B420" s="1" t="n">
        <v>45162</v>
      </c>
      <c r="C420" s="1" t="n">
        <v>45947</v>
      </c>
      <c r="D420" t="inlineStr">
        <is>
          <t>SÖDERMANLANDS LÄN</t>
        </is>
      </c>
      <c r="E420" t="inlineStr">
        <is>
          <t>NYKÖPING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68-2021</t>
        </is>
      </c>
      <c r="B421" s="1" t="n">
        <v>44199</v>
      </c>
      <c r="C421" s="1" t="n">
        <v>45947</v>
      </c>
      <c r="D421" t="inlineStr">
        <is>
          <t>SÖDERMANLANDS LÄN</t>
        </is>
      </c>
      <c r="E421" t="inlineStr">
        <is>
          <t>NYKÖPING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76-2021</t>
        </is>
      </c>
      <c r="B422" s="1" t="n">
        <v>44200</v>
      </c>
      <c r="C422" s="1" t="n">
        <v>45947</v>
      </c>
      <c r="D422" t="inlineStr">
        <is>
          <t>SÖDERMANLANDS LÄN</t>
        </is>
      </c>
      <c r="E422" t="inlineStr">
        <is>
          <t>NYKÖPING</t>
        </is>
      </c>
      <c r="G422" t="n">
        <v>6.9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43585-2022</t>
        </is>
      </c>
      <c r="B423" s="1" t="n">
        <v>44837</v>
      </c>
      <c r="C423" s="1" t="n">
        <v>45947</v>
      </c>
      <c r="D423" t="inlineStr">
        <is>
          <t>SÖDERMANLANDS LÄN</t>
        </is>
      </c>
      <c r="E423" t="inlineStr">
        <is>
          <t>NYKÖPING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13455-2022</t>
        </is>
      </c>
      <c r="B424" s="1" t="n">
        <v>44645.64319444444</v>
      </c>
      <c r="C424" s="1" t="n">
        <v>45947</v>
      </c>
      <c r="D424" t="inlineStr">
        <is>
          <t>SÖDERMANLANDS LÄN</t>
        </is>
      </c>
      <c r="E424" t="inlineStr">
        <is>
          <t>NYKÖPING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32837-2022</t>
        </is>
      </c>
      <c r="B425" s="1" t="n">
        <v>44784</v>
      </c>
      <c r="C425" s="1" t="n">
        <v>45947</v>
      </c>
      <c r="D425" t="inlineStr">
        <is>
          <t>SÖDERMANLANDS LÄN</t>
        </is>
      </c>
      <c r="E425" t="inlineStr">
        <is>
          <t>NYKÖPING</t>
        </is>
      </c>
      <c r="F425" t="inlineStr">
        <is>
          <t>Kommuner</t>
        </is>
      </c>
      <c r="G425" t="n">
        <v>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26720-2025</t>
        </is>
      </c>
      <c r="B426" s="1" t="n">
        <v>45810.48511574074</v>
      </c>
      <c r="C426" s="1" t="n">
        <v>45947</v>
      </c>
      <c r="D426" t="inlineStr">
        <is>
          <t>SÖDERMANLANDS LÄN</t>
        </is>
      </c>
      <c r="E426" t="inlineStr">
        <is>
          <t>NYKÖPING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26726-2025</t>
        </is>
      </c>
      <c r="B427" s="1" t="n">
        <v>45810.49662037037</v>
      </c>
      <c r="C427" s="1" t="n">
        <v>45947</v>
      </c>
      <c r="D427" t="inlineStr">
        <is>
          <t>SÖDERMANLANDS LÄN</t>
        </is>
      </c>
      <c r="E427" t="inlineStr">
        <is>
          <t>NYKÖPING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49223-2022</t>
        </is>
      </c>
      <c r="B428" s="1" t="n">
        <v>44858</v>
      </c>
      <c r="C428" s="1" t="n">
        <v>45947</v>
      </c>
      <c r="D428" t="inlineStr">
        <is>
          <t>SÖDERMANLANDS LÄN</t>
        </is>
      </c>
      <c r="E428" t="inlineStr">
        <is>
          <t>NYKÖPING</t>
        </is>
      </c>
      <c r="F428" t="inlineStr">
        <is>
          <t>Övriga statliga verk och myndigheter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3475-2023</t>
        </is>
      </c>
      <c r="B429" s="1" t="n">
        <v>44949</v>
      </c>
      <c r="C429" s="1" t="n">
        <v>45947</v>
      </c>
      <c r="D429" t="inlineStr">
        <is>
          <t>SÖDERMANLANDS LÄN</t>
        </is>
      </c>
      <c r="E429" t="inlineStr">
        <is>
          <t>NYKÖPING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2059-2025</t>
        </is>
      </c>
      <c r="B430" s="1" t="n">
        <v>45672</v>
      </c>
      <c r="C430" s="1" t="n">
        <v>45947</v>
      </c>
      <c r="D430" t="inlineStr">
        <is>
          <t>SÖDERMANLANDS LÄN</t>
        </is>
      </c>
      <c r="E430" t="inlineStr">
        <is>
          <t>NYKÖPING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12451-2025</t>
        </is>
      </c>
      <c r="B431" s="1" t="n">
        <v>45730.51428240741</v>
      </c>
      <c r="C431" s="1" t="n">
        <v>45947</v>
      </c>
      <c r="D431" t="inlineStr">
        <is>
          <t>SÖDERMANLANDS LÄN</t>
        </is>
      </c>
      <c r="E431" t="inlineStr">
        <is>
          <t>NYKÖPING</t>
        </is>
      </c>
      <c r="G431" t="n">
        <v>6.9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51699-2023</t>
        </is>
      </c>
      <c r="B432" s="1" t="n">
        <v>45222</v>
      </c>
      <c r="C432" s="1" t="n">
        <v>45947</v>
      </c>
      <c r="D432" t="inlineStr">
        <is>
          <t>SÖDERMANLANDS LÄN</t>
        </is>
      </c>
      <c r="E432" t="inlineStr">
        <is>
          <t>NYKÖPING</t>
        </is>
      </c>
      <c r="F432" t="inlineStr">
        <is>
          <t>Holmen skog AB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24829-2024</t>
        </is>
      </c>
      <c r="B433" s="1" t="n">
        <v>45461</v>
      </c>
      <c r="C433" s="1" t="n">
        <v>45947</v>
      </c>
      <c r="D433" t="inlineStr">
        <is>
          <t>SÖDERMANLANDS LÄN</t>
        </is>
      </c>
      <c r="E433" t="inlineStr">
        <is>
          <t>NYKÖPING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35532-2022</t>
        </is>
      </c>
      <c r="B434" s="1" t="n">
        <v>44799</v>
      </c>
      <c r="C434" s="1" t="n">
        <v>45947</v>
      </c>
      <c r="D434" t="inlineStr">
        <is>
          <t>SÖDERMANLANDS LÄN</t>
        </is>
      </c>
      <c r="E434" t="inlineStr">
        <is>
          <t>NYKÖPING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33271-2024</t>
        </is>
      </c>
      <c r="B435" s="1" t="n">
        <v>45518.68938657407</v>
      </c>
      <c r="C435" s="1" t="n">
        <v>45947</v>
      </c>
      <c r="D435" t="inlineStr">
        <is>
          <t>SÖDERMANLANDS LÄN</t>
        </is>
      </c>
      <c r="E435" t="inlineStr">
        <is>
          <t>NYKÖPING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12844-2025</t>
        </is>
      </c>
      <c r="B436" s="1" t="n">
        <v>45733</v>
      </c>
      <c r="C436" s="1" t="n">
        <v>45947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Holmen skog AB</t>
        </is>
      </c>
      <c r="G436" t="n">
        <v>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55983-2021</t>
        </is>
      </c>
      <c r="B437" s="1" t="n">
        <v>44477</v>
      </c>
      <c r="C437" s="1" t="n">
        <v>45947</v>
      </c>
      <c r="D437" t="inlineStr">
        <is>
          <t>SÖDERMANLANDS LÄN</t>
        </is>
      </c>
      <c r="E437" t="inlineStr">
        <is>
          <t>NYKÖPING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7428-2025</t>
        </is>
      </c>
      <c r="B438" s="1" t="n">
        <v>45705</v>
      </c>
      <c r="C438" s="1" t="n">
        <v>45947</v>
      </c>
      <c r="D438" t="inlineStr">
        <is>
          <t>SÖDERMANLANDS LÄN</t>
        </is>
      </c>
      <c r="E438" t="inlineStr">
        <is>
          <t>NYKÖPING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52546-2023</t>
        </is>
      </c>
      <c r="B439" s="1" t="n">
        <v>45218</v>
      </c>
      <c r="C439" s="1" t="n">
        <v>45947</v>
      </c>
      <c r="D439" t="inlineStr">
        <is>
          <t>SÖDERMANLANDS LÄN</t>
        </is>
      </c>
      <c r="E439" t="inlineStr">
        <is>
          <t>NYKÖPING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8787-2025</t>
        </is>
      </c>
      <c r="B440" s="1" t="n">
        <v>45712.63317129629</v>
      </c>
      <c r="C440" s="1" t="n">
        <v>45947</v>
      </c>
      <c r="D440" t="inlineStr">
        <is>
          <t>SÖDERMANLANDS LÄN</t>
        </is>
      </c>
      <c r="E440" t="inlineStr">
        <is>
          <t>NYKÖPING</t>
        </is>
      </c>
      <c r="F440" t="inlineStr">
        <is>
          <t>Holmen skog AB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24197-2022</t>
        </is>
      </c>
      <c r="B441" s="1" t="n">
        <v>44725</v>
      </c>
      <c r="C441" s="1" t="n">
        <v>45947</v>
      </c>
      <c r="D441" t="inlineStr">
        <is>
          <t>SÖDERMANLANDS LÄN</t>
        </is>
      </c>
      <c r="E441" t="inlineStr">
        <is>
          <t>NYKÖPING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22972-2023</t>
        </is>
      </c>
      <c r="B442" s="1" t="n">
        <v>45072</v>
      </c>
      <c r="C442" s="1" t="n">
        <v>45947</v>
      </c>
      <c r="D442" t="inlineStr">
        <is>
          <t>SÖDERMANLANDS LÄN</t>
        </is>
      </c>
      <c r="E442" t="inlineStr">
        <is>
          <t>NYKÖPING</t>
        </is>
      </c>
      <c r="G442" t="n">
        <v>4.1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2851-2021</t>
        </is>
      </c>
      <c r="B443" s="1" t="n">
        <v>44216</v>
      </c>
      <c r="C443" s="1" t="n">
        <v>45947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11753-2023</t>
        </is>
      </c>
      <c r="B444" s="1" t="n">
        <v>44992</v>
      </c>
      <c r="C444" s="1" t="n">
        <v>45947</v>
      </c>
      <c r="D444" t="inlineStr">
        <is>
          <t>SÖDERMANLANDS LÄN</t>
        </is>
      </c>
      <c r="E444" t="inlineStr">
        <is>
          <t>NYKÖPING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27483-2025</t>
        </is>
      </c>
      <c r="B445" s="1" t="n">
        <v>45813</v>
      </c>
      <c r="C445" s="1" t="n">
        <v>45947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Sveaskog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27485-2025</t>
        </is>
      </c>
      <c r="B446" s="1" t="n">
        <v>45813.38466435186</v>
      </c>
      <c r="C446" s="1" t="n">
        <v>45947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Sveaskog</t>
        </is>
      </c>
      <c r="G446" t="n">
        <v>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27503-2025</t>
        </is>
      </c>
      <c r="B447" s="1" t="n">
        <v>45813</v>
      </c>
      <c r="C447" s="1" t="n">
        <v>45947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Sveaskog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65230-2023</t>
        </is>
      </c>
      <c r="B448" s="1" t="n">
        <v>45289</v>
      </c>
      <c r="C448" s="1" t="n">
        <v>45947</v>
      </c>
      <c r="D448" t="inlineStr">
        <is>
          <t>SÖDERMANLANDS LÄN</t>
        </is>
      </c>
      <c r="E448" t="inlineStr">
        <is>
          <t>NYKÖPING</t>
        </is>
      </c>
      <c r="G448" t="n">
        <v>6.8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48819-2021</t>
        </is>
      </c>
      <c r="B449" s="1" t="n">
        <v>44452</v>
      </c>
      <c r="C449" s="1" t="n">
        <v>45947</v>
      </c>
      <c r="D449" t="inlineStr">
        <is>
          <t>SÖDERMANLANDS LÄN</t>
        </is>
      </c>
      <c r="E449" t="inlineStr">
        <is>
          <t>NYKÖPING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27947-2025</t>
        </is>
      </c>
      <c r="B450" s="1" t="n">
        <v>45817.52033564815</v>
      </c>
      <c r="C450" s="1" t="n">
        <v>45947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Holmen skog AB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14429-2025</t>
        </is>
      </c>
      <c r="B451" s="1" t="n">
        <v>45741</v>
      </c>
      <c r="C451" s="1" t="n">
        <v>45947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8959-2025</t>
        </is>
      </c>
      <c r="B452" s="1" t="n">
        <v>45713</v>
      </c>
      <c r="C452" s="1" t="n">
        <v>45947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Kyrkan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35252-2022</t>
        </is>
      </c>
      <c r="B453" s="1" t="n">
        <v>44798</v>
      </c>
      <c r="C453" s="1" t="n">
        <v>45947</v>
      </c>
      <c r="D453" t="inlineStr">
        <is>
          <t>SÖDERMANLANDS LÄN</t>
        </is>
      </c>
      <c r="E453" t="inlineStr">
        <is>
          <t>NYKÖPING</t>
        </is>
      </c>
      <c r="G453" t="n">
        <v>5.8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38408-2024</t>
        </is>
      </c>
      <c r="B454" s="1" t="n">
        <v>45546.34533564815</v>
      </c>
      <c r="C454" s="1" t="n">
        <v>45947</v>
      </c>
      <c r="D454" t="inlineStr">
        <is>
          <t>SÖDERMANLANDS LÄN</t>
        </is>
      </c>
      <c r="E454" t="inlineStr">
        <is>
          <t>NYKÖPING</t>
        </is>
      </c>
      <c r="F454" t="inlineStr">
        <is>
          <t>Holmen skog AB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8856-2025</t>
        </is>
      </c>
      <c r="B455" s="1" t="n">
        <v>45713.34657407407</v>
      </c>
      <c r="C455" s="1" t="n">
        <v>45947</v>
      </c>
      <c r="D455" t="inlineStr">
        <is>
          <t>SÖDERMANLANDS LÄN</t>
        </is>
      </c>
      <c r="E455" t="inlineStr">
        <is>
          <t>NYKÖPING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1745-2023</t>
        </is>
      </c>
      <c r="B456" s="1" t="n">
        <v>44938.52150462963</v>
      </c>
      <c r="C456" s="1" t="n">
        <v>45947</v>
      </c>
      <c r="D456" t="inlineStr">
        <is>
          <t>SÖDERMANLANDS LÄN</t>
        </is>
      </c>
      <c r="E456" t="inlineStr">
        <is>
          <t>NYKÖPING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51216-2024</t>
        </is>
      </c>
      <c r="B457" s="1" t="n">
        <v>45603</v>
      </c>
      <c r="C457" s="1" t="n">
        <v>45947</v>
      </c>
      <c r="D457" t="inlineStr">
        <is>
          <t>SÖDERMANLANDS LÄN</t>
        </is>
      </c>
      <c r="E457" t="inlineStr">
        <is>
          <t>NYKÖPING</t>
        </is>
      </c>
      <c r="F457" t="inlineStr">
        <is>
          <t>Sveaskog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27871-2025</t>
        </is>
      </c>
      <c r="B458" s="1" t="n">
        <v>45817.42873842592</v>
      </c>
      <c r="C458" s="1" t="n">
        <v>45947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Holmen skog AB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51243-2024</t>
        </is>
      </c>
      <c r="B459" s="1" t="n">
        <v>45603</v>
      </c>
      <c r="C459" s="1" t="n">
        <v>45947</v>
      </c>
      <c r="D459" t="inlineStr">
        <is>
          <t>SÖDERMANLANDS LÄN</t>
        </is>
      </c>
      <c r="E459" t="inlineStr">
        <is>
          <t>NYKÖPING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51244-2024</t>
        </is>
      </c>
      <c r="B460" s="1" t="n">
        <v>45603.67677083334</v>
      </c>
      <c r="C460" s="1" t="n">
        <v>45947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Sveaskog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27854-2025</t>
        </is>
      </c>
      <c r="B461" s="1" t="n">
        <v>45817.40743055556</v>
      </c>
      <c r="C461" s="1" t="n">
        <v>45947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Holmen skog AB</t>
        </is>
      </c>
      <c r="G461" t="n">
        <v>6.5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27874-2025</t>
        </is>
      </c>
      <c r="B462" s="1" t="n">
        <v>45817.43488425926</v>
      </c>
      <c r="C462" s="1" t="n">
        <v>45947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Holmen skog AB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38735-2023</t>
        </is>
      </c>
      <c r="B463" s="1" t="n">
        <v>45161</v>
      </c>
      <c r="C463" s="1" t="n">
        <v>45947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30907-2022</t>
        </is>
      </c>
      <c r="B464" s="1" t="n">
        <v>44767.70469907407</v>
      </c>
      <c r="C464" s="1" t="n">
        <v>45947</v>
      </c>
      <c r="D464" t="inlineStr">
        <is>
          <t>SÖDERMANLANDS LÄN</t>
        </is>
      </c>
      <c r="E464" t="inlineStr">
        <is>
          <t>NYKÖPING</t>
        </is>
      </c>
      <c r="G464" t="n">
        <v>9.1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45926-2022</t>
        </is>
      </c>
      <c r="B465" s="1" t="n">
        <v>44846.63041666667</v>
      </c>
      <c r="C465" s="1" t="n">
        <v>45947</v>
      </c>
      <c r="D465" t="inlineStr">
        <is>
          <t>SÖDERMANLANDS LÄN</t>
        </is>
      </c>
      <c r="E465" t="inlineStr">
        <is>
          <t>NYKÖPING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41165-2024</t>
        </is>
      </c>
      <c r="B466" s="1" t="n">
        <v>45559.48292824074</v>
      </c>
      <c r="C466" s="1" t="n">
        <v>45947</v>
      </c>
      <c r="D466" t="inlineStr">
        <is>
          <t>SÖDERMANLANDS LÄN</t>
        </is>
      </c>
      <c r="E466" t="inlineStr">
        <is>
          <t>NYKÖPING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58857-2021</t>
        </is>
      </c>
      <c r="B467" s="1" t="n">
        <v>44489</v>
      </c>
      <c r="C467" s="1" t="n">
        <v>45947</v>
      </c>
      <c r="D467" t="inlineStr">
        <is>
          <t>SÖDERMANLANDS LÄN</t>
        </is>
      </c>
      <c r="E467" t="inlineStr">
        <is>
          <t>NYKÖPING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38922-2024</t>
        </is>
      </c>
      <c r="B468" s="1" t="n">
        <v>45547</v>
      </c>
      <c r="C468" s="1" t="n">
        <v>45947</v>
      </c>
      <c r="D468" t="inlineStr">
        <is>
          <t>SÖDERMANLANDS LÄN</t>
        </is>
      </c>
      <c r="E468" t="inlineStr">
        <is>
          <t>NYKÖPING</t>
        </is>
      </c>
      <c r="G468" t="n">
        <v>10.3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11363-2023</t>
        </is>
      </c>
      <c r="B469" s="1" t="n">
        <v>44990</v>
      </c>
      <c r="C469" s="1" t="n">
        <v>45947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Allmännings- och besparingsskogar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8688-2025</t>
        </is>
      </c>
      <c r="B470" s="1" t="n">
        <v>45712.46146990741</v>
      </c>
      <c r="C470" s="1" t="n">
        <v>45947</v>
      </c>
      <c r="D470" t="inlineStr">
        <is>
          <t>SÖDERMANLANDS LÄN</t>
        </is>
      </c>
      <c r="E470" t="inlineStr">
        <is>
          <t>NYKÖPING</t>
        </is>
      </c>
      <c r="F470" t="inlineStr">
        <is>
          <t>Holmen skog AB</t>
        </is>
      </c>
      <c r="G470" t="n">
        <v>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32928-2022</t>
        </is>
      </c>
      <c r="B471" s="1" t="n">
        <v>44784</v>
      </c>
      <c r="C471" s="1" t="n">
        <v>45947</v>
      </c>
      <c r="D471" t="inlineStr">
        <is>
          <t>SÖDERMANLANDS LÄN</t>
        </is>
      </c>
      <c r="E471" t="inlineStr">
        <is>
          <t>NYKÖPING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27805-2025</t>
        </is>
      </c>
      <c r="B472" s="1" t="n">
        <v>45817.30131944444</v>
      </c>
      <c r="C472" s="1" t="n">
        <v>45947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27873-2025</t>
        </is>
      </c>
      <c r="B473" s="1" t="n">
        <v>45817.43222222223</v>
      </c>
      <c r="C473" s="1" t="n">
        <v>45947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59733-2021</t>
        </is>
      </c>
      <c r="B474" s="1" t="n">
        <v>44494</v>
      </c>
      <c r="C474" s="1" t="n">
        <v>45947</v>
      </c>
      <c r="D474" t="inlineStr">
        <is>
          <t>SÖDERMANLANDS LÄN</t>
        </is>
      </c>
      <c r="E474" t="inlineStr">
        <is>
          <t>NYKÖPING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30415-2021</t>
        </is>
      </c>
      <c r="B475" s="1" t="n">
        <v>44364</v>
      </c>
      <c r="C475" s="1" t="n">
        <v>45947</v>
      </c>
      <c r="D475" t="inlineStr">
        <is>
          <t>SÖDERMANLANDS LÄN</t>
        </is>
      </c>
      <c r="E475" t="inlineStr">
        <is>
          <t>NYKÖPING</t>
        </is>
      </c>
      <c r="G475" t="n">
        <v>19.9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58154-2020</t>
        </is>
      </c>
      <c r="B476" s="1" t="n">
        <v>44144</v>
      </c>
      <c r="C476" s="1" t="n">
        <v>45947</v>
      </c>
      <c r="D476" t="inlineStr">
        <is>
          <t>SÖDERMANLANDS LÄN</t>
        </is>
      </c>
      <c r="E476" t="inlineStr">
        <is>
          <t>NYKÖPING</t>
        </is>
      </c>
      <c r="F476" t="inlineStr">
        <is>
          <t>Holmen skog AB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7756-2024</t>
        </is>
      </c>
      <c r="B477" s="1" t="n">
        <v>45348</v>
      </c>
      <c r="C477" s="1" t="n">
        <v>45947</v>
      </c>
      <c r="D477" t="inlineStr">
        <is>
          <t>SÖDERMANLANDS LÄN</t>
        </is>
      </c>
      <c r="E477" t="inlineStr">
        <is>
          <t>NYKÖPING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1398-2023</t>
        </is>
      </c>
      <c r="B478" s="1" t="n">
        <v>44936.74096064815</v>
      </c>
      <c r="C478" s="1" t="n">
        <v>45947</v>
      </c>
      <c r="D478" t="inlineStr">
        <is>
          <t>SÖDERMANLANDS LÄN</t>
        </is>
      </c>
      <c r="E478" t="inlineStr">
        <is>
          <t>NYKÖPING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7824-2024</t>
        </is>
      </c>
      <c r="B479" s="1" t="n">
        <v>45349.71461805556</v>
      </c>
      <c r="C479" s="1" t="n">
        <v>45947</v>
      </c>
      <c r="D479" t="inlineStr">
        <is>
          <t>SÖDERMANLANDS LÄN</t>
        </is>
      </c>
      <c r="E479" t="inlineStr">
        <is>
          <t>NYKÖPING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7074-2024</t>
        </is>
      </c>
      <c r="B480" s="1" t="n">
        <v>45343</v>
      </c>
      <c r="C480" s="1" t="n">
        <v>45947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Kommuner</t>
        </is>
      </c>
      <c r="G480" t="n">
        <v>6.8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7496-2022</t>
        </is>
      </c>
      <c r="B481" s="1" t="n">
        <v>44607.459375</v>
      </c>
      <c r="C481" s="1" t="n">
        <v>45947</v>
      </c>
      <c r="D481" t="inlineStr">
        <is>
          <t>SÖDERMANLANDS LÄN</t>
        </is>
      </c>
      <c r="E481" t="inlineStr">
        <is>
          <t>NYKÖPING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16072-2023</t>
        </is>
      </c>
      <c r="B482" s="1" t="n">
        <v>45027</v>
      </c>
      <c r="C482" s="1" t="n">
        <v>45947</v>
      </c>
      <c r="D482" t="inlineStr">
        <is>
          <t>SÖDERMANLANDS LÄN</t>
        </is>
      </c>
      <c r="E482" t="inlineStr">
        <is>
          <t>NYKÖPING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30171-2021</t>
        </is>
      </c>
      <c r="B483" s="1" t="n">
        <v>44363</v>
      </c>
      <c r="C483" s="1" t="n">
        <v>45947</v>
      </c>
      <c r="D483" t="inlineStr">
        <is>
          <t>SÖDERMANLANDS LÄN</t>
        </is>
      </c>
      <c r="E483" t="inlineStr">
        <is>
          <t>NYKÖPING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28646-2025</t>
        </is>
      </c>
      <c r="B484" s="1" t="n">
        <v>45819.64758101852</v>
      </c>
      <c r="C484" s="1" t="n">
        <v>45947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Sveaskog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28704-2025</t>
        </is>
      </c>
      <c r="B485" s="1" t="n">
        <v>45820.30832175926</v>
      </c>
      <c r="C485" s="1" t="n">
        <v>45947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Holmen skog AB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27975-2022</t>
        </is>
      </c>
      <c r="B486" s="1" t="n">
        <v>44744.68890046296</v>
      </c>
      <c r="C486" s="1" t="n">
        <v>45947</v>
      </c>
      <c r="D486" t="inlineStr">
        <is>
          <t>SÖDERMANLANDS LÄN</t>
        </is>
      </c>
      <c r="E486" t="inlineStr">
        <is>
          <t>NYKÖPING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37941-2022</t>
        </is>
      </c>
      <c r="B487" s="1" t="n">
        <v>44810</v>
      </c>
      <c r="C487" s="1" t="n">
        <v>45947</v>
      </c>
      <c r="D487" t="inlineStr">
        <is>
          <t>SÖDERMANLANDS LÄN</t>
        </is>
      </c>
      <c r="E487" t="inlineStr">
        <is>
          <t>NYKÖPING</t>
        </is>
      </c>
      <c r="G487" t="n">
        <v>13.5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6491-2023</t>
        </is>
      </c>
      <c r="B488" s="1" t="n">
        <v>44966</v>
      </c>
      <c r="C488" s="1" t="n">
        <v>45947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Övriga Aktiebolag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56491-2022</t>
        </is>
      </c>
      <c r="B489" s="1" t="n">
        <v>44893.39328703703</v>
      </c>
      <c r="C489" s="1" t="n">
        <v>45947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Övriga Aktiebolag</t>
        </is>
      </c>
      <c r="G489" t="n">
        <v>10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28839-2025</t>
        </is>
      </c>
      <c r="B490" s="1" t="n">
        <v>45820.56608796296</v>
      </c>
      <c r="C490" s="1" t="n">
        <v>45947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Sveaskog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28644-2025</t>
        </is>
      </c>
      <c r="B491" s="1" t="n">
        <v>45819.64578703704</v>
      </c>
      <c r="C491" s="1" t="n">
        <v>45947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Sveaskog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28652-2025</t>
        </is>
      </c>
      <c r="B492" s="1" t="n">
        <v>45819.65145833333</v>
      </c>
      <c r="C492" s="1" t="n">
        <v>45947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Sveaskog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28664-2025</t>
        </is>
      </c>
      <c r="B493" s="1" t="n">
        <v>45819.66092592593</v>
      </c>
      <c r="C493" s="1" t="n">
        <v>45947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Sveaskog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28841-2025</t>
        </is>
      </c>
      <c r="B494" s="1" t="n">
        <v>45820.5670949074</v>
      </c>
      <c r="C494" s="1" t="n">
        <v>45947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Sveaskog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28868-2025</t>
        </is>
      </c>
      <c r="B495" s="1" t="n">
        <v>45820</v>
      </c>
      <c r="C495" s="1" t="n">
        <v>45947</v>
      </c>
      <c r="D495" t="inlineStr">
        <is>
          <t>SÖDERMANLANDS LÄN</t>
        </is>
      </c>
      <c r="E495" t="inlineStr">
        <is>
          <t>NYKÖPING</t>
        </is>
      </c>
      <c r="G495" t="n">
        <v>11.8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30859-2023</t>
        </is>
      </c>
      <c r="B496" s="1" t="n">
        <v>45110</v>
      </c>
      <c r="C496" s="1" t="n">
        <v>45947</v>
      </c>
      <c r="D496" t="inlineStr">
        <is>
          <t>SÖDERMANLANDS LÄN</t>
        </is>
      </c>
      <c r="E496" t="inlineStr">
        <is>
          <t>NYKÖPING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28645-2025</t>
        </is>
      </c>
      <c r="B497" s="1" t="n">
        <v>45819.64652777778</v>
      </c>
      <c r="C497" s="1" t="n">
        <v>45947</v>
      </c>
      <c r="D497" t="inlineStr">
        <is>
          <t>SÖDERMANLANDS LÄN</t>
        </is>
      </c>
      <c r="E497" t="inlineStr">
        <is>
          <t>NYKÖPING</t>
        </is>
      </c>
      <c r="F497" t="inlineStr">
        <is>
          <t>Sveaskog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28650-2025</t>
        </is>
      </c>
      <c r="B498" s="1" t="n">
        <v>45819.65033564815</v>
      </c>
      <c r="C498" s="1" t="n">
        <v>45947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Sveaskog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28662-2025</t>
        </is>
      </c>
      <c r="B499" s="1" t="n">
        <v>45819.66016203703</v>
      </c>
      <c r="C499" s="1" t="n">
        <v>45947</v>
      </c>
      <c r="D499" t="inlineStr">
        <is>
          <t>SÖDERMANLANDS LÄN</t>
        </is>
      </c>
      <c r="E499" t="inlineStr">
        <is>
          <t>NYKÖPING</t>
        </is>
      </c>
      <c r="F499" t="inlineStr">
        <is>
          <t>Sveaskog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28654-2025</t>
        </is>
      </c>
      <c r="B500" s="1" t="n">
        <v>45819.65243055556</v>
      </c>
      <c r="C500" s="1" t="n">
        <v>45947</v>
      </c>
      <c r="D500" t="inlineStr">
        <is>
          <t>SÖDERMANLANDS LÄN</t>
        </is>
      </c>
      <c r="E500" t="inlineStr">
        <is>
          <t>NYKÖPING</t>
        </is>
      </c>
      <c r="F500" t="inlineStr">
        <is>
          <t>Sveaskog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28655-2025</t>
        </is>
      </c>
      <c r="B501" s="1" t="n">
        <v>45819.65354166667</v>
      </c>
      <c r="C501" s="1" t="n">
        <v>45947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Sveaskog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10276-2024</t>
        </is>
      </c>
      <c r="B502" s="1" t="n">
        <v>45365.45710648148</v>
      </c>
      <c r="C502" s="1" t="n">
        <v>45947</v>
      </c>
      <c r="D502" t="inlineStr">
        <is>
          <t>SÖDERMANLANDS LÄN</t>
        </is>
      </c>
      <c r="E502" t="inlineStr">
        <is>
          <t>NYKÖPING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15056-2025</t>
        </is>
      </c>
      <c r="B503" s="1" t="n">
        <v>45743.70403935185</v>
      </c>
      <c r="C503" s="1" t="n">
        <v>45947</v>
      </c>
      <c r="D503" t="inlineStr">
        <is>
          <t>SÖDERMANLANDS LÄN</t>
        </is>
      </c>
      <c r="E503" t="inlineStr">
        <is>
          <t>NYKÖPING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18827-2022</t>
        </is>
      </c>
      <c r="B504" s="1" t="n">
        <v>44690</v>
      </c>
      <c r="C504" s="1" t="n">
        <v>45947</v>
      </c>
      <c r="D504" t="inlineStr">
        <is>
          <t>SÖDERMANLANDS LÄN</t>
        </is>
      </c>
      <c r="E504" t="inlineStr">
        <is>
          <t>NYKÖPING</t>
        </is>
      </c>
      <c r="G504" t="n">
        <v>7.9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38317-2022</t>
        </is>
      </c>
      <c r="B505" s="1" t="n">
        <v>44812</v>
      </c>
      <c r="C505" s="1" t="n">
        <v>45947</v>
      </c>
      <c r="D505" t="inlineStr">
        <is>
          <t>SÖDERMANLANDS LÄN</t>
        </is>
      </c>
      <c r="E505" t="inlineStr">
        <is>
          <t>NYKÖPING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28987-2025</t>
        </is>
      </c>
      <c r="B506" s="1" t="n">
        <v>45821.36927083333</v>
      </c>
      <c r="C506" s="1" t="n">
        <v>45947</v>
      </c>
      <c r="D506" t="inlineStr">
        <is>
          <t>SÖDERMANLANDS LÄN</t>
        </is>
      </c>
      <c r="E506" t="inlineStr">
        <is>
          <t>NYKÖPING</t>
        </is>
      </c>
      <c r="G506" t="n">
        <v>3.9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60104-2023</t>
        </is>
      </c>
      <c r="B507" s="1" t="n">
        <v>45258</v>
      </c>
      <c r="C507" s="1" t="n">
        <v>45947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Övriga Aktiebolag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51689-2021</t>
        </is>
      </c>
      <c r="B508" s="1" t="n">
        <v>44462</v>
      </c>
      <c r="C508" s="1" t="n">
        <v>45947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Sveaskog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48459-2021</t>
        </is>
      </c>
      <c r="B509" s="1" t="n">
        <v>44452</v>
      </c>
      <c r="C509" s="1" t="n">
        <v>45947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893-2023</t>
        </is>
      </c>
      <c r="B510" s="1" t="n">
        <v>44931.84092592593</v>
      </c>
      <c r="C510" s="1" t="n">
        <v>45947</v>
      </c>
      <c r="D510" t="inlineStr">
        <is>
          <t>SÖDERMANLANDS LÄN</t>
        </is>
      </c>
      <c r="E510" t="inlineStr">
        <is>
          <t>NYKÖPING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29846-2025</t>
        </is>
      </c>
      <c r="B511" s="1" t="n">
        <v>45826.32295138889</v>
      </c>
      <c r="C511" s="1" t="n">
        <v>45947</v>
      </c>
      <c r="D511" t="inlineStr">
        <is>
          <t>SÖDERMANLANDS LÄN</t>
        </is>
      </c>
      <c r="E511" t="inlineStr">
        <is>
          <t>NYKÖPING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8140-2023</t>
        </is>
      </c>
      <c r="B512" s="1" t="n">
        <v>44974.44780092593</v>
      </c>
      <c r="C512" s="1" t="n">
        <v>45947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30034-2025</t>
        </is>
      </c>
      <c r="B513" s="1" t="n">
        <v>45826</v>
      </c>
      <c r="C513" s="1" t="n">
        <v>45947</v>
      </c>
      <c r="D513" t="inlineStr">
        <is>
          <t>SÖDERMANLANDS LÄN</t>
        </is>
      </c>
      <c r="E513" t="inlineStr">
        <is>
          <t>NYKÖPING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26561-2023</t>
        </is>
      </c>
      <c r="B514" s="1" t="n">
        <v>45092</v>
      </c>
      <c r="C514" s="1" t="n">
        <v>45947</v>
      </c>
      <c r="D514" t="inlineStr">
        <is>
          <t>SÖDERMANLANDS LÄN</t>
        </is>
      </c>
      <c r="E514" t="inlineStr">
        <is>
          <t>NYKÖPING</t>
        </is>
      </c>
      <c r="G514" t="n">
        <v>4.1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56228-2024</t>
        </is>
      </c>
      <c r="B515" s="1" t="n">
        <v>45624</v>
      </c>
      <c r="C515" s="1" t="n">
        <v>45947</v>
      </c>
      <c r="D515" t="inlineStr">
        <is>
          <t>SÖDERMANLANDS LÄN</t>
        </is>
      </c>
      <c r="E515" t="inlineStr">
        <is>
          <t>NYKÖPING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1930-2022</t>
        </is>
      </c>
      <c r="B516" s="1" t="n">
        <v>44575</v>
      </c>
      <c r="C516" s="1" t="n">
        <v>45947</v>
      </c>
      <c r="D516" t="inlineStr">
        <is>
          <t>SÖDERMANLANDS LÄN</t>
        </is>
      </c>
      <c r="E516" t="inlineStr">
        <is>
          <t>NYKÖPING</t>
        </is>
      </c>
      <c r="G516" t="n">
        <v>4.5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5107-2023</t>
        </is>
      </c>
      <c r="B517" s="1" t="n">
        <v>44958</v>
      </c>
      <c r="C517" s="1" t="n">
        <v>45947</v>
      </c>
      <c r="D517" t="inlineStr">
        <is>
          <t>SÖDERMANLANDS LÄN</t>
        </is>
      </c>
      <c r="E517" t="inlineStr">
        <is>
          <t>NYKÖPING</t>
        </is>
      </c>
      <c r="G517" t="n">
        <v>4.4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5526-2023</t>
        </is>
      </c>
      <c r="B518" s="1" t="n">
        <v>44960.4335300926</v>
      </c>
      <c r="C518" s="1" t="n">
        <v>45947</v>
      </c>
      <c r="D518" t="inlineStr">
        <is>
          <t>SÖDERMANLANDS LÄN</t>
        </is>
      </c>
      <c r="E518" t="inlineStr">
        <is>
          <t>NYKÖPING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49494-2021</t>
        </is>
      </c>
      <c r="B519" s="1" t="n">
        <v>44454</v>
      </c>
      <c r="C519" s="1" t="n">
        <v>45947</v>
      </c>
      <c r="D519" t="inlineStr">
        <is>
          <t>SÖDERMANLANDS LÄN</t>
        </is>
      </c>
      <c r="E519" t="inlineStr">
        <is>
          <t>NYKÖPING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6141-2023</t>
        </is>
      </c>
      <c r="B520" s="1" t="n">
        <v>44964</v>
      </c>
      <c r="C520" s="1" t="n">
        <v>45947</v>
      </c>
      <c r="D520" t="inlineStr">
        <is>
          <t>SÖDERMANLANDS LÄN</t>
        </is>
      </c>
      <c r="E520" t="inlineStr">
        <is>
          <t>NYKÖPING</t>
        </is>
      </c>
      <c r="G520" t="n">
        <v>5.4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6392-2023</t>
        </is>
      </c>
      <c r="B521" s="1" t="n">
        <v>44965</v>
      </c>
      <c r="C521" s="1" t="n">
        <v>45947</v>
      </c>
      <c r="D521" t="inlineStr">
        <is>
          <t>SÖDERMANLANDS LÄN</t>
        </is>
      </c>
      <c r="E521" t="inlineStr">
        <is>
          <t>NYKÖPING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17691-2023</t>
        </is>
      </c>
      <c r="B522" s="1" t="n">
        <v>45037</v>
      </c>
      <c r="C522" s="1" t="n">
        <v>45947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Sveaskog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30709-2025</t>
        </is>
      </c>
      <c r="B523" s="1" t="n">
        <v>45831.5509837963</v>
      </c>
      <c r="C523" s="1" t="n">
        <v>45947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45856-2021</t>
        </is>
      </c>
      <c r="B524" s="1" t="n">
        <v>44433</v>
      </c>
      <c r="C524" s="1" t="n">
        <v>45947</v>
      </c>
      <c r="D524" t="inlineStr">
        <is>
          <t>SÖDERMANLANDS LÄN</t>
        </is>
      </c>
      <c r="E524" t="inlineStr">
        <is>
          <t>NYKÖPING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62948-2023</t>
        </is>
      </c>
      <c r="B525" s="1" t="n">
        <v>45271</v>
      </c>
      <c r="C525" s="1" t="n">
        <v>45947</v>
      </c>
      <c r="D525" t="inlineStr">
        <is>
          <t>SÖDERMANLANDS LÄN</t>
        </is>
      </c>
      <c r="E525" t="inlineStr">
        <is>
          <t>NYKÖPING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31034-2025</t>
        </is>
      </c>
      <c r="B526" s="1" t="n">
        <v>45831</v>
      </c>
      <c r="C526" s="1" t="n">
        <v>45947</v>
      </c>
      <c r="D526" t="inlineStr">
        <is>
          <t>SÖDERMANLANDS LÄN</t>
        </is>
      </c>
      <c r="E526" t="inlineStr">
        <is>
          <t>NYKÖPING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15047-2025</t>
        </is>
      </c>
      <c r="B527" s="1" t="n">
        <v>45743.69769675926</v>
      </c>
      <c r="C527" s="1" t="n">
        <v>45947</v>
      </c>
      <c r="D527" t="inlineStr">
        <is>
          <t>SÖDERMANLANDS LÄN</t>
        </is>
      </c>
      <c r="E527" t="inlineStr">
        <is>
          <t>NYKÖPING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15052-2025</t>
        </is>
      </c>
      <c r="B528" s="1" t="n">
        <v>45743.70009259259</v>
      </c>
      <c r="C528" s="1" t="n">
        <v>45947</v>
      </c>
      <c r="D528" t="inlineStr">
        <is>
          <t>SÖDERMANLANDS LÄN</t>
        </is>
      </c>
      <c r="E528" t="inlineStr">
        <is>
          <t>NYKÖPING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30706-2025</t>
        </is>
      </c>
      <c r="B529" s="1" t="n">
        <v>45831.55019675926</v>
      </c>
      <c r="C529" s="1" t="n">
        <v>45947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Sveaskog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6519-2023</t>
        </is>
      </c>
      <c r="B530" s="1" t="n">
        <v>44965</v>
      </c>
      <c r="C530" s="1" t="n">
        <v>45947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Kyrkan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10687-2023</t>
        </is>
      </c>
      <c r="B531" s="1" t="n">
        <v>44988</v>
      </c>
      <c r="C531" s="1" t="n">
        <v>45947</v>
      </c>
      <c r="D531" t="inlineStr">
        <is>
          <t>SÖDERMANLANDS LÄN</t>
        </is>
      </c>
      <c r="E531" t="inlineStr">
        <is>
          <t>NYKÖPING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30946-2025</t>
        </is>
      </c>
      <c r="B532" s="1" t="n">
        <v>45832.41319444445</v>
      </c>
      <c r="C532" s="1" t="n">
        <v>45947</v>
      </c>
      <c r="D532" t="inlineStr">
        <is>
          <t>SÖDERMANLANDS LÄN</t>
        </is>
      </c>
      <c r="E532" t="inlineStr">
        <is>
          <t>NYKÖPING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30703-2025</t>
        </is>
      </c>
      <c r="B533" s="1" t="n">
        <v>45831.54910879629</v>
      </c>
      <c r="C533" s="1" t="n">
        <v>45947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Sveaskog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30710-2025</t>
        </is>
      </c>
      <c r="B534" s="1" t="n">
        <v>45831.55167824074</v>
      </c>
      <c r="C534" s="1" t="n">
        <v>45947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Sveaskog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31082-2025</t>
        </is>
      </c>
      <c r="B535" s="1" t="n">
        <v>45832.58648148148</v>
      </c>
      <c r="C535" s="1" t="n">
        <v>45947</v>
      </c>
      <c r="D535" t="inlineStr">
        <is>
          <t>SÖDERMANLANDS LÄN</t>
        </is>
      </c>
      <c r="E535" t="inlineStr">
        <is>
          <t>NYKÖPING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17315-2024</t>
        </is>
      </c>
      <c r="B536" s="1" t="n">
        <v>45414.52494212963</v>
      </c>
      <c r="C536" s="1" t="n">
        <v>45947</v>
      </c>
      <c r="D536" t="inlineStr">
        <is>
          <t>SÖDERMANLANDS LÄN</t>
        </is>
      </c>
      <c r="E536" t="inlineStr">
        <is>
          <t>NYKÖPING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32594-2022</t>
        </is>
      </c>
      <c r="B537" s="1" t="n">
        <v>44783</v>
      </c>
      <c r="C537" s="1" t="n">
        <v>45947</v>
      </c>
      <c r="D537" t="inlineStr">
        <is>
          <t>SÖDERMANLANDS LÄN</t>
        </is>
      </c>
      <c r="E537" t="inlineStr">
        <is>
          <t>NYKÖPING</t>
        </is>
      </c>
      <c r="G537" t="n">
        <v>3.3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31923-2025</t>
        </is>
      </c>
      <c r="B538" s="1" t="n">
        <v>45834.81833333334</v>
      </c>
      <c r="C538" s="1" t="n">
        <v>45947</v>
      </c>
      <c r="D538" t="inlineStr">
        <is>
          <t>SÖDERMANLANDS LÄN</t>
        </is>
      </c>
      <c r="E538" t="inlineStr">
        <is>
          <t>NYKÖPING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31929-2025</t>
        </is>
      </c>
      <c r="B539" s="1" t="n">
        <v>45834.9077662037</v>
      </c>
      <c r="C539" s="1" t="n">
        <v>45947</v>
      </c>
      <c r="D539" t="inlineStr">
        <is>
          <t>SÖDERMANLANDS LÄN</t>
        </is>
      </c>
      <c r="E539" t="inlineStr">
        <is>
          <t>NYKÖPING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35019-2023</t>
        </is>
      </c>
      <c r="B540" s="1" t="n">
        <v>45143</v>
      </c>
      <c r="C540" s="1" t="n">
        <v>45947</v>
      </c>
      <c r="D540" t="inlineStr">
        <is>
          <t>SÖDERMANLANDS LÄN</t>
        </is>
      </c>
      <c r="E540" t="inlineStr">
        <is>
          <t>NYKÖPING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63882-2023</t>
        </is>
      </c>
      <c r="B541" s="1" t="n">
        <v>45278</v>
      </c>
      <c r="C541" s="1" t="n">
        <v>45947</v>
      </c>
      <c r="D541" t="inlineStr">
        <is>
          <t>SÖDERMANLANDS LÄN</t>
        </is>
      </c>
      <c r="E541" t="inlineStr">
        <is>
          <t>NYKÖPING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9913-2022</t>
        </is>
      </c>
      <c r="B542" s="1" t="n">
        <v>44620.7231712963</v>
      </c>
      <c r="C542" s="1" t="n">
        <v>45947</v>
      </c>
      <c r="D542" t="inlineStr">
        <is>
          <t>SÖDERMANLANDS LÄN</t>
        </is>
      </c>
      <c r="E542" t="inlineStr">
        <is>
          <t>NYKÖPING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21129-2024</t>
        </is>
      </c>
      <c r="B543" s="1" t="n">
        <v>45440</v>
      </c>
      <c r="C543" s="1" t="n">
        <v>45947</v>
      </c>
      <c r="D543" t="inlineStr">
        <is>
          <t>SÖDERMANLANDS LÄN</t>
        </is>
      </c>
      <c r="E543" t="inlineStr">
        <is>
          <t>NYKÖPING</t>
        </is>
      </c>
      <c r="F543" t="inlineStr">
        <is>
          <t>Kommuner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998-2024</t>
        </is>
      </c>
      <c r="B544" s="1" t="n">
        <v>45301</v>
      </c>
      <c r="C544" s="1" t="n">
        <v>45947</v>
      </c>
      <c r="D544" t="inlineStr">
        <is>
          <t>SÖDERMANLANDS LÄN</t>
        </is>
      </c>
      <c r="E544" t="inlineStr">
        <is>
          <t>NYKÖPING</t>
        </is>
      </c>
      <c r="F544" t="inlineStr">
        <is>
          <t>Övriga Aktiebolag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57028-2024</t>
        </is>
      </c>
      <c r="B545" s="1" t="n">
        <v>45628</v>
      </c>
      <c r="C545" s="1" t="n">
        <v>45947</v>
      </c>
      <c r="D545" t="inlineStr">
        <is>
          <t>SÖDERMANLANDS LÄN</t>
        </is>
      </c>
      <c r="E545" t="inlineStr">
        <is>
          <t>NYKÖPING</t>
        </is>
      </c>
      <c r="F545" t="inlineStr">
        <is>
          <t>Holmen skog AB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20131-2022</t>
        </is>
      </c>
      <c r="B546" s="1" t="n">
        <v>44698</v>
      </c>
      <c r="C546" s="1" t="n">
        <v>45947</v>
      </c>
      <c r="D546" t="inlineStr">
        <is>
          <t>SÖDERMANLANDS LÄN</t>
        </is>
      </c>
      <c r="E546" t="inlineStr">
        <is>
          <t>NYKÖPING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31922-2025</t>
        </is>
      </c>
      <c r="B547" s="1" t="n">
        <v>45834.81365740741</v>
      </c>
      <c r="C547" s="1" t="n">
        <v>45947</v>
      </c>
      <c r="D547" t="inlineStr">
        <is>
          <t>SÖDERMANLANDS LÄN</t>
        </is>
      </c>
      <c r="E547" t="inlineStr">
        <is>
          <t>NYKÖPING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31928-2025</t>
        </is>
      </c>
      <c r="B548" s="1" t="n">
        <v>45834.90304398148</v>
      </c>
      <c r="C548" s="1" t="n">
        <v>45947</v>
      </c>
      <c r="D548" t="inlineStr">
        <is>
          <t>SÖDERMANLANDS LÄN</t>
        </is>
      </c>
      <c r="E548" t="inlineStr">
        <is>
          <t>NYKÖPING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71555-2021</t>
        </is>
      </c>
      <c r="B549" s="1" t="n">
        <v>44540.69231481481</v>
      </c>
      <c r="C549" s="1" t="n">
        <v>45947</v>
      </c>
      <c r="D549" t="inlineStr">
        <is>
          <t>SÖDERMANLANDS LÄN</t>
        </is>
      </c>
      <c r="E549" t="inlineStr">
        <is>
          <t>NYKÖPING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30639-2023</t>
        </is>
      </c>
      <c r="B550" s="1" t="n">
        <v>45112</v>
      </c>
      <c r="C550" s="1" t="n">
        <v>45947</v>
      </c>
      <c r="D550" t="inlineStr">
        <is>
          <t>SÖDERMANLANDS LÄN</t>
        </is>
      </c>
      <c r="E550" t="inlineStr">
        <is>
          <t>NYKÖPING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6976-2023</t>
        </is>
      </c>
      <c r="B551" s="1" t="n">
        <v>44967</v>
      </c>
      <c r="C551" s="1" t="n">
        <v>45947</v>
      </c>
      <c r="D551" t="inlineStr">
        <is>
          <t>SÖDERMANLANDS LÄN</t>
        </is>
      </c>
      <c r="E551" t="inlineStr">
        <is>
          <t>NYKÖPING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51215-2024</t>
        </is>
      </c>
      <c r="B552" s="1" t="n">
        <v>45603</v>
      </c>
      <c r="C552" s="1" t="n">
        <v>45947</v>
      </c>
      <c r="D552" t="inlineStr">
        <is>
          <t>SÖDERMANLANDS LÄN</t>
        </is>
      </c>
      <c r="E552" t="inlineStr">
        <is>
          <t>NYKÖPING</t>
        </is>
      </c>
      <c r="F552" t="inlineStr">
        <is>
          <t>Sveaskog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12149-2023</t>
        </is>
      </c>
      <c r="B553" s="1" t="n">
        <v>44998</v>
      </c>
      <c r="C553" s="1" t="n">
        <v>45947</v>
      </c>
      <c r="D553" t="inlineStr">
        <is>
          <t>SÖDERMANLANDS LÄN</t>
        </is>
      </c>
      <c r="E553" t="inlineStr">
        <is>
          <t>NYKÖPING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17234-2022</t>
        </is>
      </c>
      <c r="B554" s="1" t="n">
        <v>44678</v>
      </c>
      <c r="C554" s="1" t="n">
        <v>45947</v>
      </c>
      <c r="D554" t="inlineStr">
        <is>
          <t>SÖDERMANLANDS LÄN</t>
        </is>
      </c>
      <c r="E554" t="inlineStr">
        <is>
          <t>NYKÖPING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16981-2023</t>
        </is>
      </c>
      <c r="B555" s="1" t="n">
        <v>45033</v>
      </c>
      <c r="C555" s="1" t="n">
        <v>45947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16.5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13027-2024</t>
        </is>
      </c>
      <c r="B556" s="1" t="n">
        <v>45385</v>
      </c>
      <c r="C556" s="1" t="n">
        <v>45947</v>
      </c>
      <c r="D556" t="inlineStr">
        <is>
          <t>SÖDERMANLANDS LÄN</t>
        </is>
      </c>
      <c r="E556" t="inlineStr">
        <is>
          <t>NYKÖPING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6295-2021</t>
        </is>
      </c>
      <c r="B557" s="1" t="n">
        <v>44235</v>
      </c>
      <c r="C557" s="1" t="n">
        <v>45947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33107-2025</t>
        </is>
      </c>
      <c r="B558" s="1" t="n">
        <v>45840.48537037037</v>
      </c>
      <c r="C558" s="1" t="n">
        <v>45947</v>
      </c>
      <c r="D558" t="inlineStr">
        <is>
          <t>SÖDERMANLANDS LÄN</t>
        </is>
      </c>
      <c r="E558" t="inlineStr">
        <is>
          <t>NYKÖPING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46737-2025</t>
        </is>
      </c>
      <c r="B559" s="1" t="n">
        <v>45926.60075231481</v>
      </c>
      <c r="C559" s="1" t="n">
        <v>45947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9.4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59613-2021</t>
        </is>
      </c>
      <c r="B560" s="1" t="n">
        <v>44491</v>
      </c>
      <c r="C560" s="1" t="n">
        <v>45947</v>
      </c>
      <c r="D560" t="inlineStr">
        <is>
          <t>SÖDERMANLANDS LÄN</t>
        </is>
      </c>
      <c r="E560" t="inlineStr">
        <is>
          <t>NYKÖPING</t>
        </is>
      </c>
      <c r="F560" t="inlineStr">
        <is>
          <t>Övriga Aktiebolag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50698-2024</t>
        </is>
      </c>
      <c r="B561" s="1" t="n">
        <v>45602.35326388889</v>
      </c>
      <c r="C561" s="1" t="n">
        <v>45947</v>
      </c>
      <c r="D561" t="inlineStr">
        <is>
          <t>SÖDERMANLANDS LÄN</t>
        </is>
      </c>
      <c r="E561" t="inlineStr">
        <is>
          <t>NYKÖPING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42246-2022</t>
        </is>
      </c>
      <c r="B562" s="1" t="n">
        <v>44830</v>
      </c>
      <c r="C562" s="1" t="n">
        <v>45947</v>
      </c>
      <c r="D562" t="inlineStr">
        <is>
          <t>SÖDERMANLANDS LÄN</t>
        </is>
      </c>
      <c r="E562" t="inlineStr">
        <is>
          <t>NYKÖPING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4737-2024</t>
        </is>
      </c>
      <c r="B563" s="1" t="n">
        <v>45328</v>
      </c>
      <c r="C563" s="1" t="n">
        <v>45947</v>
      </c>
      <c r="D563" t="inlineStr">
        <is>
          <t>SÖDERMANLANDS LÄN</t>
        </is>
      </c>
      <c r="E563" t="inlineStr">
        <is>
          <t>NYKÖPING</t>
        </is>
      </c>
      <c r="G563" t="n">
        <v>7.9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21142-2023</t>
        </is>
      </c>
      <c r="B564" s="1" t="n">
        <v>45062</v>
      </c>
      <c r="C564" s="1" t="n">
        <v>45947</v>
      </c>
      <c r="D564" t="inlineStr">
        <is>
          <t>SÖDERMANLANDS LÄN</t>
        </is>
      </c>
      <c r="E564" t="inlineStr">
        <is>
          <t>NYKÖPING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34218-2024</t>
        </is>
      </c>
      <c r="B565" s="1" t="n">
        <v>45524</v>
      </c>
      <c r="C565" s="1" t="n">
        <v>45947</v>
      </c>
      <c r="D565" t="inlineStr">
        <is>
          <t>SÖDERMANLANDS LÄN</t>
        </is>
      </c>
      <c r="E565" t="inlineStr">
        <is>
          <t>NYKÖPING</t>
        </is>
      </c>
      <c r="G565" t="n">
        <v>5.3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33767-2025</t>
        </is>
      </c>
      <c r="B566" s="1" t="n">
        <v>45842.38885416667</v>
      </c>
      <c r="C566" s="1" t="n">
        <v>45947</v>
      </c>
      <c r="D566" t="inlineStr">
        <is>
          <t>SÖDERMANLANDS LÄN</t>
        </is>
      </c>
      <c r="E566" t="inlineStr">
        <is>
          <t>NYKÖPING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55497-2021</t>
        </is>
      </c>
      <c r="B567" s="1" t="n">
        <v>44475</v>
      </c>
      <c r="C567" s="1" t="n">
        <v>45947</v>
      </c>
      <c r="D567" t="inlineStr">
        <is>
          <t>SÖDERMANLANDS LÄN</t>
        </is>
      </c>
      <c r="E567" t="inlineStr">
        <is>
          <t>NYKÖPING</t>
        </is>
      </c>
      <c r="G567" t="n">
        <v>7.7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55506-2021</t>
        </is>
      </c>
      <c r="B568" s="1" t="n">
        <v>44475</v>
      </c>
      <c r="C568" s="1" t="n">
        <v>45947</v>
      </c>
      <c r="D568" t="inlineStr">
        <is>
          <t>SÖDERMANLANDS LÄN</t>
        </is>
      </c>
      <c r="E568" t="inlineStr">
        <is>
          <t>NYKÖPING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21987-2024</t>
        </is>
      </c>
      <c r="B569" s="1" t="n">
        <v>45443.54967592593</v>
      </c>
      <c r="C569" s="1" t="n">
        <v>45947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Holmen skog AB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33310-2025</t>
        </is>
      </c>
      <c r="B570" s="1" t="n">
        <v>45841.33006944445</v>
      </c>
      <c r="C570" s="1" t="n">
        <v>45947</v>
      </c>
      <c r="D570" t="inlineStr">
        <is>
          <t>SÖDERMANLANDS LÄN</t>
        </is>
      </c>
      <c r="E570" t="inlineStr">
        <is>
          <t>NYKÖPING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33773-2025</t>
        </is>
      </c>
      <c r="B571" s="1" t="n">
        <v>45842.39219907407</v>
      </c>
      <c r="C571" s="1" t="n">
        <v>45947</v>
      </c>
      <c r="D571" t="inlineStr">
        <is>
          <t>SÖDERMANLANDS LÄN</t>
        </is>
      </c>
      <c r="E571" t="inlineStr">
        <is>
          <t>NYKÖPING</t>
        </is>
      </c>
      <c r="G571" t="n">
        <v>3.8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33382-2025</t>
        </is>
      </c>
      <c r="B572" s="1" t="n">
        <v>45841.40429398148</v>
      </c>
      <c r="C572" s="1" t="n">
        <v>45947</v>
      </c>
      <c r="D572" t="inlineStr">
        <is>
          <t>SÖDERMANLANDS LÄN</t>
        </is>
      </c>
      <c r="E572" t="inlineStr">
        <is>
          <t>NYKÖPING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25796-2022</t>
        </is>
      </c>
      <c r="B573" s="1" t="n">
        <v>44733.48971064815</v>
      </c>
      <c r="C573" s="1" t="n">
        <v>45947</v>
      </c>
      <c r="D573" t="inlineStr">
        <is>
          <t>SÖDERMANLANDS LÄN</t>
        </is>
      </c>
      <c r="E573" t="inlineStr">
        <is>
          <t>NYKÖPING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33762-2025</t>
        </is>
      </c>
      <c r="B574" s="1" t="n">
        <v>45842.38351851852</v>
      </c>
      <c r="C574" s="1" t="n">
        <v>45947</v>
      </c>
      <c r="D574" t="inlineStr">
        <is>
          <t>SÖDERMANLANDS LÄN</t>
        </is>
      </c>
      <c r="E574" t="inlineStr">
        <is>
          <t>NYKÖPING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49291-2023</t>
        </is>
      </c>
      <c r="B575" s="1" t="n">
        <v>45210</v>
      </c>
      <c r="C575" s="1" t="n">
        <v>45947</v>
      </c>
      <c r="D575" t="inlineStr">
        <is>
          <t>SÖDERMANLANDS LÄN</t>
        </is>
      </c>
      <c r="E575" t="inlineStr">
        <is>
          <t>NYKÖPING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33764-2025</t>
        </is>
      </c>
      <c r="B576" s="1" t="n">
        <v>45842.38688657407</v>
      </c>
      <c r="C576" s="1" t="n">
        <v>45947</v>
      </c>
      <c r="D576" t="inlineStr">
        <is>
          <t>SÖDERMANLANDS LÄN</t>
        </is>
      </c>
      <c r="E576" t="inlineStr">
        <is>
          <t>NYKÖPING</t>
        </is>
      </c>
      <c r="G576" t="n">
        <v>6.2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4406-2024</t>
        </is>
      </c>
      <c r="B577" s="1" t="n">
        <v>45327</v>
      </c>
      <c r="C577" s="1" t="n">
        <v>45947</v>
      </c>
      <c r="D577" t="inlineStr">
        <is>
          <t>SÖDERMANLANDS LÄN</t>
        </is>
      </c>
      <c r="E577" t="inlineStr">
        <is>
          <t>NYKÖPING</t>
        </is>
      </c>
      <c r="F577" t="inlineStr">
        <is>
          <t>Holmen skog AB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7424-2025</t>
        </is>
      </c>
      <c r="B578" s="1" t="n">
        <v>45705</v>
      </c>
      <c r="C578" s="1" t="n">
        <v>45947</v>
      </c>
      <c r="D578" t="inlineStr">
        <is>
          <t>SÖDERMANLANDS LÄN</t>
        </is>
      </c>
      <c r="E578" t="inlineStr">
        <is>
          <t>NYKÖPING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5521-2023</t>
        </is>
      </c>
      <c r="B579" s="1" t="n">
        <v>44960</v>
      </c>
      <c r="C579" s="1" t="n">
        <v>45947</v>
      </c>
      <c r="D579" t="inlineStr">
        <is>
          <t>SÖDERMANLANDS LÄN</t>
        </is>
      </c>
      <c r="E579" t="inlineStr">
        <is>
          <t>NYKÖPING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34011-2025</t>
        </is>
      </c>
      <c r="B580" s="1" t="n">
        <v>45844.94479166667</v>
      </c>
      <c r="C580" s="1" t="n">
        <v>45947</v>
      </c>
      <c r="D580" t="inlineStr">
        <is>
          <t>SÖDERMANLANDS LÄN</t>
        </is>
      </c>
      <c r="E580" t="inlineStr">
        <is>
          <t>NYKÖPING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34012-2025</t>
        </is>
      </c>
      <c r="B581" s="1" t="n">
        <v>45844.94641203704</v>
      </c>
      <c r="C581" s="1" t="n">
        <v>45947</v>
      </c>
      <c r="D581" t="inlineStr">
        <is>
          <t>SÖDERMANLANDS LÄN</t>
        </is>
      </c>
      <c r="E581" t="inlineStr">
        <is>
          <t>NYKÖPING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24631-2022</t>
        </is>
      </c>
      <c r="B582" s="1" t="n">
        <v>44727</v>
      </c>
      <c r="C582" s="1" t="n">
        <v>45947</v>
      </c>
      <c r="D582" t="inlineStr">
        <is>
          <t>SÖDERMANLANDS LÄN</t>
        </is>
      </c>
      <c r="E582" t="inlineStr">
        <is>
          <t>NYKÖPING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7270-2025</t>
        </is>
      </c>
      <c r="B583" s="1" t="n">
        <v>45702</v>
      </c>
      <c r="C583" s="1" t="n">
        <v>45947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7223-2023</t>
        </is>
      </c>
      <c r="B584" s="1" t="n">
        <v>44970</v>
      </c>
      <c r="C584" s="1" t="n">
        <v>45947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Holmen skog AB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69-2021</t>
        </is>
      </c>
      <c r="B585" s="1" t="n">
        <v>44200</v>
      </c>
      <c r="C585" s="1" t="n">
        <v>45947</v>
      </c>
      <c r="D585" t="inlineStr">
        <is>
          <t>SÖDERMANLANDS LÄN</t>
        </is>
      </c>
      <c r="E585" t="inlineStr">
        <is>
          <t>NYKÖPING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11554-2025</t>
        </is>
      </c>
      <c r="B586" s="1" t="n">
        <v>45727.35582175926</v>
      </c>
      <c r="C586" s="1" t="n">
        <v>45947</v>
      </c>
      <c r="D586" t="inlineStr">
        <is>
          <t>SÖDERMANLANDS LÄN</t>
        </is>
      </c>
      <c r="E586" t="inlineStr">
        <is>
          <t>NYKÖPING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29052-2021</t>
        </is>
      </c>
      <c r="B587" s="1" t="n">
        <v>44358</v>
      </c>
      <c r="C587" s="1" t="n">
        <v>45947</v>
      </c>
      <c r="D587" t="inlineStr">
        <is>
          <t>SÖDERMANLANDS LÄN</t>
        </is>
      </c>
      <c r="E587" t="inlineStr">
        <is>
          <t>NYKÖPING</t>
        </is>
      </c>
      <c r="G587" t="n">
        <v>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26993-2022</t>
        </is>
      </c>
      <c r="B588" s="1" t="n">
        <v>44740.79188657407</v>
      </c>
      <c r="C588" s="1" t="n">
        <v>45947</v>
      </c>
      <c r="D588" t="inlineStr">
        <is>
          <t>SÖDERMANLANDS LÄN</t>
        </is>
      </c>
      <c r="E588" t="inlineStr">
        <is>
          <t>NYKÖPING</t>
        </is>
      </c>
      <c r="G588" t="n">
        <v>13.1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7807-2025</t>
        </is>
      </c>
      <c r="B589" s="1" t="n">
        <v>45706</v>
      </c>
      <c r="C589" s="1" t="n">
        <v>45947</v>
      </c>
      <c r="D589" t="inlineStr">
        <is>
          <t>SÖDERMANLANDS LÄN</t>
        </is>
      </c>
      <c r="E589" t="inlineStr">
        <is>
          <t>NYKÖPING</t>
        </is>
      </c>
      <c r="F589" t="inlineStr">
        <is>
          <t>Kyrkan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57414-2020</t>
        </is>
      </c>
      <c r="B590" s="1" t="n">
        <v>44140</v>
      </c>
      <c r="C590" s="1" t="n">
        <v>45947</v>
      </c>
      <c r="D590" t="inlineStr">
        <is>
          <t>SÖDERMANLANDS LÄN</t>
        </is>
      </c>
      <c r="E590" t="inlineStr">
        <is>
          <t>NYKÖPING</t>
        </is>
      </c>
      <c r="G590" t="n">
        <v>12.7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33863-2022</t>
        </is>
      </c>
      <c r="B591" s="1" t="n">
        <v>44790.56490740741</v>
      </c>
      <c r="C591" s="1" t="n">
        <v>45947</v>
      </c>
      <c r="D591" t="inlineStr">
        <is>
          <t>SÖDERMANLANDS LÄN</t>
        </is>
      </c>
      <c r="E591" t="inlineStr">
        <is>
          <t>NYKÖPING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53738-2022</t>
        </is>
      </c>
      <c r="B592" s="1" t="n">
        <v>44880</v>
      </c>
      <c r="C592" s="1" t="n">
        <v>45947</v>
      </c>
      <c r="D592" t="inlineStr">
        <is>
          <t>SÖDERMANLANDS LÄN</t>
        </is>
      </c>
      <c r="E592" t="inlineStr">
        <is>
          <t>NYKÖPING</t>
        </is>
      </c>
      <c r="F592" t="inlineStr">
        <is>
          <t>Övriga Aktiebolag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13963-2022</t>
        </is>
      </c>
      <c r="B593" s="1" t="n">
        <v>44650</v>
      </c>
      <c r="C593" s="1" t="n">
        <v>45947</v>
      </c>
      <c r="D593" t="inlineStr">
        <is>
          <t>SÖDERMANLANDS LÄN</t>
        </is>
      </c>
      <c r="E593" t="inlineStr">
        <is>
          <t>NYKÖPING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13763-2025</t>
        </is>
      </c>
      <c r="B594" s="1" t="n">
        <v>45737.43103009259</v>
      </c>
      <c r="C594" s="1" t="n">
        <v>45947</v>
      </c>
      <c r="D594" t="inlineStr">
        <is>
          <t>SÖDERMANLANDS LÄN</t>
        </is>
      </c>
      <c r="E594" t="inlineStr">
        <is>
          <t>NYKÖPING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7303-2025</t>
        </is>
      </c>
      <c r="B595" s="1" t="n">
        <v>45702</v>
      </c>
      <c r="C595" s="1" t="n">
        <v>45947</v>
      </c>
      <c r="D595" t="inlineStr">
        <is>
          <t>SÖDERMANLANDS LÄN</t>
        </is>
      </c>
      <c r="E595" t="inlineStr">
        <is>
          <t>NYKÖPING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66628-2020</t>
        </is>
      </c>
      <c r="B596" s="1" t="n">
        <v>44179.46130787037</v>
      </c>
      <c r="C596" s="1" t="n">
        <v>45947</v>
      </c>
      <c r="D596" t="inlineStr">
        <is>
          <t>SÖDERMANLANDS LÄN</t>
        </is>
      </c>
      <c r="E596" t="inlineStr">
        <is>
          <t>NYKÖPING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43581-2022</t>
        </is>
      </c>
      <c r="B597" s="1" t="n">
        <v>44837</v>
      </c>
      <c r="C597" s="1" t="n">
        <v>45947</v>
      </c>
      <c r="D597" t="inlineStr">
        <is>
          <t>SÖDERMANLANDS LÄN</t>
        </is>
      </c>
      <c r="E597" t="inlineStr">
        <is>
          <t>NYKÖPING</t>
        </is>
      </c>
      <c r="G597" t="n">
        <v>7.8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15024-2025</t>
        </is>
      </c>
      <c r="B598" s="1" t="n">
        <v>45743.6546875</v>
      </c>
      <c r="C598" s="1" t="n">
        <v>45947</v>
      </c>
      <c r="D598" t="inlineStr">
        <is>
          <t>SÖDERMANLANDS LÄN</t>
        </is>
      </c>
      <c r="E598" t="inlineStr">
        <is>
          <t>NYKÖPING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14426-2025</t>
        </is>
      </c>
      <c r="B599" s="1" t="n">
        <v>45741</v>
      </c>
      <c r="C599" s="1" t="n">
        <v>45947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Kommuner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53569-2022</t>
        </is>
      </c>
      <c r="B600" s="1" t="n">
        <v>44879</v>
      </c>
      <c r="C600" s="1" t="n">
        <v>45947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Övriga Aktiebolag</t>
        </is>
      </c>
      <c r="G600" t="n">
        <v>6.3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35329-2025</t>
        </is>
      </c>
      <c r="B601" s="1" t="n">
        <v>45854.54319444444</v>
      </c>
      <c r="C601" s="1" t="n">
        <v>45947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Sveaskog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53413-2022</t>
        </is>
      </c>
      <c r="B602" s="1" t="n">
        <v>44879</v>
      </c>
      <c r="C602" s="1" t="n">
        <v>45947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Övriga Aktiebolag</t>
        </is>
      </c>
      <c r="G602" t="n">
        <v>8.800000000000001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40291-2021</t>
        </is>
      </c>
      <c r="B603" s="1" t="n">
        <v>44419</v>
      </c>
      <c r="C603" s="1" t="n">
        <v>45947</v>
      </c>
      <c r="D603" t="inlineStr">
        <is>
          <t>SÖDERMANLANDS LÄN</t>
        </is>
      </c>
      <c r="E603" t="inlineStr">
        <is>
          <t>NYKÖPING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35330-2025</t>
        </is>
      </c>
      <c r="B604" s="1" t="n">
        <v>45854.54884259259</v>
      </c>
      <c r="C604" s="1" t="n">
        <v>45947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Sveaskog</t>
        </is>
      </c>
      <c r="G604" t="n">
        <v>4.7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35365-2025</t>
        </is>
      </c>
      <c r="B605" s="1" t="n">
        <v>45854</v>
      </c>
      <c r="C605" s="1" t="n">
        <v>45947</v>
      </c>
      <c r="D605" t="inlineStr">
        <is>
          <t>SÖDERMANLANDS LÄN</t>
        </is>
      </c>
      <c r="E605" t="inlineStr">
        <is>
          <t>NYKÖPING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35339-2025</t>
        </is>
      </c>
      <c r="B606" s="1" t="n">
        <v>45854.58997685185</v>
      </c>
      <c r="C606" s="1" t="n">
        <v>45947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Sveaskog</t>
        </is>
      </c>
      <c r="G606" t="n">
        <v>8.1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12800-2023</t>
        </is>
      </c>
      <c r="B607" s="1" t="n">
        <v>45001</v>
      </c>
      <c r="C607" s="1" t="n">
        <v>45947</v>
      </c>
      <c r="D607" t="inlineStr">
        <is>
          <t>SÖDERMANLANDS LÄN</t>
        </is>
      </c>
      <c r="E607" t="inlineStr">
        <is>
          <t>NYKÖPING</t>
        </is>
      </c>
      <c r="F607" t="inlineStr">
        <is>
          <t>Kyrkan</t>
        </is>
      </c>
      <c r="G607" t="n">
        <v>5.6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14175-2021</t>
        </is>
      </c>
      <c r="B608" s="1" t="n">
        <v>44278</v>
      </c>
      <c r="C608" s="1" t="n">
        <v>45947</v>
      </c>
      <c r="D608" t="inlineStr">
        <is>
          <t>SÖDERMANLANDS LÄN</t>
        </is>
      </c>
      <c r="E608" t="inlineStr">
        <is>
          <t>NYKÖPING</t>
        </is>
      </c>
      <c r="G608" t="n">
        <v>6.9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14176-2021</t>
        </is>
      </c>
      <c r="B609" s="1" t="n">
        <v>44278</v>
      </c>
      <c r="C609" s="1" t="n">
        <v>45947</v>
      </c>
      <c r="D609" t="inlineStr">
        <is>
          <t>SÖDERMANLANDS LÄN</t>
        </is>
      </c>
      <c r="E609" t="inlineStr">
        <is>
          <t>NYKÖPING</t>
        </is>
      </c>
      <c r="G609" t="n">
        <v>5.4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8523-2021</t>
        </is>
      </c>
      <c r="B610" s="1" t="n">
        <v>44245</v>
      </c>
      <c r="C610" s="1" t="n">
        <v>45947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1083-2021</t>
        </is>
      </c>
      <c r="B611" s="1" t="n">
        <v>44207</v>
      </c>
      <c r="C611" s="1" t="n">
        <v>45947</v>
      </c>
      <c r="D611" t="inlineStr">
        <is>
          <t>SÖDERMANLANDS LÄN</t>
        </is>
      </c>
      <c r="E611" t="inlineStr">
        <is>
          <t>NYKÖPING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61190-2024</t>
        </is>
      </c>
      <c r="B612" s="1" t="n">
        <v>45645.62415509259</v>
      </c>
      <c r="C612" s="1" t="n">
        <v>45947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Holmen skog AB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1605-2021</t>
        </is>
      </c>
      <c r="B613" s="1" t="n">
        <v>44209</v>
      </c>
      <c r="C613" s="1" t="n">
        <v>45947</v>
      </c>
      <c r="D613" t="inlineStr">
        <is>
          <t>SÖDERMANLANDS LÄN</t>
        </is>
      </c>
      <c r="E613" t="inlineStr">
        <is>
          <t>NYKÖPING</t>
        </is>
      </c>
      <c r="F613" t="inlineStr">
        <is>
          <t>Holmen skog AB</t>
        </is>
      </c>
      <c r="G613" t="n">
        <v>0.3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1707-2023</t>
        </is>
      </c>
      <c r="B614" s="1" t="n">
        <v>44938.45053240741</v>
      </c>
      <c r="C614" s="1" t="n">
        <v>45947</v>
      </c>
      <c r="D614" t="inlineStr">
        <is>
          <t>SÖDERMANLANDS LÄN</t>
        </is>
      </c>
      <c r="E614" t="inlineStr">
        <is>
          <t>NYKÖPING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64-2021</t>
        </is>
      </c>
      <c r="B615" s="1" t="n">
        <v>44199</v>
      </c>
      <c r="C615" s="1" t="n">
        <v>45947</v>
      </c>
      <c r="D615" t="inlineStr">
        <is>
          <t>SÖDERMANLANDS LÄN</t>
        </is>
      </c>
      <c r="E615" t="inlineStr">
        <is>
          <t>NYKÖPING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61618-2022</t>
        </is>
      </c>
      <c r="B616" s="1" t="n">
        <v>44916.67027777778</v>
      </c>
      <c r="C616" s="1" t="n">
        <v>45947</v>
      </c>
      <c r="D616" t="inlineStr">
        <is>
          <t>SÖDERMANLANDS LÄN</t>
        </is>
      </c>
      <c r="E616" t="inlineStr">
        <is>
          <t>NYKÖPING</t>
        </is>
      </c>
      <c r="F616" t="inlineStr">
        <is>
          <t>Holmen skog AB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35732-2025</t>
        </is>
      </c>
      <c r="B617" s="1" t="n">
        <v>45860</v>
      </c>
      <c r="C617" s="1" t="n">
        <v>45947</v>
      </c>
      <c r="D617" t="inlineStr">
        <is>
          <t>SÖDERMANLANDS LÄN</t>
        </is>
      </c>
      <c r="E617" t="inlineStr">
        <is>
          <t>NYKÖPING</t>
        </is>
      </c>
      <c r="F617" t="inlineStr">
        <is>
          <t>Holmen skog AB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15397-2023</t>
        </is>
      </c>
      <c r="B618" s="1" t="n">
        <v>45019.65358796297</v>
      </c>
      <c r="C618" s="1" t="n">
        <v>45947</v>
      </c>
      <c r="D618" t="inlineStr">
        <is>
          <t>SÖDERMANLANDS LÄN</t>
        </is>
      </c>
      <c r="E618" t="inlineStr">
        <is>
          <t>NYKÖPING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24539-2021</t>
        </is>
      </c>
      <c r="B619" s="1" t="n">
        <v>44339</v>
      </c>
      <c r="C619" s="1" t="n">
        <v>45947</v>
      </c>
      <c r="D619" t="inlineStr">
        <is>
          <t>SÖDERMANLANDS LÄN</t>
        </is>
      </c>
      <c r="E619" t="inlineStr">
        <is>
          <t>NYKÖPING</t>
        </is>
      </c>
      <c r="F619" t="inlineStr">
        <is>
          <t>Övriga Aktiebolag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29766-2022</t>
        </is>
      </c>
      <c r="B620" s="1" t="n">
        <v>44755</v>
      </c>
      <c r="C620" s="1" t="n">
        <v>45947</v>
      </c>
      <c r="D620" t="inlineStr">
        <is>
          <t>SÖDERMANLANDS LÄN</t>
        </is>
      </c>
      <c r="E620" t="inlineStr">
        <is>
          <t>NYKÖPING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38410-2022</t>
        </is>
      </c>
      <c r="B621" s="1" t="n">
        <v>44812</v>
      </c>
      <c r="C621" s="1" t="n">
        <v>45947</v>
      </c>
      <c r="D621" t="inlineStr">
        <is>
          <t>SÖDERMANLANDS LÄN</t>
        </is>
      </c>
      <c r="E621" t="inlineStr">
        <is>
          <t>NYKÖPING</t>
        </is>
      </c>
      <c r="G621" t="n">
        <v>3.4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60-2021</t>
        </is>
      </c>
      <c r="B622" s="1" t="n">
        <v>44199</v>
      </c>
      <c r="C622" s="1" t="n">
        <v>45947</v>
      </c>
      <c r="D622" t="inlineStr">
        <is>
          <t>SÖDERMANLANDS LÄN</t>
        </is>
      </c>
      <c r="E622" t="inlineStr">
        <is>
          <t>NYKÖPING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61-2021</t>
        </is>
      </c>
      <c r="B623" s="1" t="n">
        <v>44199</v>
      </c>
      <c r="C623" s="1" t="n">
        <v>45947</v>
      </c>
      <c r="D623" t="inlineStr">
        <is>
          <t>SÖDERMANLANDS LÄN</t>
        </is>
      </c>
      <c r="E623" t="inlineStr">
        <is>
          <t>NYKÖPING</t>
        </is>
      </c>
      <c r="G623" t="n">
        <v>2.4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35688-2025</t>
        </is>
      </c>
      <c r="B624" s="1" t="n">
        <v>45860</v>
      </c>
      <c r="C624" s="1" t="n">
        <v>45947</v>
      </c>
      <c r="D624" t="inlineStr">
        <is>
          <t>SÖDERMANLANDS LÄN</t>
        </is>
      </c>
      <c r="E624" t="inlineStr">
        <is>
          <t>NYKÖPING</t>
        </is>
      </c>
      <c r="F624" t="inlineStr">
        <is>
          <t>Holmen skog AB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39908-2024</t>
        </is>
      </c>
      <c r="B625" s="1" t="n">
        <v>45553</v>
      </c>
      <c r="C625" s="1" t="n">
        <v>45947</v>
      </c>
      <c r="D625" t="inlineStr">
        <is>
          <t>SÖDERMANLANDS LÄN</t>
        </is>
      </c>
      <c r="E625" t="inlineStr">
        <is>
          <t>NYKÖPING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38023-2021</t>
        </is>
      </c>
      <c r="B626" s="1" t="n">
        <v>44404</v>
      </c>
      <c r="C626" s="1" t="n">
        <v>45947</v>
      </c>
      <c r="D626" t="inlineStr">
        <is>
          <t>SÖDERMANLANDS LÄN</t>
        </is>
      </c>
      <c r="E626" t="inlineStr">
        <is>
          <t>NYKÖPING</t>
        </is>
      </c>
      <c r="F626" t="inlineStr">
        <is>
          <t>Holmen skog AB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37-2021</t>
        </is>
      </c>
      <c r="B627" s="1" t="n">
        <v>44198</v>
      </c>
      <c r="C627" s="1" t="n">
        <v>45947</v>
      </c>
      <c r="D627" t="inlineStr">
        <is>
          <t>SÖDERMANLANDS LÄN</t>
        </is>
      </c>
      <c r="E627" t="inlineStr">
        <is>
          <t>NYKÖPING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5642-2023</t>
        </is>
      </c>
      <c r="B628" s="1" t="n">
        <v>44960</v>
      </c>
      <c r="C628" s="1" t="n">
        <v>45947</v>
      </c>
      <c r="D628" t="inlineStr">
        <is>
          <t>SÖDERMANLANDS LÄN</t>
        </is>
      </c>
      <c r="E628" t="inlineStr">
        <is>
          <t>NYKÖPING</t>
        </is>
      </c>
      <c r="F628" t="inlineStr">
        <is>
          <t>Holmen skog AB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1739-2023</t>
        </is>
      </c>
      <c r="B629" s="1" t="n">
        <v>44938</v>
      </c>
      <c r="C629" s="1" t="n">
        <v>45947</v>
      </c>
      <c r="D629" t="inlineStr">
        <is>
          <t>SÖDERMANLANDS LÄN</t>
        </is>
      </c>
      <c r="E629" t="inlineStr">
        <is>
          <t>NYKÖPING</t>
        </is>
      </c>
      <c r="G629" t="n">
        <v>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8415-2023</t>
        </is>
      </c>
      <c r="B630" s="1" t="n">
        <v>44977.44368055555</v>
      </c>
      <c r="C630" s="1" t="n">
        <v>45947</v>
      </c>
      <c r="D630" t="inlineStr">
        <is>
          <t>SÖDERMANLANDS LÄN</t>
        </is>
      </c>
      <c r="E630" t="inlineStr">
        <is>
          <t>NYKÖPING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23114-2023</t>
        </is>
      </c>
      <c r="B631" s="1" t="n">
        <v>45075</v>
      </c>
      <c r="C631" s="1" t="n">
        <v>45947</v>
      </c>
      <c r="D631" t="inlineStr">
        <is>
          <t>SÖDERMANLANDS LÄN</t>
        </is>
      </c>
      <c r="E631" t="inlineStr">
        <is>
          <t>NYKÖPING</t>
        </is>
      </c>
      <c r="F631" t="inlineStr">
        <is>
          <t>Sveaskog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34289-2023</t>
        </is>
      </c>
      <c r="B632" s="1" t="n">
        <v>45138</v>
      </c>
      <c r="C632" s="1" t="n">
        <v>45947</v>
      </c>
      <c r="D632" t="inlineStr">
        <is>
          <t>SÖDERMANLANDS LÄN</t>
        </is>
      </c>
      <c r="E632" t="inlineStr">
        <is>
          <t>NYKÖPING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16906-2022</t>
        </is>
      </c>
      <c r="B633" s="1" t="n">
        <v>44676</v>
      </c>
      <c r="C633" s="1" t="n">
        <v>45947</v>
      </c>
      <c r="D633" t="inlineStr">
        <is>
          <t>SÖDERMANLANDS LÄN</t>
        </is>
      </c>
      <c r="E633" t="inlineStr">
        <is>
          <t>NYKÖPING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72985-2021</t>
        </is>
      </c>
      <c r="B634" s="1" t="n">
        <v>44549.75226851852</v>
      </c>
      <c r="C634" s="1" t="n">
        <v>45947</v>
      </c>
      <c r="D634" t="inlineStr">
        <is>
          <t>SÖDERMANLANDS LÄN</t>
        </is>
      </c>
      <c r="E634" t="inlineStr">
        <is>
          <t>NYKÖPING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8407-2023</t>
        </is>
      </c>
      <c r="B635" s="1" t="n">
        <v>44977</v>
      </c>
      <c r="C635" s="1" t="n">
        <v>45947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Övriga Aktiebolag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51530-2022</t>
        </is>
      </c>
      <c r="B636" s="1" t="n">
        <v>44869</v>
      </c>
      <c r="C636" s="1" t="n">
        <v>45947</v>
      </c>
      <c r="D636" t="inlineStr">
        <is>
          <t>SÖDERMANLANDS LÄN</t>
        </is>
      </c>
      <c r="E636" t="inlineStr">
        <is>
          <t>NYKÖPING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24891-2023</t>
        </is>
      </c>
      <c r="B637" s="1" t="n">
        <v>45085</v>
      </c>
      <c r="C637" s="1" t="n">
        <v>45947</v>
      </c>
      <c r="D637" t="inlineStr">
        <is>
          <t>SÖDERMANLANDS LÄN</t>
        </is>
      </c>
      <c r="E637" t="inlineStr">
        <is>
          <t>NYKÖPING</t>
        </is>
      </c>
      <c r="F637" t="inlineStr">
        <is>
          <t>Holmen skog AB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32313-2021</t>
        </is>
      </c>
      <c r="B638" s="1" t="n">
        <v>44371</v>
      </c>
      <c r="C638" s="1" t="n">
        <v>45947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47780-2025</t>
        </is>
      </c>
      <c r="B639" s="1" t="n">
        <v>45931.7371412037</v>
      </c>
      <c r="C639" s="1" t="n">
        <v>45947</v>
      </c>
      <c r="D639" t="inlineStr">
        <is>
          <t>SÖDERMANLANDS LÄN</t>
        </is>
      </c>
      <c r="E639" t="inlineStr">
        <is>
          <t>NYKÖPING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32551-2021</t>
        </is>
      </c>
      <c r="B640" s="1" t="n">
        <v>44375</v>
      </c>
      <c r="C640" s="1" t="n">
        <v>45947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Holmen skog AB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39310-2023</t>
        </is>
      </c>
      <c r="B641" s="1" t="n">
        <v>45166.57472222222</v>
      </c>
      <c r="C641" s="1" t="n">
        <v>45947</v>
      </c>
      <c r="D641" t="inlineStr">
        <is>
          <t>SÖDERMANLANDS LÄN</t>
        </is>
      </c>
      <c r="E641" t="inlineStr">
        <is>
          <t>NYKÖPING</t>
        </is>
      </c>
      <c r="F641" t="inlineStr">
        <is>
          <t>Holmen skog AB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42377-2025</t>
        </is>
      </c>
      <c r="B642" s="1" t="n">
        <v>45905.3440625</v>
      </c>
      <c r="C642" s="1" t="n">
        <v>45947</v>
      </c>
      <c r="D642" t="inlineStr">
        <is>
          <t>SÖDERMANLANDS LÄN</t>
        </is>
      </c>
      <c r="E642" t="inlineStr">
        <is>
          <t>NYKÖPING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42383-2025</t>
        </is>
      </c>
      <c r="B643" s="1" t="n">
        <v>45905.34798611111</v>
      </c>
      <c r="C643" s="1" t="n">
        <v>45947</v>
      </c>
      <c r="D643" t="inlineStr">
        <is>
          <t>SÖDERMANLANDS LÄN</t>
        </is>
      </c>
      <c r="E643" t="inlineStr">
        <is>
          <t>NYKÖPING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2687-2023</t>
        </is>
      </c>
      <c r="B644" s="1" t="n">
        <v>44944</v>
      </c>
      <c r="C644" s="1" t="n">
        <v>45947</v>
      </c>
      <c r="D644" t="inlineStr">
        <is>
          <t>SÖDERMANLANDS LÄN</t>
        </is>
      </c>
      <c r="E644" t="inlineStr">
        <is>
          <t>NYKÖPING</t>
        </is>
      </c>
      <c r="G644" t="n">
        <v>14.9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4854-2023</t>
        </is>
      </c>
      <c r="B645" s="1" t="n">
        <v>44957.73273148148</v>
      </c>
      <c r="C645" s="1" t="n">
        <v>45947</v>
      </c>
      <c r="D645" t="inlineStr">
        <is>
          <t>SÖDERMANLANDS LÄN</t>
        </is>
      </c>
      <c r="E645" t="inlineStr">
        <is>
          <t>NYKÖPING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21257-2023</t>
        </is>
      </c>
      <c r="B646" s="1" t="n">
        <v>45062</v>
      </c>
      <c r="C646" s="1" t="n">
        <v>45947</v>
      </c>
      <c r="D646" t="inlineStr">
        <is>
          <t>SÖDERMANLANDS LÄN</t>
        </is>
      </c>
      <c r="E646" t="inlineStr">
        <is>
          <t>NYKÖPING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40374-2024</t>
        </is>
      </c>
      <c r="B647" s="1" t="n">
        <v>45555.40415509259</v>
      </c>
      <c r="C647" s="1" t="n">
        <v>45947</v>
      </c>
      <c r="D647" t="inlineStr">
        <is>
          <t>SÖDERMANLANDS LÄN</t>
        </is>
      </c>
      <c r="E647" t="inlineStr">
        <is>
          <t>NYKÖPING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47810-2025</t>
        </is>
      </c>
      <c r="B648" s="1" t="n">
        <v>45932.31585648148</v>
      </c>
      <c r="C648" s="1" t="n">
        <v>45947</v>
      </c>
      <c r="D648" t="inlineStr">
        <is>
          <t>SÖDERMANLANDS LÄN</t>
        </is>
      </c>
      <c r="E648" t="inlineStr">
        <is>
          <t>NYKÖPING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35952-2025</t>
        </is>
      </c>
      <c r="B649" s="1" t="n">
        <v>45863.31188657408</v>
      </c>
      <c r="C649" s="1" t="n">
        <v>45947</v>
      </c>
      <c r="D649" t="inlineStr">
        <is>
          <t>SÖDERMANLANDS LÄN</t>
        </is>
      </c>
      <c r="E649" t="inlineStr">
        <is>
          <t>NYKÖPING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35953-2025</t>
        </is>
      </c>
      <c r="B650" s="1" t="n">
        <v>45863</v>
      </c>
      <c r="C650" s="1" t="n">
        <v>45947</v>
      </c>
      <c r="D650" t="inlineStr">
        <is>
          <t>SÖDERMANLANDS LÄN</t>
        </is>
      </c>
      <c r="E650" t="inlineStr">
        <is>
          <t>NYKÖPING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11068-2024</t>
        </is>
      </c>
      <c r="B651" s="1" t="n">
        <v>45370</v>
      </c>
      <c r="C651" s="1" t="n">
        <v>45947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Kommuner</t>
        </is>
      </c>
      <c r="G651" t="n">
        <v>5.7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7006-2021</t>
        </is>
      </c>
      <c r="B652" s="1" t="n">
        <v>44237</v>
      </c>
      <c r="C652" s="1" t="n">
        <v>45947</v>
      </c>
      <c r="D652" t="inlineStr">
        <is>
          <t>SÖDERMANLANDS LÄN</t>
        </is>
      </c>
      <c r="E652" t="inlineStr">
        <is>
          <t>NYKÖPING</t>
        </is>
      </c>
      <c r="F652" t="inlineStr">
        <is>
          <t>Holmen skog AB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42671-2025</t>
        </is>
      </c>
      <c r="B653" s="1" t="n">
        <v>45908.28657407407</v>
      </c>
      <c r="C653" s="1" t="n">
        <v>45947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Holmen skog AB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46575-2021</t>
        </is>
      </c>
      <c r="B654" s="1" t="n">
        <v>44445</v>
      </c>
      <c r="C654" s="1" t="n">
        <v>45947</v>
      </c>
      <c r="D654" t="inlineStr">
        <is>
          <t>SÖDERMANLANDS LÄN</t>
        </is>
      </c>
      <c r="E654" t="inlineStr">
        <is>
          <t>NYKÖPING</t>
        </is>
      </c>
      <c r="G654" t="n">
        <v>19.1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3187-2022</t>
        </is>
      </c>
      <c r="B655" s="1" t="n">
        <v>44582.63854166667</v>
      </c>
      <c r="C655" s="1" t="n">
        <v>45947</v>
      </c>
      <c r="D655" t="inlineStr">
        <is>
          <t>SÖDERMANLANDS LÄN</t>
        </is>
      </c>
      <c r="E655" t="inlineStr">
        <is>
          <t>NYKÖPING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51556-2024</t>
        </is>
      </c>
      <c r="B656" s="1" t="n">
        <v>45604.60871527778</v>
      </c>
      <c r="C656" s="1" t="n">
        <v>45947</v>
      </c>
      <c r="D656" t="inlineStr">
        <is>
          <t>SÖDERMANLANDS LÄN</t>
        </is>
      </c>
      <c r="E656" t="inlineStr">
        <is>
          <t>NYKÖPING</t>
        </is>
      </c>
      <c r="G656" t="n">
        <v>2.9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42749-2025</t>
        </is>
      </c>
      <c r="B657" s="1" t="n">
        <v>45908.43563657408</v>
      </c>
      <c r="C657" s="1" t="n">
        <v>45947</v>
      </c>
      <c r="D657" t="inlineStr">
        <is>
          <t>SÖDERMANLANDS LÄN</t>
        </is>
      </c>
      <c r="E657" t="inlineStr">
        <is>
          <t>NYKÖPING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35358-2025</t>
        </is>
      </c>
      <c r="B658" s="1" t="n">
        <v>45854</v>
      </c>
      <c r="C658" s="1" t="n">
        <v>45947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34753-2021</t>
        </is>
      </c>
      <c r="B659" s="1" t="n">
        <v>44382</v>
      </c>
      <c r="C659" s="1" t="n">
        <v>45947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Övriga Aktiebolag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52068-2023</t>
        </is>
      </c>
      <c r="B660" s="1" t="n">
        <v>45216</v>
      </c>
      <c r="C660" s="1" t="n">
        <v>45947</v>
      </c>
      <c r="D660" t="inlineStr">
        <is>
          <t>SÖDERMANLANDS LÄN</t>
        </is>
      </c>
      <c r="E660" t="inlineStr">
        <is>
          <t>NYKÖPING</t>
        </is>
      </c>
      <c r="G660" t="n">
        <v>3.7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48697-2025</t>
        </is>
      </c>
      <c r="B661" s="1" t="n">
        <v>45936.61511574074</v>
      </c>
      <c r="C661" s="1" t="n">
        <v>45947</v>
      </c>
      <c r="D661" t="inlineStr">
        <is>
          <t>SÖDERMANLANDS LÄN</t>
        </is>
      </c>
      <c r="E661" t="inlineStr">
        <is>
          <t>NYKÖPING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48700-2025</t>
        </is>
      </c>
      <c r="B662" s="1" t="n">
        <v>45936.61704861111</v>
      </c>
      <c r="C662" s="1" t="n">
        <v>45947</v>
      </c>
      <c r="D662" t="inlineStr">
        <is>
          <t>SÖDERMANLANDS LÄN</t>
        </is>
      </c>
      <c r="E662" t="inlineStr">
        <is>
          <t>NYKÖPING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48182-2025</t>
        </is>
      </c>
      <c r="B663" s="1" t="n">
        <v>45933.45298611111</v>
      </c>
      <c r="C663" s="1" t="n">
        <v>45947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Holmen skog AB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5546-2023</t>
        </is>
      </c>
      <c r="B664" s="1" t="n">
        <v>44960</v>
      </c>
      <c r="C664" s="1" t="n">
        <v>45947</v>
      </c>
      <c r="D664" t="inlineStr">
        <is>
          <t>SÖDERMANLANDS LÄN</t>
        </is>
      </c>
      <c r="E664" t="inlineStr">
        <is>
          <t>NYKÖPING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38149-2024</t>
        </is>
      </c>
      <c r="B665" s="1" t="n">
        <v>45545</v>
      </c>
      <c r="C665" s="1" t="n">
        <v>45947</v>
      </c>
      <c r="D665" t="inlineStr">
        <is>
          <t>SÖDERMANLANDS LÄN</t>
        </is>
      </c>
      <c r="E665" t="inlineStr">
        <is>
          <t>NYKÖPING</t>
        </is>
      </c>
      <c r="G665" t="n">
        <v>5.6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3216-2023</t>
        </is>
      </c>
      <c r="B666" s="1" t="n">
        <v>44946</v>
      </c>
      <c r="C666" s="1" t="n">
        <v>45947</v>
      </c>
      <c r="D666" t="inlineStr">
        <is>
          <t>SÖDERMANLANDS LÄN</t>
        </is>
      </c>
      <c r="E666" t="inlineStr">
        <is>
          <t>NYKÖPING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10469-2025</t>
        </is>
      </c>
      <c r="B667" s="1" t="n">
        <v>45720.84736111111</v>
      </c>
      <c r="C667" s="1" t="n">
        <v>45947</v>
      </c>
      <c r="D667" t="inlineStr">
        <is>
          <t>SÖDERMANLANDS LÄN</t>
        </is>
      </c>
      <c r="E667" t="inlineStr">
        <is>
          <t>NYKÖPING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48195-2025</t>
        </is>
      </c>
      <c r="B668" s="1" t="n">
        <v>45933.47145833333</v>
      </c>
      <c r="C668" s="1" t="n">
        <v>45947</v>
      </c>
      <c r="D668" t="inlineStr">
        <is>
          <t>SÖDERMANLANDS LÄN</t>
        </is>
      </c>
      <c r="E668" t="inlineStr">
        <is>
          <t>NYKÖPING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48484-2022</t>
        </is>
      </c>
      <c r="B669" s="1" t="n">
        <v>44858</v>
      </c>
      <c r="C669" s="1" t="n">
        <v>45947</v>
      </c>
      <c r="D669" t="inlineStr">
        <is>
          <t>SÖDERMANLANDS LÄN</t>
        </is>
      </c>
      <c r="E669" t="inlineStr">
        <is>
          <t>NYKÖPING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56238-2024</t>
        </is>
      </c>
      <c r="B670" s="1" t="n">
        <v>45624</v>
      </c>
      <c r="C670" s="1" t="n">
        <v>45947</v>
      </c>
      <c r="D670" t="inlineStr">
        <is>
          <t>SÖDERMANLANDS LÄN</t>
        </is>
      </c>
      <c r="E670" t="inlineStr">
        <is>
          <t>NYKÖPING</t>
        </is>
      </c>
      <c r="G670" t="n">
        <v>17.3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48175-2025</t>
        </is>
      </c>
      <c r="B671" s="1" t="n">
        <v>45933.44259259259</v>
      </c>
      <c r="C671" s="1" t="n">
        <v>45947</v>
      </c>
      <c r="D671" t="inlineStr">
        <is>
          <t>SÖDERMANLANDS LÄN</t>
        </is>
      </c>
      <c r="E671" t="inlineStr">
        <is>
          <t>NYKÖPING</t>
        </is>
      </c>
      <c r="F671" t="inlineStr">
        <is>
          <t>Holmen skog AB</t>
        </is>
      </c>
      <c r="G671" t="n">
        <v>4.9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38029-2021</t>
        </is>
      </c>
      <c r="B672" s="1" t="n">
        <v>44404</v>
      </c>
      <c r="C672" s="1" t="n">
        <v>45947</v>
      </c>
      <c r="D672" t="inlineStr">
        <is>
          <t>SÖDERMANLANDS LÄN</t>
        </is>
      </c>
      <c r="E672" t="inlineStr">
        <is>
          <t>NYKÖPING</t>
        </is>
      </c>
      <c r="F672" t="inlineStr">
        <is>
          <t>Holmen skog AB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34632-2021</t>
        </is>
      </c>
      <c r="B673" s="1" t="n">
        <v>44382</v>
      </c>
      <c r="C673" s="1" t="n">
        <v>45947</v>
      </c>
      <c r="D673" t="inlineStr">
        <is>
          <t>SÖDERMANLANDS LÄN</t>
        </is>
      </c>
      <c r="E673" t="inlineStr">
        <is>
          <t>NYKÖPING</t>
        </is>
      </c>
      <c r="F673" t="inlineStr">
        <is>
          <t>Övriga Aktiebolag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30198-2022</t>
        </is>
      </c>
      <c r="B674" s="1" t="n">
        <v>44757</v>
      </c>
      <c r="C674" s="1" t="n">
        <v>45947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Holmen skog AB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48363-2025</t>
        </is>
      </c>
      <c r="B675" s="1" t="n">
        <v>45933.66715277778</v>
      </c>
      <c r="C675" s="1" t="n">
        <v>45947</v>
      </c>
      <c r="D675" t="inlineStr">
        <is>
          <t>SÖDERMANLANDS LÄN</t>
        </is>
      </c>
      <c r="E675" t="inlineStr">
        <is>
          <t>NYKÖPING</t>
        </is>
      </c>
      <c r="G675" t="n">
        <v>6.2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35318-2024</t>
        </is>
      </c>
      <c r="B676" s="1" t="n">
        <v>45530</v>
      </c>
      <c r="C676" s="1" t="n">
        <v>45947</v>
      </c>
      <c r="D676" t="inlineStr">
        <is>
          <t>SÖDERMANLANDS LÄN</t>
        </is>
      </c>
      <c r="E676" t="inlineStr">
        <is>
          <t>NYKÖPING</t>
        </is>
      </c>
      <c r="G676" t="n">
        <v>7.6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22820-2024</t>
        </is>
      </c>
      <c r="B677" s="1" t="n">
        <v>45448.52920138889</v>
      </c>
      <c r="C677" s="1" t="n">
        <v>45947</v>
      </c>
      <c r="D677" t="inlineStr">
        <is>
          <t>SÖDERMANLANDS LÄN</t>
        </is>
      </c>
      <c r="E677" t="inlineStr">
        <is>
          <t>NYKÖPING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18510-2024</t>
        </is>
      </c>
      <c r="B678" s="1" t="n">
        <v>45424</v>
      </c>
      <c r="C678" s="1" t="n">
        <v>45947</v>
      </c>
      <c r="D678" t="inlineStr">
        <is>
          <t>SÖDERMANLANDS LÄN</t>
        </is>
      </c>
      <c r="E678" t="inlineStr">
        <is>
          <t>NYKÖPING</t>
        </is>
      </c>
      <c r="G678" t="n">
        <v>4.7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52258-2023</t>
        </is>
      </c>
      <c r="B679" s="1" t="n">
        <v>45224</v>
      </c>
      <c r="C679" s="1" t="n">
        <v>45947</v>
      </c>
      <c r="D679" t="inlineStr">
        <is>
          <t>SÖDERMANLANDS LÄN</t>
        </is>
      </c>
      <c r="E679" t="inlineStr">
        <is>
          <t>NYKÖPING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5291-2023</t>
        </is>
      </c>
      <c r="B680" s="1" t="n">
        <v>44959</v>
      </c>
      <c r="C680" s="1" t="n">
        <v>45947</v>
      </c>
      <c r="D680" t="inlineStr">
        <is>
          <t>SÖDERMANLANDS LÄN</t>
        </is>
      </c>
      <c r="E680" t="inlineStr">
        <is>
          <t>NYKÖPING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48153-2023</t>
        </is>
      </c>
      <c r="B681" s="1" t="n">
        <v>45205</v>
      </c>
      <c r="C681" s="1" t="n">
        <v>45947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Holmen skog AB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9395-2025</t>
        </is>
      </c>
      <c r="B682" s="1" t="n">
        <v>45715.37094907407</v>
      </c>
      <c r="C682" s="1" t="n">
        <v>45947</v>
      </c>
      <c r="D682" t="inlineStr">
        <is>
          <t>SÖDERMANLANDS LÄN</t>
        </is>
      </c>
      <c r="E682" t="inlineStr">
        <is>
          <t>NYKÖPING</t>
        </is>
      </c>
      <c r="G682" t="n">
        <v>8.4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47258-2023</t>
        </is>
      </c>
      <c r="B683" s="1" t="n">
        <v>45202.41700231482</v>
      </c>
      <c r="C683" s="1" t="n">
        <v>45947</v>
      </c>
      <c r="D683" t="inlineStr">
        <is>
          <t>SÖDERMANLANDS LÄN</t>
        </is>
      </c>
      <c r="E683" t="inlineStr">
        <is>
          <t>NYKÖPING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30394-2021</t>
        </is>
      </c>
      <c r="B684" s="1" t="n">
        <v>44364</v>
      </c>
      <c r="C684" s="1" t="n">
        <v>45947</v>
      </c>
      <c r="D684" t="inlineStr">
        <is>
          <t>SÖDERMANLANDS LÄN</t>
        </is>
      </c>
      <c r="E684" t="inlineStr">
        <is>
          <t>NYKÖPING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30441-2021</t>
        </is>
      </c>
      <c r="B685" s="1" t="n">
        <v>44336</v>
      </c>
      <c r="C685" s="1" t="n">
        <v>45947</v>
      </c>
      <c r="D685" t="inlineStr">
        <is>
          <t>SÖDERMANLANDS LÄN</t>
        </is>
      </c>
      <c r="E685" t="inlineStr">
        <is>
          <t>NYKÖPING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35361-2025</t>
        </is>
      </c>
      <c r="B686" s="1" t="n">
        <v>45854</v>
      </c>
      <c r="C686" s="1" t="n">
        <v>45947</v>
      </c>
      <c r="D686" t="inlineStr">
        <is>
          <t>SÖDERMANLANDS LÄN</t>
        </is>
      </c>
      <c r="E686" t="inlineStr">
        <is>
          <t>NYKÖPING</t>
        </is>
      </c>
      <c r="G686" t="n">
        <v>5.3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39068-2025</t>
        </is>
      </c>
      <c r="B687" s="1" t="n">
        <v>45888</v>
      </c>
      <c r="C687" s="1" t="n">
        <v>45947</v>
      </c>
      <c r="D687" t="inlineStr">
        <is>
          <t>SÖDERMANLANDS LÄN</t>
        </is>
      </c>
      <c r="E687" t="inlineStr">
        <is>
          <t>NYKÖPING</t>
        </is>
      </c>
      <c r="G687" t="n">
        <v>15.2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41719-2021</t>
        </is>
      </c>
      <c r="B688" s="1" t="n">
        <v>44425</v>
      </c>
      <c r="C688" s="1" t="n">
        <v>45947</v>
      </c>
      <c r="D688" t="inlineStr">
        <is>
          <t>SÖDERMANLANDS LÄN</t>
        </is>
      </c>
      <c r="E688" t="inlineStr">
        <is>
          <t>NYKÖPING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42858-2021</t>
        </is>
      </c>
      <c r="B689" s="1" t="n">
        <v>44430</v>
      </c>
      <c r="C689" s="1" t="n">
        <v>45947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Holmen skog AB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12135-2025</t>
        </is>
      </c>
      <c r="B690" s="1" t="n">
        <v>45729.39240740741</v>
      </c>
      <c r="C690" s="1" t="n">
        <v>45947</v>
      </c>
      <c r="D690" t="inlineStr">
        <is>
          <t>SÖDERMANLANDS LÄN</t>
        </is>
      </c>
      <c r="E690" t="inlineStr">
        <is>
          <t>NYKÖPING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44473-2021</t>
        </is>
      </c>
      <c r="B691" s="1" t="n">
        <v>44435.57420138889</v>
      </c>
      <c r="C691" s="1" t="n">
        <v>45947</v>
      </c>
      <c r="D691" t="inlineStr">
        <is>
          <t>SÖDERMANLANDS LÄN</t>
        </is>
      </c>
      <c r="E691" t="inlineStr">
        <is>
          <t>NYKÖPING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49942-2022</t>
        </is>
      </c>
      <c r="B692" s="1" t="n">
        <v>44865</v>
      </c>
      <c r="C692" s="1" t="n">
        <v>45947</v>
      </c>
      <c r="D692" t="inlineStr">
        <is>
          <t>SÖDERMANLANDS LÄN</t>
        </is>
      </c>
      <c r="E692" t="inlineStr">
        <is>
          <t>NYKÖPING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1915-2022</t>
        </is>
      </c>
      <c r="B693" s="1" t="n">
        <v>44575.41842592593</v>
      </c>
      <c r="C693" s="1" t="n">
        <v>45947</v>
      </c>
      <c r="D693" t="inlineStr">
        <is>
          <t>SÖDERMANLANDS LÄN</t>
        </is>
      </c>
      <c r="E693" t="inlineStr">
        <is>
          <t>NYKÖPING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34619-2021</t>
        </is>
      </c>
      <c r="B694" s="1" t="n">
        <v>44379</v>
      </c>
      <c r="C694" s="1" t="n">
        <v>45947</v>
      </c>
      <c r="D694" t="inlineStr">
        <is>
          <t>SÖDERMANLANDS LÄN</t>
        </is>
      </c>
      <c r="E694" t="inlineStr">
        <is>
          <t>NYKÖPING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51880-2023</t>
        </is>
      </c>
      <c r="B695" s="1" t="n">
        <v>45216</v>
      </c>
      <c r="C695" s="1" t="n">
        <v>45947</v>
      </c>
      <c r="D695" t="inlineStr">
        <is>
          <t>SÖDERMANLANDS LÄN</t>
        </is>
      </c>
      <c r="E695" t="inlineStr">
        <is>
          <t>NYKÖPING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1547-2021</t>
        </is>
      </c>
      <c r="B696" s="1" t="n">
        <v>44209</v>
      </c>
      <c r="C696" s="1" t="n">
        <v>45947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40376-2025</t>
        </is>
      </c>
      <c r="B697" s="1" t="n">
        <v>45895.52841435185</v>
      </c>
      <c r="C697" s="1" t="n">
        <v>45947</v>
      </c>
      <c r="D697" t="inlineStr">
        <is>
          <t>SÖDERMANLANDS LÄN</t>
        </is>
      </c>
      <c r="E697" t="inlineStr">
        <is>
          <t>NYKÖPING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48813-2025</t>
        </is>
      </c>
      <c r="B698" s="1" t="n">
        <v>45937.36054398148</v>
      </c>
      <c r="C698" s="1" t="n">
        <v>45947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Sveaskog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12144-2025</t>
        </is>
      </c>
      <c r="B699" s="1" t="n">
        <v>45729.40546296296</v>
      </c>
      <c r="C699" s="1" t="n">
        <v>45947</v>
      </c>
      <c r="D699" t="inlineStr">
        <is>
          <t>SÖDERMANLANDS LÄN</t>
        </is>
      </c>
      <c r="E699" t="inlineStr">
        <is>
          <t>NYKÖPING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49289-2023</t>
        </is>
      </c>
      <c r="B700" s="1" t="n">
        <v>45210.7621875</v>
      </c>
      <c r="C700" s="1" t="n">
        <v>45947</v>
      </c>
      <c r="D700" t="inlineStr">
        <is>
          <t>SÖDERMANLANDS LÄN</t>
        </is>
      </c>
      <c r="E700" t="inlineStr">
        <is>
          <t>NYKÖPING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29893-2021</t>
        </is>
      </c>
      <c r="B701" s="1" t="n">
        <v>44362</v>
      </c>
      <c r="C701" s="1" t="n">
        <v>45947</v>
      </c>
      <c r="D701" t="inlineStr">
        <is>
          <t>SÖDERMANLANDS LÄN</t>
        </is>
      </c>
      <c r="E701" t="inlineStr">
        <is>
          <t>NYKÖPING</t>
        </is>
      </c>
      <c r="G701" t="n">
        <v>10.6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18204-2025</t>
        </is>
      </c>
      <c r="B702" s="1" t="n">
        <v>45761</v>
      </c>
      <c r="C702" s="1" t="n">
        <v>45947</v>
      </c>
      <c r="D702" t="inlineStr">
        <is>
          <t>SÖDERMANLANDS LÄN</t>
        </is>
      </c>
      <c r="E702" t="inlineStr">
        <is>
          <t>NYKÖPING</t>
        </is>
      </c>
      <c r="G702" t="n">
        <v>2.7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30855-2023</t>
        </is>
      </c>
      <c r="B703" s="1" t="n">
        <v>45110</v>
      </c>
      <c r="C703" s="1" t="n">
        <v>45947</v>
      </c>
      <c r="D703" t="inlineStr">
        <is>
          <t>SÖDERMANLANDS LÄN</t>
        </is>
      </c>
      <c r="E703" t="inlineStr">
        <is>
          <t>NYKÖPING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47260-2023</t>
        </is>
      </c>
      <c r="B704" s="1" t="n">
        <v>45202.41826388889</v>
      </c>
      <c r="C704" s="1" t="n">
        <v>45947</v>
      </c>
      <c r="D704" t="inlineStr">
        <is>
          <t>SÖDERMANLANDS LÄN</t>
        </is>
      </c>
      <c r="E704" t="inlineStr">
        <is>
          <t>NYKÖPING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53374-2021</t>
        </is>
      </c>
      <c r="B705" s="1" t="n">
        <v>44468</v>
      </c>
      <c r="C705" s="1" t="n">
        <v>45947</v>
      </c>
      <c r="D705" t="inlineStr">
        <is>
          <t>SÖDERMANLANDS LÄN</t>
        </is>
      </c>
      <c r="E705" t="inlineStr">
        <is>
          <t>NYKÖPING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40649-2024</t>
        </is>
      </c>
      <c r="B706" s="1" t="n">
        <v>45558.32922453704</v>
      </c>
      <c r="C706" s="1" t="n">
        <v>45947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Holmen skog AB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72666-2021</t>
        </is>
      </c>
      <c r="B707" s="1" t="n">
        <v>44546</v>
      </c>
      <c r="C707" s="1" t="n">
        <v>45947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Holmen skog AB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7043-2023</t>
        </is>
      </c>
      <c r="B708" s="1" t="n">
        <v>44968.38077546296</v>
      </c>
      <c r="C708" s="1" t="n">
        <v>45947</v>
      </c>
      <c r="D708" t="inlineStr">
        <is>
          <t>SÖDERMANLANDS LÄN</t>
        </is>
      </c>
      <c r="E708" t="inlineStr">
        <is>
          <t>NYKÖPING</t>
        </is>
      </c>
      <c r="G708" t="n">
        <v>3.6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44347-2025</t>
        </is>
      </c>
      <c r="B709" s="1" t="n">
        <v>45916.43809027778</v>
      </c>
      <c r="C709" s="1" t="n">
        <v>45947</v>
      </c>
      <c r="D709" t="inlineStr">
        <is>
          <t>SÖDERMANLANDS LÄN</t>
        </is>
      </c>
      <c r="E709" t="inlineStr">
        <is>
          <t>NYKÖPING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5485-2023</t>
        </is>
      </c>
      <c r="B710" s="1" t="n">
        <v>44960.37513888889</v>
      </c>
      <c r="C710" s="1" t="n">
        <v>45947</v>
      </c>
      <c r="D710" t="inlineStr">
        <is>
          <t>SÖDERMANLANDS LÄN</t>
        </is>
      </c>
      <c r="E710" t="inlineStr">
        <is>
          <t>NYKÖPING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6129-2023</t>
        </is>
      </c>
      <c r="B711" s="1" t="n">
        <v>44964.61883101852</v>
      </c>
      <c r="C711" s="1" t="n">
        <v>45947</v>
      </c>
      <c r="D711" t="inlineStr">
        <is>
          <t>SÖDERMANLANDS LÄN</t>
        </is>
      </c>
      <c r="E711" t="inlineStr">
        <is>
          <t>NYKÖPING</t>
        </is>
      </c>
      <c r="G711" t="n">
        <v>4.3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44258-2025</t>
        </is>
      </c>
      <c r="B712" s="1" t="n">
        <v>45915.79974537037</v>
      </c>
      <c r="C712" s="1" t="n">
        <v>45947</v>
      </c>
      <c r="D712" t="inlineStr">
        <is>
          <t>SÖDERMANLANDS LÄN</t>
        </is>
      </c>
      <c r="E712" t="inlineStr">
        <is>
          <t>NYKÖPING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39253-2023</t>
        </is>
      </c>
      <c r="B713" s="1" t="n">
        <v>45166</v>
      </c>
      <c r="C713" s="1" t="n">
        <v>45947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27563-2024</t>
        </is>
      </c>
      <c r="B714" s="1" t="n">
        <v>45474.63457175926</v>
      </c>
      <c r="C714" s="1" t="n">
        <v>45947</v>
      </c>
      <c r="D714" t="inlineStr">
        <is>
          <t>SÖDERMANLANDS LÄN</t>
        </is>
      </c>
      <c r="E714" t="inlineStr">
        <is>
          <t>NYKÖPING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1945-2025</t>
        </is>
      </c>
      <c r="B715" s="1" t="n">
        <v>45672.32315972223</v>
      </c>
      <c r="C715" s="1" t="n">
        <v>45947</v>
      </c>
      <c r="D715" t="inlineStr">
        <is>
          <t>SÖDERMANLANDS LÄN</t>
        </is>
      </c>
      <c r="E715" t="inlineStr">
        <is>
          <t>NYKÖPING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50156-2021</t>
        </is>
      </c>
      <c r="B716" s="1" t="n">
        <v>44456</v>
      </c>
      <c r="C716" s="1" t="n">
        <v>45947</v>
      </c>
      <c r="D716" t="inlineStr">
        <is>
          <t>SÖDERMANLANDS LÄN</t>
        </is>
      </c>
      <c r="E716" t="inlineStr">
        <is>
          <t>NYKÖPING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24497-2025</t>
        </is>
      </c>
      <c r="B717" s="1" t="n">
        <v>45798</v>
      </c>
      <c r="C717" s="1" t="n">
        <v>45947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Holmen skog AB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72117-2021</t>
        </is>
      </c>
      <c r="B718" s="1" t="n">
        <v>44543</v>
      </c>
      <c r="C718" s="1" t="n">
        <v>45947</v>
      </c>
      <c r="D718" t="inlineStr">
        <is>
          <t>SÖDERMANLANDS LÄN</t>
        </is>
      </c>
      <c r="E718" t="inlineStr">
        <is>
          <t>NYKÖPING</t>
        </is>
      </c>
      <c r="G718" t="n">
        <v>14.9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4903-2022</t>
        </is>
      </c>
      <c r="B719" s="1" t="n">
        <v>44593</v>
      </c>
      <c r="C719" s="1" t="n">
        <v>45947</v>
      </c>
      <c r="D719" t="inlineStr">
        <is>
          <t>SÖDERMANLANDS LÄN</t>
        </is>
      </c>
      <c r="E719" t="inlineStr">
        <is>
          <t>NYKÖPING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HYPERLINK("https://klasma.github.io/Logging_0480/knärot/A 4903-2022 karta knärot.png", "A 4903-2022")</f>
        <v/>
      </c>
      <c r="V719">
        <f>HYPERLINK("https://klasma.github.io/Logging_0480/klagomål/A 4903-2022 FSC-klagomål.docx", "A 4903-2022")</f>
        <v/>
      </c>
      <c r="W719">
        <f>HYPERLINK("https://klasma.github.io/Logging_0480/klagomålsmail/A 4903-2022 FSC-klagomål mail.docx", "A 4903-2022")</f>
        <v/>
      </c>
      <c r="X719">
        <f>HYPERLINK("https://klasma.github.io/Logging_0480/tillsyn/A 4903-2022 tillsynsbegäran.docx", "A 4903-2022")</f>
        <v/>
      </c>
      <c r="Y719">
        <f>HYPERLINK("https://klasma.github.io/Logging_0480/tillsynsmail/A 4903-2022 tillsynsbegäran mail.docx", "A 4903-2022")</f>
        <v/>
      </c>
    </row>
    <row r="720" ht="15" customHeight="1">
      <c r="A720" t="inlineStr">
        <is>
          <t>A 41735-2021</t>
        </is>
      </c>
      <c r="B720" s="1" t="n">
        <v>44425</v>
      </c>
      <c r="C720" s="1" t="n">
        <v>45947</v>
      </c>
      <c r="D720" t="inlineStr">
        <is>
          <t>SÖDERMANLANDS LÄN</t>
        </is>
      </c>
      <c r="E720" t="inlineStr">
        <is>
          <t>NYKÖPING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36666-2025</t>
        </is>
      </c>
      <c r="B721" s="1" t="n">
        <v>45873.38168981481</v>
      </c>
      <c r="C721" s="1" t="n">
        <v>45947</v>
      </c>
      <c r="D721" t="inlineStr">
        <is>
          <t>SÖDERMANLANDS LÄN</t>
        </is>
      </c>
      <c r="E721" t="inlineStr">
        <is>
          <t>NYKÖPING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47390-2025</t>
        </is>
      </c>
      <c r="B722" s="1" t="n">
        <v>45930</v>
      </c>
      <c r="C722" s="1" t="n">
        <v>45947</v>
      </c>
      <c r="D722" t="inlineStr">
        <is>
          <t>SÖDERMANLANDS LÄN</t>
        </is>
      </c>
      <c r="E722" t="inlineStr">
        <is>
          <t>NYKÖPING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28705-2025</t>
        </is>
      </c>
      <c r="B723" s="1" t="n">
        <v>45820</v>
      </c>
      <c r="C723" s="1" t="n">
        <v>45947</v>
      </c>
      <c r="D723" t="inlineStr">
        <is>
          <t>SÖDERMANLANDS LÄN</t>
        </is>
      </c>
      <c r="E723" t="inlineStr">
        <is>
          <t>NYKÖPING</t>
        </is>
      </c>
      <c r="F723" t="inlineStr">
        <is>
          <t>Holmen skog AB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50776-2022</t>
        </is>
      </c>
      <c r="B724" s="1" t="n">
        <v>44867</v>
      </c>
      <c r="C724" s="1" t="n">
        <v>45947</v>
      </c>
      <c r="D724" t="inlineStr">
        <is>
          <t>SÖDERMANLANDS LÄN</t>
        </is>
      </c>
      <c r="E724" t="inlineStr">
        <is>
          <t>NYKÖPING</t>
        </is>
      </c>
      <c r="G724" t="n">
        <v>13.4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53573-2022</t>
        </is>
      </c>
      <c r="B725" s="1" t="n">
        <v>44879</v>
      </c>
      <c r="C725" s="1" t="n">
        <v>45947</v>
      </c>
      <c r="D725" t="inlineStr">
        <is>
          <t>SÖDERMANLANDS LÄN</t>
        </is>
      </c>
      <c r="E725" t="inlineStr">
        <is>
          <t>NYKÖPING</t>
        </is>
      </c>
      <c r="F725" t="inlineStr">
        <is>
          <t>Övriga Aktiebolag</t>
        </is>
      </c>
      <c r="G725" t="n">
        <v>9.199999999999999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9469-2022</t>
        </is>
      </c>
      <c r="B726" s="1" t="n">
        <v>44616.86403935185</v>
      </c>
      <c r="C726" s="1" t="n">
        <v>45947</v>
      </c>
      <c r="D726" t="inlineStr">
        <is>
          <t>SÖDERMANLANDS LÄN</t>
        </is>
      </c>
      <c r="E726" t="inlineStr">
        <is>
          <t>NYKÖPING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40947-2025</t>
        </is>
      </c>
      <c r="B727" s="1" t="n">
        <v>45897.65988425926</v>
      </c>
      <c r="C727" s="1" t="n">
        <v>45947</v>
      </c>
      <c r="D727" t="inlineStr">
        <is>
          <t>SÖDERMANLANDS LÄN</t>
        </is>
      </c>
      <c r="E727" t="inlineStr">
        <is>
          <t>NYKÖPING</t>
        </is>
      </c>
      <c r="F727" t="inlineStr">
        <is>
          <t>Sveaskog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44236-2025</t>
        </is>
      </c>
      <c r="B728" s="1" t="n">
        <v>45915.66289351852</v>
      </c>
      <c r="C728" s="1" t="n">
        <v>45947</v>
      </c>
      <c r="D728" t="inlineStr">
        <is>
          <t>SÖDERMANLANDS LÄN</t>
        </is>
      </c>
      <c r="E728" t="inlineStr">
        <is>
          <t>NYKÖPING</t>
        </is>
      </c>
      <c r="F728" t="inlineStr">
        <is>
          <t>Holmen skog AB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28973-2023</t>
        </is>
      </c>
      <c r="B729" s="1" t="n">
        <v>45096</v>
      </c>
      <c r="C729" s="1" t="n">
        <v>45947</v>
      </c>
      <c r="D729" t="inlineStr">
        <is>
          <t>SÖDERMANLANDS LÄN</t>
        </is>
      </c>
      <c r="E729" t="inlineStr">
        <is>
          <t>NYKÖPING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27915-2023</t>
        </is>
      </c>
      <c r="B730" s="1" t="n">
        <v>45098</v>
      </c>
      <c r="C730" s="1" t="n">
        <v>45947</v>
      </c>
      <c r="D730" t="inlineStr">
        <is>
          <t>SÖDERMANLANDS LÄN</t>
        </is>
      </c>
      <c r="E730" t="inlineStr">
        <is>
          <t>NYKÖPING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27933-2023</t>
        </is>
      </c>
      <c r="B731" s="1" t="n">
        <v>45098</v>
      </c>
      <c r="C731" s="1" t="n">
        <v>45947</v>
      </c>
      <c r="D731" t="inlineStr">
        <is>
          <t>SÖDERMANLANDS LÄN</t>
        </is>
      </c>
      <c r="E731" t="inlineStr">
        <is>
          <t>NYKÖPING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27944-2023</t>
        </is>
      </c>
      <c r="B732" s="1" t="n">
        <v>45098</v>
      </c>
      <c r="C732" s="1" t="n">
        <v>45947</v>
      </c>
      <c r="D732" t="inlineStr">
        <is>
          <t>SÖDERMANLANDS LÄN</t>
        </is>
      </c>
      <c r="E732" t="inlineStr">
        <is>
          <t>NYKÖPING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49902-2025</t>
        </is>
      </c>
      <c r="B733" s="1" t="n">
        <v>45940.59440972222</v>
      </c>
      <c r="C733" s="1" t="n">
        <v>45947</v>
      </c>
      <c r="D733" t="inlineStr">
        <is>
          <t>SÖDERMANLANDS LÄN</t>
        </is>
      </c>
      <c r="E733" t="inlineStr">
        <is>
          <t>NYKÖPING</t>
        </is>
      </c>
      <c r="F733" t="inlineStr">
        <is>
          <t>Sveaskog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16457-2023</t>
        </is>
      </c>
      <c r="B734" s="1" t="n">
        <v>45029</v>
      </c>
      <c r="C734" s="1" t="n">
        <v>45947</v>
      </c>
      <c r="D734" t="inlineStr">
        <is>
          <t>SÖDERMANLANDS LÄN</t>
        </is>
      </c>
      <c r="E734" t="inlineStr">
        <is>
          <t>NYKÖPING</t>
        </is>
      </c>
      <c r="G734" t="n">
        <v>0.1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49788-2025</t>
        </is>
      </c>
      <c r="B735" s="1" t="n">
        <v>45940.40561342592</v>
      </c>
      <c r="C735" s="1" t="n">
        <v>45947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67736-2021</t>
        </is>
      </c>
      <c r="B736" s="1" t="n">
        <v>44525.34483796296</v>
      </c>
      <c r="C736" s="1" t="n">
        <v>45947</v>
      </c>
      <c r="D736" t="inlineStr">
        <is>
          <t>SÖDERMANLANDS LÄN</t>
        </is>
      </c>
      <c r="E736" t="inlineStr">
        <is>
          <t>NYKÖPING</t>
        </is>
      </c>
      <c r="G736" t="n">
        <v>1.9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51410-2022</t>
        </is>
      </c>
      <c r="B737" s="1" t="n">
        <v>44869</v>
      </c>
      <c r="C737" s="1" t="n">
        <v>45947</v>
      </c>
      <c r="D737" t="inlineStr">
        <is>
          <t>SÖDERMANLANDS LÄN</t>
        </is>
      </c>
      <c r="E737" t="inlineStr">
        <is>
          <t>NYKÖPING</t>
        </is>
      </c>
      <c r="F737" t="inlineStr">
        <is>
          <t>Holmen skog AB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22417-2023</t>
        </is>
      </c>
      <c r="B738" s="1" t="n">
        <v>45070</v>
      </c>
      <c r="C738" s="1" t="n">
        <v>45947</v>
      </c>
      <c r="D738" t="inlineStr">
        <is>
          <t>SÖDERMANLANDS LÄN</t>
        </is>
      </c>
      <c r="E738" t="inlineStr">
        <is>
          <t>NYKÖPING</t>
        </is>
      </c>
      <c r="F738" t="inlineStr">
        <is>
          <t>Holmen skog AB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52684-2021</t>
        </is>
      </c>
      <c r="B739" s="1" t="n">
        <v>44466</v>
      </c>
      <c r="C739" s="1" t="n">
        <v>45947</v>
      </c>
      <c r="D739" t="inlineStr">
        <is>
          <t>SÖDERMANLANDS LÄN</t>
        </is>
      </c>
      <c r="E739" t="inlineStr">
        <is>
          <t>NYKÖPING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3382-2021</t>
        </is>
      </c>
      <c r="B740" s="1" t="n">
        <v>44217</v>
      </c>
      <c r="C740" s="1" t="n">
        <v>45947</v>
      </c>
      <c r="D740" t="inlineStr">
        <is>
          <t>SÖDERMANLANDS LÄN</t>
        </is>
      </c>
      <c r="E740" t="inlineStr">
        <is>
          <t>NYKÖPING</t>
        </is>
      </c>
      <c r="F740" t="inlineStr">
        <is>
          <t>Kommuner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43306-2023</t>
        </is>
      </c>
      <c r="B741" s="1" t="n">
        <v>45183</v>
      </c>
      <c r="C741" s="1" t="n">
        <v>45947</v>
      </c>
      <c r="D741" t="inlineStr">
        <is>
          <t>SÖDERMANLANDS LÄN</t>
        </is>
      </c>
      <c r="E741" t="inlineStr">
        <is>
          <t>NYKÖPING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7462-2021</t>
        </is>
      </c>
      <c r="B742" s="1" t="n">
        <v>44239</v>
      </c>
      <c r="C742" s="1" t="n">
        <v>45947</v>
      </c>
      <c r="D742" t="inlineStr">
        <is>
          <t>SÖDERMANLANDS LÄN</t>
        </is>
      </c>
      <c r="E742" t="inlineStr">
        <is>
          <t>NYKÖPING</t>
        </is>
      </c>
      <c r="F742" t="inlineStr">
        <is>
          <t>Holmen skog AB</t>
        </is>
      </c>
      <c r="G742" t="n">
        <v>0.2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22176-2023</t>
        </is>
      </c>
      <c r="B743" s="1" t="n">
        <v>45069</v>
      </c>
      <c r="C743" s="1" t="n">
        <v>45947</v>
      </c>
      <c r="D743" t="inlineStr">
        <is>
          <t>SÖDERMANLANDS LÄN</t>
        </is>
      </c>
      <c r="E743" t="inlineStr">
        <is>
          <t>NYKÖPING</t>
        </is>
      </c>
      <c r="F743" t="inlineStr">
        <is>
          <t>Holmen skog AB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17372-2023</t>
        </is>
      </c>
      <c r="B744" s="1" t="n">
        <v>45034</v>
      </c>
      <c r="C744" s="1" t="n">
        <v>45947</v>
      </c>
      <c r="D744" t="inlineStr">
        <is>
          <t>SÖDERMANLANDS LÄN</t>
        </is>
      </c>
      <c r="E744" t="inlineStr">
        <is>
          <t>NYKÖPING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49682-2025</t>
        </is>
      </c>
      <c r="B745" s="1" t="n">
        <v>45939.65427083334</v>
      </c>
      <c r="C745" s="1" t="n">
        <v>45947</v>
      </c>
      <c r="D745" t="inlineStr">
        <is>
          <t>SÖDERMANLANDS LÄN</t>
        </is>
      </c>
      <c r="E745" t="inlineStr">
        <is>
          <t>NYKÖPING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24504-2025</t>
        </is>
      </c>
      <c r="B746" s="1" t="n">
        <v>45798</v>
      </c>
      <c r="C746" s="1" t="n">
        <v>45947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49770-2025</t>
        </is>
      </c>
      <c r="B747" s="1" t="n">
        <v>45940.3683912037</v>
      </c>
      <c r="C747" s="1" t="n">
        <v>45947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8340-2023</t>
        </is>
      </c>
      <c r="B748" s="1" t="n">
        <v>44976</v>
      </c>
      <c r="C748" s="1" t="n">
        <v>45947</v>
      </c>
      <c r="D748" t="inlineStr">
        <is>
          <t>SÖDERMANLANDS LÄN</t>
        </is>
      </c>
      <c r="E748" t="inlineStr">
        <is>
          <t>NYKÖPING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6125-2023</t>
        </is>
      </c>
      <c r="B749" s="1" t="n">
        <v>44964.60866898148</v>
      </c>
      <c r="C749" s="1" t="n">
        <v>45947</v>
      </c>
      <c r="D749" t="inlineStr">
        <is>
          <t>SÖDERMANLANDS LÄN</t>
        </is>
      </c>
      <c r="E749" t="inlineStr">
        <is>
          <t>NYKÖPING</t>
        </is>
      </c>
      <c r="G749" t="n">
        <v>4.4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9478-2021</t>
        </is>
      </c>
      <c r="B750" s="1" t="n">
        <v>44251</v>
      </c>
      <c r="C750" s="1" t="n">
        <v>45947</v>
      </c>
      <c r="D750" t="inlineStr">
        <is>
          <t>SÖDERMANLANDS LÄN</t>
        </is>
      </c>
      <c r="E750" t="inlineStr">
        <is>
          <t>NYKÖPING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60210-2022</t>
        </is>
      </c>
      <c r="B751" s="1" t="n">
        <v>44910.40516203704</v>
      </c>
      <c r="C751" s="1" t="n">
        <v>45947</v>
      </c>
      <c r="D751" t="inlineStr">
        <is>
          <t>SÖDERMANLANDS LÄN</t>
        </is>
      </c>
      <c r="E751" t="inlineStr">
        <is>
          <t>NYKÖPING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64159-2021</t>
        </is>
      </c>
      <c r="B752" s="1" t="n">
        <v>44510</v>
      </c>
      <c r="C752" s="1" t="n">
        <v>45947</v>
      </c>
      <c r="D752" t="inlineStr">
        <is>
          <t>SÖDERMANLANDS LÄN</t>
        </is>
      </c>
      <c r="E752" t="inlineStr">
        <is>
          <t>NYKÖPING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41356-2025</t>
        </is>
      </c>
      <c r="B753" s="1" t="n">
        <v>45900.34761574074</v>
      </c>
      <c r="C753" s="1" t="n">
        <v>45947</v>
      </c>
      <c r="D753" t="inlineStr">
        <is>
          <t>SÖDERMANLANDS LÄN</t>
        </is>
      </c>
      <c r="E753" t="inlineStr">
        <is>
          <t>NYKÖPING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23638-2021</t>
        </is>
      </c>
      <c r="B754" s="1" t="n">
        <v>44334</v>
      </c>
      <c r="C754" s="1" t="n">
        <v>45947</v>
      </c>
      <c r="D754" t="inlineStr">
        <is>
          <t>SÖDERMANLANDS LÄN</t>
        </is>
      </c>
      <c r="E754" t="inlineStr">
        <is>
          <t>NYKÖPING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38054-2023</t>
        </is>
      </c>
      <c r="B755" s="1" t="n">
        <v>45160</v>
      </c>
      <c r="C755" s="1" t="n">
        <v>45947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Kommuner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38063-2023</t>
        </is>
      </c>
      <c r="B756" s="1" t="n">
        <v>45160</v>
      </c>
      <c r="C756" s="1" t="n">
        <v>45947</v>
      </c>
      <c r="D756" t="inlineStr">
        <is>
          <t>SÖDERMANLANDS LÄN</t>
        </is>
      </c>
      <c r="E756" t="inlineStr">
        <is>
          <t>NYKÖPING</t>
        </is>
      </c>
      <c r="F756" t="inlineStr">
        <is>
          <t>Kommuner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12812-2025</t>
        </is>
      </c>
      <c r="B757" s="1" t="n">
        <v>45733.61880787037</v>
      </c>
      <c r="C757" s="1" t="n">
        <v>45947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Holmen skog AB</t>
        </is>
      </c>
      <c r="G757" t="n">
        <v>3.7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45123-2025</t>
        </is>
      </c>
      <c r="B758" s="1" t="n">
        <v>45919.43037037037</v>
      </c>
      <c r="C758" s="1" t="n">
        <v>45947</v>
      </c>
      <c r="D758" t="inlineStr">
        <is>
          <t>SÖDERMANLANDS LÄN</t>
        </is>
      </c>
      <c r="E758" t="inlineStr">
        <is>
          <t>NYKÖPING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41353-2025</t>
        </is>
      </c>
      <c r="B759" s="1" t="n">
        <v>45900.31365740741</v>
      </c>
      <c r="C759" s="1" t="n">
        <v>45947</v>
      </c>
      <c r="D759" t="inlineStr">
        <is>
          <t>SÖDERMANLANDS LÄN</t>
        </is>
      </c>
      <c r="E759" t="inlineStr">
        <is>
          <t>NYKÖPING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41354-2025</t>
        </is>
      </c>
      <c r="B760" s="1" t="n">
        <v>45900.33557870371</v>
      </c>
      <c r="C760" s="1" t="n">
        <v>45947</v>
      </c>
      <c r="D760" t="inlineStr">
        <is>
          <t>SÖDERMANLANDS LÄN</t>
        </is>
      </c>
      <c r="E760" t="inlineStr">
        <is>
          <t>NYKÖPING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50340-2025</t>
        </is>
      </c>
      <c r="B761" s="1" t="n">
        <v>45944.52729166667</v>
      </c>
      <c r="C761" s="1" t="n">
        <v>45947</v>
      </c>
      <c r="D761" t="inlineStr">
        <is>
          <t>SÖDERMANLANDS LÄN</t>
        </is>
      </c>
      <c r="E761" t="inlineStr">
        <is>
          <t>NYKÖPING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43657-2022</t>
        </is>
      </c>
      <c r="B762" s="1" t="n">
        <v>44837</v>
      </c>
      <c r="C762" s="1" t="n">
        <v>45947</v>
      </c>
      <c r="D762" t="inlineStr">
        <is>
          <t>SÖDERMANLANDS LÄN</t>
        </is>
      </c>
      <c r="E762" t="inlineStr">
        <is>
          <t>NYKÖPING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358-2021</t>
        </is>
      </c>
      <c r="B763" s="1" t="n">
        <v>44200</v>
      </c>
      <c r="C763" s="1" t="n">
        <v>45947</v>
      </c>
      <c r="D763" t="inlineStr">
        <is>
          <t>SÖDERMANLANDS LÄN</t>
        </is>
      </c>
      <c r="E763" t="inlineStr">
        <is>
          <t>NYKÖPING</t>
        </is>
      </c>
      <c r="G763" t="n">
        <v>4.8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4150-2025</t>
        </is>
      </c>
      <c r="B764" s="1" t="n">
        <v>45685</v>
      </c>
      <c r="C764" s="1" t="n">
        <v>45947</v>
      </c>
      <c r="D764" t="inlineStr">
        <is>
          <t>SÖDERMANLANDS LÄN</t>
        </is>
      </c>
      <c r="E764" t="inlineStr">
        <is>
          <t>NYKÖPING</t>
        </is>
      </c>
      <c r="F764" t="inlineStr">
        <is>
          <t>Holmen skog AB</t>
        </is>
      </c>
      <c r="G764" t="n">
        <v>9.800000000000001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42368-2024</t>
        </is>
      </c>
      <c r="B765" s="1" t="n">
        <v>45564</v>
      </c>
      <c r="C765" s="1" t="n">
        <v>45947</v>
      </c>
      <c r="D765" t="inlineStr">
        <is>
          <t>SÖDERMANLANDS LÄN</t>
        </is>
      </c>
      <c r="E765" t="inlineStr">
        <is>
          <t>NYKÖPING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41099-2022</t>
        </is>
      </c>
      <c r="B766" s="1" t="n">
        <v>44825.65760416666</v>
      </c>
      <c r="C766" s="1" t="n">
        <v>45947</v>
      </c>
      <c r="D766" t="inlineStr">
        <is>
          <t>SÖDERMANLANDS LÄN</t>
        </is>
      </c>
      <c r="E766" t="inlineStr">
        <is>
          <t>NYKÖPING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2829-2025</t>
        </is>
      </c>
      <c r="B767" s="1" t="n">
        <v>45677</v>
      </c>
      <c r="C767" s="1" t="n">
        <v>45947</v>
      </c>
      <c r="D767" t="inlineStr">
        <is>
          <t>SÖDERMANLANDS LÄN</t>
        </is>
      </c>
      <c r="E767" t="inlineStr">
        <is>
          <t>NYKÖPING</t>
        </is>
      </c>
      <c r="F767" t="inlineStr">
        <is>
          <t>Allmännings- och besparingsskogar</t>
        </is>
      </c>
      <c r="G767" t="n">
        <v>12.1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41856-2025</t>
        </is>
      </c>
      <c r="B768" s="1" t="n">
        <v>45902</v>
      </c>
      <c r="C768" s="1" t="n">
        <v>45947</v>
      </c>
      <c r="D768" t="inlineStr">
        <is>
          <t>SÖDERMANLANDS LÄN</t>
        </is>
      </c>
      <c r="E768" t="inlineStr">
        <is>
          <t>NYKÖPING</t>
        </is>
      </c>
      <c r="G768" t="n">
        <v>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7772-2025</t>
        </is>
      </c>
      <c r="B769" s="1" t="n">
        <v>45706</v>
      </c>
      <c r="C769" s="1" t="n">
        <v>45947</v>
      </c>
      <c r="D769" t="inlineStr">
        <is>
          <t>SÖDERMANLANDS LÄN</t>
        </is>
      </c>
      <c r="E769" t="inlineStr">
        <is>
          <t>NYKÖPING</t>
        </is>
      </c>
      <c r="F769" t="inlineStr">
        <is>
          <t>Kyrkan</t>
        </is>
      </c>
      <c r="G769" t="n">
        <v>3.8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50014-2025</t>
        </is>
      </c>
      <c r="B770" s="1" t="n">
        <v>45943.34979166667</v>
      </c>
      <c r="C770" s="1" t="n">
        <v>45947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Holmen skog AB</t>
        </is>
      </c>
      <c r="G770" t="n">
        <v>4.9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2543-2023</t>
        </is>
      </c>
      <c r="B771" s="1" t="n">
        <v>44943</v>
      </c>
      <c r="C771" s="1" t="n">
        <v>45947</v>
      </c>
      <c r="D771" t="inlineStr">
        <is>
          <t>SÖDERMANLANDS LÄN</t>
        </is>
      </c>
      <c r="E771" t="inlineStr">
        <is>
          <t>NYKÖPING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2544-2023</t>
        </is>
      </c>
      <c r="B772" s="1" t="n">
        <v>44943</v>
      </c>
      <c r="C772" s="1" t="n">
        <v>45947</v>
      </c>
      <c r="D772" t="inlineStr">
        <is>
          <t>SÖDERMANLANDS LÄN</t>
        </is>
      </c>
      <c r="E772" t="inlineStr">
        <is>
          <t>NYKÖPING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19436-2021</t>
        </is>
      </c>
      <c r="B773" s="1" t="n">
        <v>44310.46975694445</v>
      </c>
      <c r="C773" s="1" t="n">
        <v>45947</v>
      </c>
      <c r="D773" t="inlineStr">
        <is>
          <t>SÖDERMANLANDS LÄN</t>
        </is>
      </c>
      <c r="E773" t="inlineStr">
        <is>
          <t>NYKÖPING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12153-2025</t>
        </is>
      </c>
      <c r="B774" s="1" t="n">
        <v>45729.41048611111</v>
      </c>
      <c r="C774" s="1" t="n">
        <v>45947</v>
      </c>
      <c r="D774" t="inlineStr">
        <is>
          <t>SÖDERMANLANDS LÄN</t>
        </is>
      </c>
      <c r="E774" t="inlineStr">
        <is>
          <t>NYKÖPING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23327-2023</t>
        </is>
      </c>
      <c r="B775" s="1" t="n">
        <v>45076</v>
      </c>
      <c r="C775" s="1" t="n">
        <v>45947</v>
      </c>
      <c r="D775" t="inlineStr">
        <is>
          <t>SÖDERMANLANDS LÄN</t>
        </is>
      </c>
      <c r="E775" t="inlineStr">
        <is>
          <t>NYKÖPING</t>
        </is>
      </c>
      <c r="F775" t="inlineStr">
        <is>
          <t>Övriga Aktiebolag</t>
        </is>
      </c>
      <c r="G775" t="n">
        <v>1.7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1804-2023</t>
        </is>
      </c>
      <c r="B776" s="1" t="n">
        <v>44938.64399305556</v>
      </c>
      <c r="C776" s="1" t="n">
        <v>45947</v>
      </c>
      <c r="D776" t="inlineStr">
        <is>
          <t>SÖDERMANLANDS LÄN</t>
        </is>
      </c>
      <c r="E776" t="inlineStr">
        <is>
          <t>NYKÖPING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10634-2025</t>
        </is>
      </c>
      <c r="B777" s="1" t="n">
        <v>45721.64368055556</v>
      </c>
      <c r="C777" s="1" t="n">
        <v>45947</v>
      </c>
      <c r="D777" t="inlineStr">
        <is>
          <t>SÖDERMANLANDS LÄN</t>
        </is>
      </c>
      <c r="E777" t="inlineStr">
        <is>
          <t>NYKÖPING</t>
        </is>
      </c>
      <c r="G777" t="n">
        <v>5.4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8573-2023</t>
        </is>
      </c>
      <c r="B778" s="1" t="n">
        <v>44977</v>
      </c>
      <c r="C778" s="1" t="n">
        <v>45947</v>
      </c>
      <c r="D778" t="inlineStr">
        <is>
          <t>SÖDERMANLANDS LÄN</t>
        </is>
      </c>
      <c r="E778" t="inlineStr">
        <is>
          <t>NYKÖPING</t>
        </is>
      </c>
      <c r="F778" t="inlineStr">
        <is>
          <t>Övriga Aktiebolag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50874-2025</t>
        </is>
      </c>
      <c r="B779" s="1" t="n">
        <v>45946.61488425926</v>
      </c>
      <c r="C779" s="1" t="n">
        <v>45947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Holmen skog AB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64099-2021</t>
        </is>
      </c>
      <c r="B780" s="1" t="n">
        <v>44509</v>
      </c>
      <c r="C780" s="1" t="n">
        <v>45947</v>
      </c>
      <c r="D780" t="inlineStr">
        <is>
          <t>SÖDERMANLANDS LÄN</t>
        </is>
      </c>
      <c r="E780" t="inlineStr">
        <is>
          <t>NYKÖPING</t>
        </is>
      </c>
      <c r="G780" t="n">
        <v>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57836-2023</t>
        </is>
      </c>
      <c r="B781" s="1" t="n">
        <v>45247</v>
      </c>
      <c r="C781" s="1" t="n">
        <v>45947</v>
      </c>
      <c r="D781" t="inlineStr">
        <is>
          <t>SÖDERMANLANDS LÄN</t>
        </is>
      </c>
      <c r="E781" t="inlineStr">
        <is>
          <t>NYKÖPING</t>
        </is>
      </c>
      <c r="F781" t="inlineStr">
        <is>
          <t>Övriga Aktiebolag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46022-2025</t>
        </is>
      </c>
      <c r="B782" s="1" t="n">
        <v>45924.43239583333</v>
      </c>
      <c r="C782" s="1" t="n">
        <v>45947</v>
      </c>
      <c r="D782" t="inlineStr">
        <is>
          <t>SÖDERMANLANDS LÄN</t>
        </is>
      </c>
      <c r="E782" t="inlineStr">
        <is>
          <t>NYKÖPING</t>
        </is>
      </c>
      <c r="G782" t="n">
        <v>4.6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17903-2024</t>
        </is>
      </c>
      <c r="B783" s="1" t="n">
        <v>45419</v>
      </c>
      <c r="C783" s="1" t="n">
        <v>45947</v>
      </c>
      <c r="D783" t="inlineStr">
        <is>
          <t>SÖDERMANLANDS LÄN</t>
        </is>
      </c>
      <c r="E783" t="inlineStr">
        <is>
          <t>NYKÖPING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20985-2023</t>
        </is>
      </c>
      <c r="B784" s="1" t="n">
        <v>45061</v>
      </c>
      <c r="C784" s="1" t="n">
        <v>45947</v>
      </c>
      <c r="D784" t="inlineStr">
        <is>
          <t>SÖDERMANLANDS LÄN</t>
        </is>
      </c>
      <c r="E784" t="inlineStr">
        <is>
          <t>NYKÖPING</t>
        </is>
      </c>
      <c r="F784" t="inlineStr">
        <is>
          <t>Holmen skog AB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50688-2025</t>
        </is>
      </c>
      <c r="B785" s="1" t="n">
        <v>45945.83292824074</v>
      </c>
      <c r="C785" s="1" t="n">
        <v>45947</v>
      </c>
      <c r="D785" t="inlineStr">
        <is>
          <t>SÖDERMANLANDS LÄN</t>
        </is>
      </c>
      <c r="E785" t="inlineStr">
        <is>
          <t>NYKÖPING</t>
        </is>
      </c>
      <c r="F785" t="inlineStr">
        <is>
          <t>Kyrkan</t>
        </is>
      </c>
      <c r="G785" t="n">
        <v>4.4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50483-2025</t>
        </is>
      </c>
      <c r="B786" s="1" t="n">
        <v>45945</v>
      </c>
      <c r="C786" s="1" t="n">
        <v>45947</v>
      </c>
      <c r="D786" t="inlineStr">
        <is>
          <t>SÖDERMANLANDS LÄN</t>
        </is>
      </c>
      <c r="E786" t="inlineStr">
        <is>
          <t>NYKÖPING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53335-2023</t>
        </is>
      </c>
      <c r="B787" s="1" t="n">
        <v>45229</v>
      </c>
      <c r="C787" s="1" t="n">
        <v>45947</v>
      </c>
      <c r="D787" t="inlineStr">
        <is>
          <t>SÖDERMANLANDS LÄN</t>
        </is>
      </c>
      <c r="E787" t="inlineStr">
        <is>
          <t>NYKÖPING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52045-2021</t>
        </is>
      </c>
      <c r="B788" s="1" t="n">
        <v>44463</v>
      </c>
      <c r="C788" s="1" t="n">
        <v>45947</v>
      </c>
      <c r="D788" t="inlineStr">
        <is>
          <t>SÖDERMANLANDS LÄN</t>
        </is>
      </c>
      <c r="E788" t="inlineStr">
        <is>
          <t>NYKÖPING</t>
        </is>
      </c>
      <c r="F788" t="inlineStr">
        <is>
          <t>Sveaskog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52055-2021</t>
        </is>
      </c>
      <c r="B789" s="1" t="n">
        <v>44462</v>
      </c>
      <c r="C789" s="1" t="n">
        <v>45947</v>
      </c>
      <c r="D789" t="inlineStr">
        <is>
          <t>SÖDERMANLANDS LÄN</t>
        </is>
      </c>
      <c r="E789" t="inlineStr">
        <is>
          <t>NYKÖPING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49613-2025</t>
        </is>
      </c>
      <c r="B790" s="1" t="n">
        <v>45938</v>
      </c>
      <c r="C790" s="1" t="n">
        <v>45947</v>
      </c>
      <c r="D790" t="inlineStr">
        <is>
          <t>SÖDERMANLANDS LÄN</t>
        </is>
      </c>
      <c r="E790" t="inlineStr">
        <is>
          <t>NYKÖPING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35415-2025</t>
        </is>
      </c>
      <c r="B791" s="1" t="n">
        <v>45855</v>
      </c>
      <c r="C791" s="1" t="n">
        <v>45947</v>
      </c>
      <c r="D791" t="inlineStr">
        <is>
          <t>SÖDERMANLANDS LÄN</t>
        </is>
      </c>
      <c r="E791" t="inlineStr">
        <is>
          <t>NYKÖPING</t>
        </is>
      </c>
      <c r="F791" t="inlineStr">
        <is>
          <t>Holmen skog AB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38031-2025</t>
        </is>
      </c>
      <c r="B792" s="1" t="n">
        <v>45882.36824074074</v>
      </c>
      <c r="C792" s="1" t="n">
        <v>45947</v>
      </c>
      <c r="D792" t="inlineStr">
        <is>
          <t>SÖDERMANLANDS LÄN</t>
        </is>
      </c>
      <c r="E792" t="inlineStr">
        <is>
          <t>NYKÖPING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50907-2025</t>
        </is>
      </c>
      <c r="B793" s="1" t="n">
        <v>45946.65184027778</v>
      </c>
      <c r="C793" s="1" t="n">
        <v>45947</v>
      </c>
      <c r="D793" t="inlineStr">
        <is>
          <t>SÖDERMANLANDS LÄN</t>
        </is>
      </c>
      <c r="E793" t="inlineStr">
        <is>
          <t>NYKÖPING</t>
        </is>
      </c>
      <c r="G793" t="n">
        <v>7.7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35419-2025</t>
        </is>
      </c>
      <c r="B794" s="1" t="n">
        <v>45855</v>
      </c>
      <c r="C794" s="1" t="n">
        <v>45947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Holmen skog AB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35455-2025</t>
        </is>
      </c>
      <c r="B795" s="1" t="n">
        <v>45855</v>
      </c>
      <c r="C795" s="1" t="n">
        <v>45947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Holmen skog AB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35463-2025</t>
        </is>
      </c>
      <c r="B796" s="1" t="n">
        <v>45855</v>
      </c>
      <c r="C796" s="1" t="n">
        <v>45947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Holmen skog AB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2428-2022</t>
        </is>
      </c>
      <c r="B797" s="1" t="n">
        <v>44579</v>
      </c>
      <c r="C797" s="1" t="n">
        <v>45947</v>
      </c>
      <c r="D797" t="inlineStr">
        <is>
          <t>SÖDERMANLANDS LÄN</t>
        </is>
      </c>
      <c r="E797" t="inlineStr">
        <is>
          <t>NYKÖPING</t>
        </is>
      </c>
      <c r="G797" t="n">
        <v>10.8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2445-2022</t>
        </is>
      </c>
      <c r="B798" s="1" t="n">
        <v>44579</v>
      </c>
      <c r="C798" s="1" t="n">
        <v>45947</v>
      </c>
      <c r="D798" t="inlineStr">
        <is>
          <t>SÖDERMANLANDS LÄN</t>
        </is>
      </c>
      <c r="E798" t="inlineStr">
        <is>
          <t>NYKÖPING</t>
        </is>
      </c>
      <c r="G798" t="n">
        <v>6.7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62913-2023</t>
        </is>
      </c>
      <c r="B799" s="1" t="n">
        <v>45272.4568287037</v>
      </c>
      <c r="C799" s="1" t="n">
        <v>45947</v>
      </c>
      <c r="D799" t="inlineStr">
        <is>
          <t>SÖDERMANLANDS LÄN</t>
        </is>
      </c>
      <c r="E799" t="inlineStr">
        <is>
          <t>NYKÖPING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10981-2024</t>
        </is>
      </c>
      <c r="B800" s="1" t="n">
        <v>45370</v>
      </c>
      <c r="C800" s="1" t="n">
        <v>45947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Kommuner</t>
        </is>
      </c>
      <c r="G800" t="n">
        <v>2.6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47772-2025</t>
        </is>
      </c>
      <c r="B801" s="1" t="n">
        <v>45931.72109953704</v>
      </c>
      <c r="C801" s="1" t="n">
        <v>45947</v>
      </c>
      <c r="D801" t="inlineStr">
        <is>
          <t>SÖDERMANLANDS LÄN</t>
        </is>
      </c>
      <c r="E801" t="inlineStr">
        <is>
          <t>NYKÖPING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47778-2025</t>
        </is>
      </c>
      <c r="B802" s="1" t="n">
        <v>45931</v>
      </c>
      <c r="C802" s="1" t="n">
        <v>45947</v>
      </c>
      <c r="D802" t="inlineStr">
        <is>
          <t>SÖDERMANLANDS LÄN</t>
        </is>
      </c>
      <c r="E802" t="inlineStr">
        <is>
          <t>NYKÖPING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46028-2025</t>
        </is>
      </c>
      <c r="B803" s="1" t="n">
        <v>45924.44197916667</v>
      </c>
      <c r="C803" s="1" t="n">
        <v>45947</v>
      </c>
      <c r="D803" t="inlineStr">
        <is>
          <t>SÖDERMANLANDS LÄN</t>
        </is>
      </c>
      <c r="E803" t="inlineStr">
        <is>
          <t>NYKÖPING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41893-2025</t>
        </is>
      </c>
      <c r="B804" s="1" t="n">
        <v>45903.38063657407</v>
      </c>
      <c r="C804" s="1" t="n">
        <v>45947</v>
      </c>
      <c r="D804" t="inlineStr">
        <is>
          <t>SÖDERMANLANDS LÄN</t>
        </is>
      </c>
      <c r="E804" t="inlineStr">
        <is>
          <t>NYKÖPING</t>
        </is>
      </c>
      <c r="G804" t="n">
        <v>3.2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46025-2025</t>
        </is>
      </c>
      <c r="B805" s="1" t="n">
        <v>45924.43694444445</v>
      </c>
      <c r="C805" s="1" t="n">
        <v>45947</v>
      </c>
      <c r="D805" t="inlineStr">
        <is>
          <t>SÖDERMANLANDS LÄN</t>
        </is>
      </c>
      <c r="E805" t="inlineStr">
        <is>
          <t>NYKÖPING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35467-2025</t>
        </is>
      </c>
      <c r="B806" s="1" t="n">
        <v>45855</v>
      </c>
      <c r="C806" s="1" t="n">
        <v>45947</v>
      </c>
      <c r="D806" t="inlineStr">
        <is>
          <t>SÖDERMANLANDS LÄN</t>
        </is>
      </c>
      <c r="E806" t="inlineStr">
        <is>
          <t>NYKÖPING</t>
        </is>
      </c>
      <c r="F806" t="inlineStr">
        <is>
          <t>Holmen skog AB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50691-2025</t>
        </is>
      </c>
      <c r="B807" s="1" t="n">
        <v>45945.84612268519</v>
      </c>
      <c r="C807" s="1" t="n">
        <v>45947</v>
      </c>
      <c r="D807" t="inlineStr">
        <is>
          <t>SÖDERMANLANDS LÄN</t>
        </is>
      </c>
      <c r="E807" t="inlineStr">
        <is>
          <t>NYKÖPING</t>
        </is>
      </c>
      <c r="F807" t="inlineStr">
        <is>
          <t>Kyrkan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2517-2022</t>
        </is>
      </c>
      <c r="B808" s="1" t="n">
        <v>44579</v>
      </c>
      <c r="C808" s="1" t="n">
        <v>45947</v>
      </c>
      <c r="D808" t="inlineStr">
        <is>
          <t>SÖDERMANLANDS LÄN</t>
        </is>
      </c>
      <c r="E808" t="inlineStr">
        <is>
          <t>NYKÖPING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38846-2023</t>
        </is>
      </c>
      <c r="B809" s="1" t="n">
        <v>45163</v>
      </c>
      <c r="C809" s="1" t="n">
        <v>45947</v>
      </c>
      <c r="D809" t="inlineStr">
        <is>
          <t>SÖDERMANLANDS LÄN</t>
        </is>
      </c>
      <c r="E809" t="inlineStr">
        <is>
          <t>NYKÖPING</t>
        </is>
      </c>
      <c r="F809" t="inlineStr">
        <is>
          <t>Holmen skog AB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2255-2022</t>
        </is>
      </c>
      <c r="B810" s="1" t="n">
        <v>44578</v>
      </c>
      <c r="C810" s="1" t="n">
        <v>45947</v>
      </c>
      <c r="D810" t="inlineStr">
        <is>
          <t>SÖDERMANLANDS LÄN</t>
        </is>
      </c>
      <c r="E810" t="inlineStr">
        <is>
          <t>NYKÖPING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46034-2025</t>
        </is>
      </c>
      <c r="B811" s="1" t="n">
        <v>45924.44690972222</v>
      </c>
      <c r="C811" s="1" t="n">
        <v>45947</v>
      </c>
      <c r="D811" t="inlineStr">
        <is>
          <t>SÖDERMANLANDS LÄN</t>
        </is>
      </c>
      <c r="E811" t="inlineStr">
        <is>
          <t>NYKÖPING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342-2025</t>
        </is>
      </c>
      <c r="B812" s="1" t="n">
        <v>45660</v>
      </c>
      <c r="C812" s="1" t="n">
        <v>45947</v>
      </c>
      <c r="D812" t="inlineStr">
        <is>
          <t>SÖDERMANLANDS LÄN</t>
        </is>
      </c>
      <c r="E812" t="inlineStr">
        <is>
          <t>NYKÖPING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33653-2024</t>
        </is>
      </c>
      <c r="B813" s="1" t="n">
        <v>45520</v>
      </c>
      <c r="C813" s="1" t="n">
        <v>45947</v>
      </c>
      <c r="D813" t="inlineStr">
        <is>
          <t>SÖDERMANLANDS LÄN</t>
        </is>
      </c>
      <c r="E813" t="inlineStr">
        <is>
          <t>NYKÖPING</t>
        </is>
      </c>
      <c r="G813" t="n">
        <v>5.5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51725-2021</t>
        </is>
      </c>
      <c r="B814" s="1" t="n">
        <v>44462</v>
      </c>
      <c r="C814" s="1" t="n">
        <v>45947</v>
      </c>
      <c r="D814" t="inlineStr">
        <is>
          <t>SÖDERMANLANDS LÄN</t>
        </is>
      </c>
      <c r="E814" t="inlineStr">
        <is>
          <t>NYKÖPING</t>
        </is>
      </c>
      <c r="F814" t="inlineStr">
        <is>
          <t>Sveaskog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17901-2024</t>
        </is>
      </c>
      <c r="B815" s="1" t="n">
        <v>45419</v>
      </c>
      <c r="C815" s="1" t="n">
        <v>45947</v>
      </c>
      <c r="D815" t="inlineStr">
        <is>
          <t>SÖDERMANLANDS LÄN</t>
        </is>
      </c>
      <c r="E815" t="inlineStr">
        <is>
          <t>NYKÖPING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20425-2024</t>
        </is>
      </c>
      <c r="B816" s="1" t="n">
        <v>45435</v>
      </c>
      <c r="C816" s="1" t="n">
        <v>45947</v>
      </c>
      <c r="D816" t="inlineStr">
        <is>
          <t>SÖDERMANLANDS LÄN</t>
        </is>
      </c>
      <c r="E816" t="inlineStr">
        <is>
          <t>NYKÖPING</t>
        </is>
      </c>
      <c r="F816" t="inlineStr">
        <is>
          <t>Kommuner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5509-2023</t>
        </is>
      </c>
      <c r="B817" s="1" t="n">
        <v>44960</v>
      </c>
      <c r="C817" s="1" t="n">
        <v>45947</v>
      </c>
      <c r="D817" t="inlineStr">
        <is>
          <t>SÖDERMANLANDS LÄN</t>
        </is>
      </c>
      <c r="E817" t="inlineStr">
        <is>
          <t>NYKÖPING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21249-2023</t>
        </is>
      </c>
      <c r="B818" s="1" t="n">
        <v>45062</v>
      </c>
      <c r="C818" s="1" t="n">
        <v>45947</v>
      </c>
      <c r="D818" t="inlineStr">
        <is>
          <t>SÖDERMANLANDS LÄN</t>
        </is>
      </c>
      <c r="E818" t="inlineStr">
        <is>
          <t>NYKÖPING</t>
        </is>
      </c>
      <c r="G818" t="n">
        <v>0.4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45282-2022</t>
        </is>
      </c>
      <c r="B819" s="1" t="n">
        <v>44844</v>
      </c>
      <c r="C819" s="1" t="n">
        <v>45947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Holmen skog AB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56560-2022</t>
        </is>
      </c>
      <c r="B820" s="1" t="n">
        <v>44893</v>
      </c>
      <c r="C820" s="1" t="n">
        <v>45947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Övriga Aktiebolag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35020-2023</t>
        </is>
      </c>
      <c r="B821" s="1" t="n">
        <v>45143</v>
      </c>
      <c r="C821" s="1" t="n">
        <v>45947</v>
      </c>
      <c r="D821" t="inlineStr">
        <is>
          <t>SÖDERMANLANDS LÄN</t>
        </is>
      </c>
      <c r="E821" t="inlineStr">
        <is>
          <t>NYKÖPING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43529-2025</t>
        </is>
      </c>
      <c r="B822" s="1" t="n">
        <v>45911</v>
      </c>
      <c r="C822" s="1" t="n">
        <v>45947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Kommuner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16616-2021</t>
        </is>
      </c>
      <c r="B823" s="1" t="n">
        <v>44294</v>
      </c>
      <c r="C823" s="1" t="n">
        <v>45947</v>
      </c>
      <c r="D823" t="inlineStr">
        <is>
          <t>SÖDERMANLANDS LÄN</t>
        </is>
      </c>
      <c r="E823" t="inlineStr">
        <is>
          <t>NYKÖPING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16740-2021</t>
        </is>
      </c>
      <c r="B824" s="1" t="n">
        <v>44294</v>
      </c>
      <c r="C824" s="1" t="n">
        <v>45947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Kyrkan</t>
        </is>
      </c>
      <c r="G824" t="n">
        <v>9.5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24285-2022</t>
        </is>
      </c>
      <c r="B825" s="1" t="n">
        <v>44725</v>
      </c>
      <c r="C825" s="1" t="n">
        <v>45947</v>
      </c>
      <c r="D825" t="inlineStr">
        <is>
          <t>SÖDERMANLANDS LÄN</t>
        </is>
      </c>
      <c r="E825" t="inlineStr">
        <is>
          <t>NYKÖPING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30423-2021</t>
        </is>
      </c>
      <c r="B826" s="1" t="n">
        <v>44364</v>
      </c>
      <c r="C826" s="1" t="n">
        <v>45947</v>
      </c>
      <c r="D826" t="inlineStr">
        <is>
          <t>SÖDERMANLANDS LÄN</t>
        </is>
      </c>
      <c r="E826" t="inlineStr">
        <is>
          <t>NYKÖPING</t>
        </is>
      </c>
      <c r="G826" t="n">
        <v>3.7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14848-2024</t>
        </is>
      </c>
      <c r="B827" s="1" t="n">
        <v>45398.425</v>
      </c>
      <c r="C827" s="1" t="n">
        <v>45947</v>
      </c>
      <c r="D827" t="inlineStr">
        <is>
          <t>SÖDERMANLANDS LÄN</t>
        </is>
      </c>
      <c r="E827" t="inlineStr">
        <is>
          <t>NYKÖPING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1407-2025</t>
        </is>
      </c>
      <c r="B828" s="1" t="n">
        <v>45667</v>
      </c>
      <c r="C828" s="1" t="n">
        <v>45947</v>
      </c>
      <c r="D828" t="inlineStr">
        <is>
          <t>SÖDERMANLANDS LÄN</t>
        </is>
      </c>
      <c r="E828" t="inlineStr">
        <is>
          <t>NYKÖPING</t>
        </is>
      </c>
      <c r="G828" t="n">
        <v>0.9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16881-2024</t>
        </is>
      </c>
      <c r="B829" s="1" t="n">
        <v>45410</v>
      </c>
      <c r="C829" s="1" t="n">
        <v>45947</v>
      </c>
      <c r="D829" t="inlineStr">
        <is>
          <t>SÖDERMANLANDS LÄN</t>
        </is>
      </c>
      <c r="E829" t="inlineStr">
        <is>
          <t>NYKÖPING</t>
        </is>
      </c>
      <c r="G829" t="n">
        <v>5.4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68401-2021</t>
        </is>
      </c>
      <c r="B830" s="1" t="n">
        <v>44529</v>
      </c>
      <c r="C830" s="1" t="n">
        <v>45947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Övriga Aktiebolag</t>
        </is>
      </c>
      <c r="G830" t="n">
        <v>16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57621-2024</t>
        </is>
      </c>
      <c r="B831" s="1" t="n">
        <v>45630.55130787037</v>
      </c>
      <c r="C831" s="1" t="n">
        <v>45947</v>
      </c>
      <c r="D831" t="inlineStr">
        <is>
          <t>SÖDERMANLANDS LÄN</t>
        </is>
      </c>
      <c r="E831" t="inlineStr">
        <is>
          <t>NYKÖPING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21-2021</t>
        </is>
      </c>
      <c r="B832" s="1" t="n">
        <v>44197</v>
      </c>
      <c r="C832" s="1" t="n">
        <v>45947</v>
      </c>
      <c r="D832" t="inlineStr">
        <is>
          <t>SÖDERMANLANDS LÄN</t>
        </is>
      </c>
      <c r="E832" t="inlineStr">
        <is>
          <t>NYKÖPING</t>
        </is>
      </c>
      <c r="G832" t="n">
        <v>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2255-2024</t>
        </is>
      </c>
      <c r="B833" s="1" t="n">
        <v>45310</v>
      </c>
      <c r="C833" s="1" t="n">
        <v>45947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31401-2022</t>
        </is>
      </c>
      <c r="B834" s="1" t="n">
        <v>44774</v>
      </c>
      <c r="C834" s="1" t="n">
        <v>45947</v>
      </c>
      <c r="D834" t="inlineStr">
        <is>
          <t>SÖDERMANLANDS LÄN</t>
        </is>
      </c>
      <c r="E834" t="inlineStr">
        <is>
          <t>NYKÖPING</t>
        </is>
      </c>
      <c r="G834" t="n">
        <v>2.7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7036-2023</t>
        </is>
      </c>
      <c r="B835" s="1" t="n">
        <v>44968</v>
      </c>
      <c r="C835" s="1" t="n">
        <v>45947</v>
      </c>
      <c r="D835" t="inlineStr">
        <is>
          <t>SÖDERMANLANDS LÄN</t>
        </is>
      </c>
      <c r="E835" t="inlineStr">
        <is>
          <t>NYKÖPING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18604-2023</t>
        </is>
      </c>
      <c r="B836" s="1" t="n">
        <v>45043</v>
      </c>
      <c r="C836" s="1" t="n">
        <v>45947</v>
      </c>
      <c r="D836" t="inlineStr">
        <is>
          <t>SÖDERMANLANDS LÄN</t>
        </is>
      </c>
      <c r="E836" t="inlineStr">
        <is>
          <t>NYKÖPING</t>
        </is>
      </c>
      <c r="G836" t="n">
        <v>2.9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53800-2022</t>
        </is>
      </c>
      <c r="B837" s="1" t="n">
        <v>44880</v>
      </c>
      <c r="C837" s="1" t="n">
        <v>45947</v>
      </c>
      <c r="D837" t="inlineStr">
        <is>
          <t>SÖDERMANLANDS LÄN</t>
        </is>
      </c>
      <c r="E837" t="inlineStr">
        <is>
          <t>NYKÖPING</t>
        </is>
      </c>
      <c r="F837" t="inlineStr">
        <is>
          <t>Övriga Aktiebolag</t>
        </is>
      </c>
      <c r="G837" t="n">
        <v>7.4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10211-2024</t>
        </is>
      </c>
      <c r="B838" s="1" t="n">
        <v>45364</v>
      </c>
      <c r="C838" s="1" t="n">
        <v>45947</v>
      </c>
      <c r="D838" t="inlineStr">
        <is>
          <t>SÖDERMANLANDS LÄN</t>
        </is>
      </c>
      <c r="E838" t="inlineStr">
        <is>
          <t>NYKÖPING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54183-2022</t>
        </is>
      </c>
      <c r="B839" s="1" t="n">
        <v>44881.66858796297</v>
      </c>
      <c r="C839" s="1" t="n">
        <v>45947</v>
      </c>
      <c r="D839" t="inlineStr">
        <is>
          <t>SÖDERMANLANDS LÄN</t>
        </is>
      </c>
      <c r="E839" t="inlineStr">
        <is>
          <t>NYKÖPING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18478-2025</t>
        </is>
      </c>
      <c r="B840" s="1" t="n">
        <v>45762.87655092592</v>
      </c>
      <c r="C840" s="1" t="n">
        <v>45947</v>
      </c>
      <c r="D840" t="inlineStr">
        <is>
          <t>SÖDERMANLANDS LÄN</t>
        </is>
      </c>
      <c r="E840" t="inlineStr">
        <is>
          <t>NYKÖPING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4479-2025</t>
        </is>
      </c>
      <c r="B841" s="1" t="n">
        <v>45686</v>
      </c>
      <c r="C841" s="1" t="n">
        <v>45947</v>
      </c>
      <c r="D841" t="inlineStr">
        <is>
          <t>SÖDERMANLANDS LÄN</t>
        </is>
      </c>
      <c r="E841" t="inlineStr">
        <is>
          <t>NYKÖPING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36000-2023</t>
        </is>
      </c>
      <c r="B842" s="1" t="n">
        <v>45148</v>
      </c>
      <c r="C842" s="1" t="n">
        <v>45947</v>
      </c>
      <c r="D842" t="inlineStr">
        <is>
          <t>SÖDERMANLANDS LÄN</t>
        </is>
      </c>
      <c r="E842" t="inlineStr">
        <is>
          <t>NYKÖPING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32875-2022</t>
        </is>
      </c>
      <c r="B843" s="1" t="n">
        <v>44784.53177083333</v>
      </c>
      <c r="C843" s="1" t="n">
        <v>45947</v>
      </c>
      <c r="D843" t="inlineStr">
        <is>
          <t>SÖDERMANLANDS LÄN</t>
        </is>
      </c>
      <c r="E843" t="inlineStr">
        <is>
          <t>NYKÖPING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20798-2023</t>
        </is>
      </c>
      <c r="B844" s="1" t="n">
        <v>45058.61591435185</v>
      </c>
      <c r="C844" s="1" t="n">
        <v>45947</v>
      </c>
      <c r="D844" t="inlineStr">
        <is>
          <t>SÖDERMANLANDS LÄN</t>
        </is>
      </c>
      <c r="E844" t="inlineStr">
        <is>
          <t>NYKÖPING</t>
        </is>
      </c>
      <c r="F844" t="inlineStr">
        <is>
          <t>Holmen skog AB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67682-2020</t>
        </is>
      </c>
      <c r="B845" s="1" t="n">
        <v>44181</v>
      </c>
      <c r="C845" s="1" t="n">
        <v>45947</v>
      </c>
      <c r="D845" t="inlineStr">
        <is>
          <t>SÖDERMANLANDS LÄN</t>
        </is>
      </c>
      <c r="E845" t="inlineStr">
        <is>
          <t>NYKÖPING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12887-2025</t>
        </is>
      </c>
      <c r="B846" s="1" t="n">
        <v>45733.69909722222</v>
      </c>
      <c r="C846" s="1" t="n">
        <v>45947</v>
      </c>
      <c r="D846" t="inlineStr">
        <is>
          <t>SÖDERMANLANDS LÄN</t>
        </is>
      </c>
      <c r="E846" t="inlineStr">
        <is>
          <t>NYKÖPING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21137-2023</t>
        </is>
      </c>
      <c r="B847" s="1" t="n">
        <v>45062</v>
      </c>
      <c r="C847" s="1" t="n">
        <v>45947</v>
      </c>
      <c r="D847" t="inlineStr">
        <is>
          <t>SÖDERMANLANDS LÄN</t>
        </is>
      </c>
      <c r="E847" t="inlineStr">
        <is>
          <t>NYKÖPING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10639-2025</t>
        </is>
      </c>
      <c r="B848" s="1" t="n">
        <v>45721.65471064814</v>
      </c>
      <c r="C848" s="1" t="n">
        <v>45947</v>
      </c>
      <c r="D848" t="inlineStr">
        <is>
          <t>SÖDERMANLANDS LÄN</t>
        </is>
      </c>
      <c r="E848" t="inlineStr">
        <is>
          <t>NYKÖPING</t>
        </is>
      </c>
      <c r="G848" t="n">
        <v>2.5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41222-2023</t>
        </is>
      </c>
      <c r="B849" s="1" t="n">
        <v>45170</v>
      </c>
      <c r="C849" s="1" t="n">
        <v>45947</v>
      </c>
      <c r="D849" t="inlineStr">
        <is>
          <t>SÖDERMANLANDS LÄN</t>
        </is>
      </c>
      <c r="E849" t="inlineStr">
        <is>
          <t>NYKÖPING</t>
        </is>
      </c>
      <c r="G849" t="n">
        <v>3.4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38607-2023</t>
        </is>
      </c>
      <c r="B850" s="1" t="n">
        <v>45162</v>
      </c>
      <c r="C850" s="1" t="n">
        <v>45947</v>
      </c>
      <c r="D850" t="inlineStr">
        <is>
          <t>SÖDERMANLANDS LÄN</t>
        </is>
      </c>
      <c r="E850" t="inlineStr">
        <is>
          <t>NYKÖPING</t>
        </is>
      </c>
      <c r="F850" t="inlineStr">
        <is>
          <t>Kommuner</t>
        </is>
      </c>
      <c r="G850" t="n">
        <v>4.9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926-2023</t>
        </is>
      </c>
      <c r="B851" s="1" t="n">
        <v>44932</v>
      </c>
      <c r="C851" s="1" t="n">
        <v>45947</v>
      </c>
      <c r="D851" t="inlineStr">
        <is>
          <t>SÖDERMANLANDS LÄN</t>
        </is>
      </c>
      <c r="E851" t="inlineStr">
        <is>
          <t>NYKÖPING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929-2023</t>
        </is>
      </c>
      <c r="B852" s="1" t="n">
        <v>44932</v>
      </c>
      <c r="C852" s="1" t="n">
        <v>45947</v>
      </c>
      <c r="D852" t="inlineStr">
        <is>
          <t>SÖDERMANLANDS LÄN</t>
        </is>
      </c>
      <c r="E852" t="inlineStr">
        <is>
          <t>NYKÖPING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58281-2022</t>
        </is>
      </c>
      <c r="B853" s="1" t="n">
        <v>44901.48960648148</v>
      </c>
      <c r="C853" s="1" t="n">
        <v>45947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8710-2024</t>
        </is>
      </c>
      <c r="B854" s="1" t="n">
        <v>45356</v>
      </c>
      <c r="C854" s="1" t="n">
        <v>45947</v>
      </c>
      <c r="D854" t="inlineStr">
        <is>
          <t>SÖDERMANLANDS LÄN</t>
        </is>
      </c>
      <c r="E854" t="inlineStr">
        <is>
          <t>NYKÖPING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1777-2024</t>
        </is>
      </c>
      <c r="B855" s="1" t="n">
        <v>45307</v>
      </c>
      <c r="C855" s="1" t="n">
        <v>45947</v>
      </c>
      <c r="D855" t="inlineStr">
        <is>
          <t>SÖDERMANLANDS LÄN</t>
        </is>
      </c>
      <c r="E855" t="inlineStr">
        <is>
          <t>NYKÖPING</t>
        </is>
      </c>
      <c r="F855" t="inlineStr">
        <is>
          <t>Kommuner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58163-2020</t>
        </is>
      </c>
      <c r="B856" s="1" t="n">
        <v>44144</v>
      </c>
      <c r="C856" s="1" t="n">
        <v>45947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Holmen skog AB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11985-2021</t>
        </is>
      </c>
      <c r="B857" s="1" t="n">
        <v>44266</v>
      </c>
      <c r="C857" s="1" t="n">
        <v>45947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Holmen skog AB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31868-2023</t>
        </is>
      </c>
      <c r="B858" s="1" t="n">
        <v>45107</v>
      </c>
      <c r="C858" s="1" t="n">
        <v>45947</v>
      </c>
      <c r="D858" t="inlineStr">
        <is>
          <t>SÖDERMANLANDS LÄN</t>
        </is>
      </c>
      <c r="E858" t="inlineStr">
        <is>
          <t>NYKÖPING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12529-2024</t>
        </is>
      </c>
      <c r="B859" s="1" t="n">
        <v>45379.62061342593</v>
      </c>
      <c r="C859" s="1" t="n">
        <v>45947</v>
      </c>
      <c r="D859" t="inlineStr">
        <is>
          <t>SÖDERMANLANDS LÄN</t>
        </is>
      </c>
      <c r="E859" t="inlineStr">
        <is>
          <t>NYKÖPING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2368-2023</t>
        </is>
      </c>
      <c r="B860" s="1" t="n">
        <v>44942</v>
      </c>
      <c r="C860" s="1" t="n">
        <v>45947</v>
      </c>
      <c r="D860" t="inlineStr">
        <is>
          <t>SÖDERMANLANDS LÄN</t>
        </is>
      </c>
      <c r="E860" t="inlineStr">
        <is>
          <t>NYKÖPING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5483-2023</t>
        </is>
      </c>
      <c r="B861" s="1" t="n">
        <v>44960</v>
      </c>
      <c r="C861" s="1" t="n">
        <v>45947</v>
      </c>
      <c r="D861" t="inlineStr">
        <is>
          <t>SÖDERMANLANDS LÄN</t>
        </is>
      </c>
      <c r="E861" t="inlineStr">
        <is>
          <t>NYKÖPING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17247-2025</t>
        </is>
      </c>
      <c r="B862" s="1" t="n">
        <v>45756</v>
      </c>
      <c r="C862" s="1" t="n">
        <v>45947</v>
      </c>
      <c r="D862" t="inlineStr">
        <is>
          <t>SÖDERMANLANDS LÄN</t>
        </is>
      </c>
      <c r="E862" t="inlineStr">
        <is>
          <t>NYKÖPING</t>
        </is>
      </c>
      <c r="F862" t="inlineStr">
        <is>
          <t>Holmen skog AB</t>
        </is>
      </c>
      <c r="G862" t="n">
        <v>4.5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41288-2023</t>
        </is>
      </c>
      <c r="B863" s="1" t="n">
        <v>45174</v>
      </c>
      <c r="C863" s="1" t="n">
        <v>45947</v>
      </c>
      <c r="D863" t="inlineStr">
        <is>
          <t>SÖDERMANLANDS LÄN</t>
        </is>
      </c>
      <c r="E863" t="inlineStr">
        <is>
          <t>NYKÖPING</t>
        </is>
      </c>
      <c r="F863" t="inlineStr">
        <is>
          <t>Holmen skog AB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24447-2023</t>
        </is>
      </c>
      <c r="B864" s="1" t="n">
        <v>45082</v>
      </c>
      <c r="C864" s="1" t="n">
        <v>45947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1105-2023</t>
        </is>
      </c>
      <c r="B865" s="1" t="n">
        <v>44935.59042824074</v>
      </c>
      <c r="C865" s="1" t="n">
        <v>45947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Holmen skog AB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31392-2022</t>
        </is>
      </c>
      <c r="B866" s="1" t="n">
        <v>44774</v>
      </c>
      <c r="C866" s="1" t="n">
        <v>45947</v>
      </c>
      <c r="D866" t="inlineStr">
        <is>
          <t>SÖDERMANLANDS LÄN</t>
        </is>
      </c>
      <c r="E866" t="inlineStr">
        <is>
          <t>NYKÖPING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18123-2023</t>
        </is>
      </c>
      <c r="B867" s="1" t="n">
        <v>45040</v>
      </c>
      <c r="C867" s="1" t="n">
        <v>45947</v>
      </c>
      <c r="D867" t="inlineStr">
        <is>
          <t>SÖDERMANLANDS LÄN</t>
        </is>
      </c>
      <c r="E867" t="inlineStr">
        <is>
          <t>NYKÖPING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42251-2022</t>
        </is>
      </c>
      <c r="B868" s="1" t="n">
        <v>44830</v>
      </c>
      <c r="C868" s="1" t="n">
        <v>45947</v>
      </c>
      <c r="D868" t="inlineStr">
        <is>
          <t>SÖDERMANLANDS LÄN</t>
        </is>
      </c>
      <c r="E868" t="inlineStr">
        <is>
          <t>NYKÖPING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13470-2024</t>
        </is>
      </c>
      <c r="B869" s="1" t="n">
        <v>45387.57589120371</v>
      </c>
      <c r="C869" s="1" t="n">
        <v>45947</v>
      </c>
      <c r="D869" t="inlineStr">
        <is>
          <t>SÖDERMANLANDS LÄN</t>
        </is>
      </c>
      <c r="E869" t="inlineStr">
        <is>
          <t>NYKÖPING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8299-2024</t>
        </is>
      </c>
      <c r="B870" s="1" t="n">
        <v>45350</v>
      </c>
      <c r="C870" s="1" t="n">
        <v>45947</v>
      </c>
      <c r="D870" t="inlineStr">
        <is>
          <t>SÖDERMANLANDS LÄN</t>
        </is>
      </c>
      <c r="E870" t="inlineStr">
        <is>
          <t>NYKÖPING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69244-2021</t>
        </is>
      </c>
      <c r="B871" s="1" t="n">
        <v>44530</v>
      </c>
      <c r="C871" s="1" t="n">
        <v>45947</v>
      </c>
      <c r="D871" t="inlineStr">
        <is>
          <t>SÖDERMANLANDS LÄN</t>
        </is>
      </c>
      <c r="E871" t="inlineStr">
        <is>
          <t>NYKÖPING</t>
        </is>
      </c>
      <c r="G871" t="n">
        <v>3.2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6348-2023</t>
        </is>
      </c>
      <c r="B872" s="1" t="n">
        <v>44965</v>
      </c>
      <c r="C872" s="1" t="n">
        <v>45947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Kyrkan</t>
        </is>
      </c>
      <c r="G872" t="n">
        <v>3.8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37361-2024</t>
        </is>
      </c>
      <c r="B873" s="1" t="n">
        <v>45540.55361111111</v>
      </c>
      <c r="C873" s="1" t="n">
        <v>45947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Holmen skog AB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33683-2023</t>
        </is>
      </c>
      <c r="B874" s="1" t="n">
        <v>45132.64674768518</v>
      </c>
      <c r="C874" s="1" t="n">
        <v>45947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Holmen skog AB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60512-2021</t>
        </is>
      </c>
      <c r="B875" s="1" t="n">
        <v>44496</v>
      </c>
      <c r="C875" s="1" t="n">
        <v>45947</v>
      </c>
      <c r="D875" t="inlineStr">
        <is>
          <t>SÖDERMANLANDS LÄN</t>
        </is>
      </c>
      <c r="E875" t="inlineStr">
        <is>
          <t>NYKÖPING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9589-2021</t>
        </is>
      </c>
      <c r="B876" s="1" t="n">
        <v>44251</v>
      </c>
      <c r="C876" s="1" t="n">
        <v>45947</v>
      </c>
      <c r="D876" t="inlineStr">
        <is>
          <t>SÖDERMANLANDS LÄN</t>
        </is>
      </c>
      <c r="E876" t="inlineStr">
        <is>
          <t>NYKÖPING</t>
        </is>
      </c>
      <c r="G876" t="n">
        <v>9.6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14422-2025</t>
        </is>
      </c>
      <c r="B877" s="1" t="n">
        <v>45741</v>
      </c>
      <c r="C877" s="1" t="n">
        <v>45947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Kommuner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10435-2022</t>
        </is>
      </c>
      <c r="B878" s="1" t="n">
        <v>44623</v>
      </c>
      <c r="C878" s="1" t="n">
        <v>45947</v>
      </c>
      <c r="D878" t="inlineStr">
        <is>
          <t>SÖDERMANLANDS LÄN</t>
        </is>
      </c>
      <c r="E878" t="inlineStr">
        <is>
          <t>NYKÖPING</t>
        </is>
      </c>
      <c r="G878" t="n">
        <v>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27894-2023</t>
        </is>
      </c>
      <c r="B879" s="1" t="n">
        <v>45098</v>
      </c>
      <c r="C879" s="1" t="n">
        <v>45947</v>
      </c>
      <c r="D879" t="inlineStr">
        <is>
          <t>SÖDERMANLANDS LÄN</t>
        </is>
      </c>
      <c r="E879" t="inlineStr">
        <is>
          <t>NYKÖPING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12139-2025</t>
        </is>
      </c>
      <c r="B880" s="1" t="n">
        <v>45729.40054398148</v>
      </c>
      <c r="C880" s="1" t="n">
        <v>45947</v>
      </c>
      <c r="D880" t="inlineStr">
        <is>
          <t>SÖDERMANLANDS LÄN</t>
        </is>
      </c>
      <c r="E880" t="inlineStr">
        <is>
          <t>NYKÖPING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12140-2025</t>
        </is>
      </c>
      <c r="B881" s="1" t="n">
        <v>45729.40241898148</v>
      </c>
      <c r="C881" s="1" t="n">
        <v>45947</v>
      </c>
      <c r="D881" t="inlineStr">
        <is>
          <t>SÖDERMANLANDS LÄN</t>
        </is>
      </c>
      <c r="E881" t="inlineStr">
        <is>
          <t>NYKÖPING</t>
        </is>
      </c>
      <c r="G881" t="n">
        <v>6.3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62432-2023</t>
        </is>
      </c>
      <c r="B882" s="1" t="n">
        <v>45268.4309375</v>
      </c>
      <c r="C882" s="1" t="n">
        <v>45947</v>
      </c>
      <c r="D882" t="inlineStr">
        <is>
          <t>SÖDERMANLANDS LÄN</t>
        </is>
      </c>
      <c r="E882" t="inlineStr">
        <is>
          <t>NYKÖPING</t>
        </is>
      </c>
      <c r="G882" t="n">
        <v>3.7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18551-2024</t>
        </is>
      </c>
      <c r="B883" s="1" t="n">
        <v>45425</v>
      </c>
      <c r="C883" s="1" t="n">
        <v>45947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Kommuner</t>
        </is>
      </c>
      <c r="G883" t="n">
        <v>2.7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2510-2022</t>
        </is>
      </c>
      <c r="B884" s="1" t="n">
        <v>44579</v>
      </c>
      <c r="C884" s="1" t="n">
        <v>45947</v>
      </c>
      <c r="D884" t="inlineStr">
        <is>
          <t>SÖDERMANLANDS LÄN</t>
        </is>
      </c>
      <c r="E884" t="inlineStr">
        <is>
          <t>NYKÖPING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65174-2023</t>
        </is>
      </c>
      <c r="B885" s="1" t="n">
        <v>45288</v>
      </c>
      <c r="C885" s="1" t="n">
        <v>45947</v>
      </c>
      <c r="D885" t="inlineStr">
        <is>
          <t>SÖDERMANLANDS LÄN</t>
        </is>
      </c>
      <c r="E885" t="inlineStr">
        <is>
          <t>NYKÖPING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5835-2024</t>
        </is>
      </c>
      <c r="B886" s="1" t="n">
        <v>45335</v>
      </c>
      <c r="C886" s="1" t="n">
        <v>45947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68500-2021</t>
        </is>
      </c>
      <c r="B887" s="1" t="n">
        <v>44529</v>
      </c>
      <c r="C887" s="1" t="n">
        <v>45947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Övriga Aktiebolag</t>
        </is>
      </c>
      <c r="G887" t="n">
        <v>13.1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39429-2021</t>
        </is>
      </c>
      <c r="B888" s="1" t="n">
        <v>44414</v>
      </c>
      <c r="C888" s="1" t="n">
        <v>45947</v>
      </c>
      <c r="D888" t="inlineStr">
        <is>
          <t>SÖDERMANLANDS LÄN</t>
        </is>
      </c>
      <c r="E888" t="inlineStr">
        <is>
          <t>NYKÖPING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42856-2021</t>
        </is>
      </c>
      <c r="B889" s="1" t="n">
        <v>44430</v>
      </c>
      <c r="C889" s="1" t="n">
        <v>45947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Holmen skog AB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64081-2023</t>
        </is>
      </c>
      <c r="B890" s="1" t="n">
        <v>45279</v>
      </c>
      <c r="C890" s="1" t="n">
        <v>45947</v>
      </c>
      <c r="D890" t="inlineStr">
        <is>
          <t>SÖDERMANLANDS LÄN</t>
        </is>
      </c>
      <c r="E890" t="inlineStr">
        <is>
          <t>NYKÖPING</t>
        </is>
      </c>
      <c r="G890" t="n">
        <v>5.3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12826-2024</t>
        </is>
      </c>
      <c r="B891" s="1" t="n">
        <v>45384</v>
      </c>
      <c r="C891" s="1" t="n">
        <v>45947</v>
      </c>
      <c r="D891" t="inlineStr">
        <is>
          <t>SÖDERMANLANDS LÄN</t>
        </is>
      </c>
      <c r="E891" t="inlineStr">
        <is>
          <t>NYKÖPING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10534-2025</t>
        </is>
      </c>
      <c r="B892" s="1" t="n">
        <v>45721.46049768518</v>
      </c>
      <c r="C892" s="1" t="n">
        <v>45947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Kyrkan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17897-2024</t>
        </is>
      </c>
      <c r="B893" s="1" t="n">
        <v>45419</v>
      </c>
      <c r="C893" s="1" t="n">
        <v>45947</v>
      </c>
      <c r="D893" t="inlineStr">
        <is>
          <t>SÖDERMANLANDS LÄN</t>
        </is>
      </c>
      <c r="E893" t="inlineStr">
        <is>
          <t>NYKÖPING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17900-2024</t>
        </is>
      </c>
      <c r="B894" s="1" t="n">
        <v>45419</v>
      </c>
      <c r="C894" s="1" t="n">
        <v>45947</v>
      </c>
      <c r="D894" t="inlineStr">
        <is>
          <t>SÖDERMANLANDS LÄN</t>
        </is>
      </c>
      <c r="E894" t="inlineStr">
        <is>
          <t>NYKÖPING</t>
        </is>
      </c>
      <c r="G894" t="n">
        <v>2.8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37733-2023</t>
        </is>
      </c>
      <c r="B895" s="1" t="n">
        <v>45159</v>
      </c>
      <c r="C895" s="1" t="n">
        <v>45947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Kommuner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8976-2025</t>
        </is>
      </c>
      <c r="B896" s="1" t="n">
        <v>45713</v>
      </c>
      <c r="C896" s="1" t="n">
        <v>45947</v>
      </c>
      <c r="D896" t="inlineStr">
        <is>
          <t>SÖDERMANLANDS LÄN</t>
        </is>
      </c>
      <c r="E896" t="inlineStr">
        <is>
          <t>NYKÖPING</t>
        </is>
      </c>
      <c r="F896" t="inlineStr">
        <is>
          <t>Kyrkan</t>
        </is>
      </c>
      <c r="G896" t="n">
        <v>4.1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73877-2021</t>
        </is>
      </c>
      <c r="B897" s="1" t="n">
        <v>44553</v>
      </c>
      <c r="C897" s="1" t="n">
        <v>45947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Holmen skog AB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29551-2023</t>
        </is>
      </c>
      <c r="B898" s="1" t="n">
        <v>45106</v>
      </c>
      <c r="C898" s="1" t="n">
        <v>45947</v>
      </c>
      <c r="D898" t="inlineStr">
        <is>
          <t>SÖDERMANLANDS LÄN</t>
        </is>
      </c>
      <c r="E898" t="inlineStr">
        <is>
          <t>NYKÖPING</t>
        </is>
      </c>
      <c r="G898" t="n">
        <v>5.1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9167-2023</t>
        </is>
      </c>
      <c r="B899" s="1" t="n">
        <v>44980</v>
      </c>
      <c r="C899" s="1" t="n">
        <v>45947</v>
      </c>
      <c r="D899" t="inlineStr">
        <is>
          <t>SÖDERMANLANDS LÄN</t>
        </is>
      </c>
      <c r="E899" t="inlineStr">
        <is>
          <t>NYKÖPING</t>
        </is>
      </c>
      <c r="G899" t="n">
        <v>6.9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11978-2023</t>
        </is>
      </c>
      <c r="B900" s="1" t="n">
        <v>44995.58079861111</v>
      </c>
      <c r="C900" s="1" t="n">
        <v>45947</v>
      </c>
      <c r="D900" t="inlineStr">
        <is>
          <t>SÖDERMANLANDS LÄN</t>
        </is>
      </c>
      <c r="E900" t="inlineStr">
        <is>
          <t>NYKÖPING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9200-2023</t>
        </is>
      </c>
      <c r="B901" s="1" t="n">
        <v>44976</v>
      </c>
      <c r="C901" s="1" t="n">
        <v>45947</v>
      </c>
      <c r="D901" t="inlineStr">
        <is>
          <t>SÖDERMANLANDS LÄN</t>
        </is>
      </c>
      <c r="E901" t="inlineStr">
        <is>
          <t>NYKÖPING</t>
        </is>
      </c>
      <c r="G901" t="n">
        <v>11.1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1558-2024</t>
        </is>
      </c>
      <c r="B902" s="1" t="n">
        <v>45306</v>
      </c>
      <c r="C902" s="1" t="n">
        <v>45947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51259-2024</t>
        </is>
      </c>
      <c r="B903" s="1" t="n">
        <v>45603.69104166667</v>
      </c>
      <c r="C903" s="1" t="n">
        <v>45947</v>
      </c>
      <c r="D903" t="inlineStr">
        <is>
          <t>SÖDERMANLANDS LÄN</t>
        </is>
      </c>
      <c r="E903" t="inlineStr">
        <is>
          <t>NYKÖPING</t>
        </is>
      </c>
      <c r="F903" t="inlineStr">
        <is>
          <t>Sveaskog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47138-2023</t>
        </is>
      </c>
      <c r="B904" s="1" t="n">
        <v>45201</v>
      </c>
      <c r="C904" s="1" t="n">
        <v>45947</v>
      </c>
      <c r="D904" t="inlineStr">
        <is>
          <t>SÖDERMANLANDS LÄN</t>
        </is>
      </c>
      <c r="E904" t="inlineStr">
        <is>
          <t>NYKÖPING</t>
        </is>
      </c>
      <c r="G904" t="n">
        <v>7.3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16460-2023</t>
        </is>
      </c>
      <c r="B905" s="1" t="n">
        <v>45029</v>
      </c>
      <c r="C905" s="1" t="n">
        <v>45947</v>
      </c>
      <c r="D905" t="inlineStr">
        <is>
          <t>SÖDERMANLANDS LÄN</t>
        </is>
      </c>
      <c r="E905" t="inlineStr">
        <is>
          <t>NYKÖPING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12882-2025</t>
        </is>
      </c>
      <c r="B906" s="1" t="n">
        <v>45733.69351851852</v>
      </c>
      <c r="C906" s="1" t="n">
        <v>45947</v>
      </c>
      <c r="D906" t="inlineStr">
        <is>
          <t>SÖDERMANLANDS LÄN</t>
        </is>
      </c>
      <c r="E906" t="inlineStr">
        <is>
          <t>NYKÖPING</t>
        </is>
      </c>
      <c r="G906" t="n">
        <v>2.5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2513-2022</t>
        </is>
      </c>
      <c r="B907" s="1" t="n">
        <v>44579</v>
      </c>
      <c r="C907" s="1" t="n">
        <v>45947</v>
      </c>
      <c r="D907" t="inlineStr">
        <is>
          <t>SÖDERMANLANDS LÄN</t>
        </is>
      </c>
      <c r="E907" t="inlineStr">
        <is>
          <t>NYKÖPING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67857-2021</t>
        </is>
      </c>
      <c r="B908" s="1" t="n">
        <v>44525.48533564815</v>
      </c>
      <c r="C908" s="1" t="n">
        <v>45947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Sveaskog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17832-2024</t>
        </is>
      </c>
      <c r="B909" s="1" t="n">
        <v>45418</v>
      </c>
      <c r="C909" s="1" t="n">
        <v>45947</v>
      </c>
      <c r="D909" t="inlineStr">
        <is>
          <t>SÖDERMANLANDS LÄN</t>
        </is>
      </c>
      <c r="E909" t="inlineStr">
        <is>
          <t>NYKÖPING</t>
        </is>
      </c>
      <c r="F909" t="inlineStr">
        <is>
          <t>Kommuner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17834-2024</t>
        </is>
      </c>
      <c r="B910" s="1" t="n">
        <v>45418</v>
      </c>
      <c r="C910" s="1" t="n">
        <v>45947</v>
      </c>
      <c r="D910" t="inlineStr">
        <is>
          <t>SÖDERMANLANDS LÄN</t>
        </is>
      </c>
      <c r="E910" t="inlineStr">
        <is>
          <t>NYKÖPING</t>
        </is>
      </c>
      <c r="F910" t="inlineStr">
        <is>
          <t>Kommuner</t>
        </is>
      </c>
      <c r="G910" t="n">
        <v>2.4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1742-2023</t>
        </is>
      </c>
      <c r="B911" s="1" t="n">
        <v>44938.51252314815</v>
      </c>
      <c r="C911" s="1" t="n">
        <v>45947</v>
      </c>
      <c r="D911" t="inlineStr">
        <is>
          <t>SÖDERMANLANDS LÄN</t>
        </is>
      </c>
      <c r="E911" t="inlineStr">
        <is>
          <t>NYKÖPING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1912-2022</t>
        </is>
      </c>
      <c r="B912" s="1" t="n">
        <v>44575</v>
      </c>
      <c r="C912" s="1" t="n">
        <v>45947</v>
      </c>
      <c r="D912" t="inlineStr">
        <is>
          <t>SÖDERMANLANDS LÄN</t>
        </is>
      </c>
      <c r="E912" t="inlineStr">
        <is>
          <t>NYKÖPING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36015-2023</t>
        </is>
      </c>
      <c r="B913" s="1" t="n">
        <v>45148</v>
      </c>
      <c r="C913" s="1" t="n">
        <v>45947</v>
      </c>
      <c r="D913" t="inlineStr">
        <is>
          <t>SÖDERMANLANDS LÄN</t>
        </is>
      </c>
      <c r="E913" t="inlineStr">
        <is>
          <t>NYKÖPING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21984-2024</t>
        </is>
      </c>
      <c r="B914" s="1" t="n">
        <v>45443.54708333333</v>
      </c>
      <c r="C914" s="1" t="n">
        <v>45947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Holmen skog AB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18525-2024</t>
        </is>
      </c>
      <c r="B915" s="1" t="n">
        <v>45424</v>
      </c>
      <c r="C915" s="1" t="n">
        <v>45947</v>
      </c>
      <c r="D915" t="inlineStr">
        <is>
          <t>SÖDERMANLANDS LÄN</t>
        </is>
      </c>
      <c r="E915" t="inlineStr">
        <is>
          <t>NYKÖPING</t>
        </is>
      </c>
      <c r="G915" t="n">
        <v>7.4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3571-2023</t>
        </is>
      </c>
      <c r="B916" s="1" t="n">
        <v>44950</v>
      </c>
      <c r="C916" s="1" t="n">
        <v>45947</v>
      </c>
      <c r="D916" t="inlineStr">
        <is>
          <t>SÖDERMANLANDS LÄN</t>
        </is>
      </c>
      <c r="E916" t="inlineStr">
        <is>
          <t>NYKÖPING</t>
        </is>
      </c>
      <c r="G916" t="n">
        <v>1.8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72679-2021</t>
        </is>
      </c>
      <c r="B917" s="1" t="n">
        <v>44546</v>
      </c>
      <c r="C917" s="1" t="n">
        <v>45947</v>
      </c>
      <c r="D917" t="inlineStr">
        <is>
          <t>SÖDERMANLANDS LÄN</t>
        </is>
      </c>
      <c r="E917" t="inlineStr">
        <is>
          <t>NYKÖPING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27206-2023</t>
        </is>
      </c>
      <c r="B918" s="1" t="n">
        <v>45096</v>
      </c>
      <c r="C918" s="1" t="n">
        <v>45947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8324-2024</t>
        </is>
      </c>
      <c r="B919" s="1" t="n">
        <v>45350</v>
      </c>
      <c r="C919" s="1" t="n">
        <v>45947</v>
      </c>
      <c r="D919" t="inlineStr">
        <is>
          <t>SÖDERMANLANDS LÄN</t>
        </is>
      </c>
      <c r="E919" t="inlineStr">
        <is>
          <t>NYKÖPING</t>
        </is>
      </c>
      <c r="G919" t="n">
        <v>3.1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57633-2024</t>
        </is>
      </c>
      <c r="B920" s="1" t="n">
        <v>45630.56158564815</v>
      </c>
      <c r="C920" s="1" t="n">
        <v>45947</v>
      </c>
      <c r="D920" t="inlineStr">
        <is>
          <t>SÖDERMANLANDS LÄN</t>
        </is>
      </c>
      <c r="E920" t="inlineStr">
        <is>
          <t>NYKÖPING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1638-2024</t>
        </is>
      </c>
      <c r="B921" s="1" t="n">
        <v>45306</v>
      </c>
      <c r="C921" s="1" t="n">
        <v>45947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Kommuner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23207-2024</t>
        </is>
      </c>
      <c r="B922" s="1" t="n">
        <v>45452</v>
      </c>
      <c r="C922" s="1" t="n">
        <v>45947</v>
      </c>
      <c r="D922" t="inlineStr">
        <is>
          <t>SÖDERMANLANDS LÄN</t>
        </is>
      </c>
      <c r="E922" t="inlineStr">
        <is>
          <t>NYKÖPING</t>
        </is>
      </c>
      <c r="G922" t="n">
        <v>2.6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2900-2024</t>
        </is>
      </c>
      <c r="B923" s="1" t="n">
        <v>45315</v>
      </c>
      <c r="C923" s="1" t="n">
        <v>45947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Kyrkan</t>
        </is>
      </c>
      <c r="G923" t="n">
        <v>2.2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36163-2023</t>
        </is>
      </c>
      <c r="B924" s="1" t="n">
        <v>45149</v>
      </c>
      <c r="C924" s="1" t="n">
        <v>45947</v>
      </c>
      <c r="D924" t="inlineStr">
        <is>
          <t>SÖDERMANLANDS LÄN</t>
        </is>
      </c>
      <c r="E924" t="inlineStr">
        <is>
          <t>NYKÖPING</t>
        </is>
      </c>
      <c r="F924" t="inlineStr">
        <is>
          <t>Kommuner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41241-2023</t>
        </is>
      </c>
      <c r="B925" s="1" t="n">
        <v>45173</v>
      </c>
      <c r="C925" s="1" t="n">
        <v>45947</v>
      </c>
      <c r="D925" t="inlineStr">
        <is>
          <t>SÖDERMANLANDS LÄN</t>
        </is>
      </c>
      <c r="E925" t="inlineStr">
        <is>
          <t>NYKÖPING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70092-2021</t>
        </is>
      </c>
      <c r="B926" s="1" t="n">
        <v>44536</v>
      </c>
      <c r="C926" s="1" t="n">
        <v>45947</v>
      </c>
      <c r="D926" t="inlineStr">
        <is>
          <t>SÖDERMANLANDS LÄN</t>
        </is>
      </c>
      <c r="E926" t="inlineStr">
        <is>
          <t>NYKÖPING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44824-2023</t>
        </is>
      </c>
      <c r="B927" s="1" t="n">
        <v>45190.53902777778</v>
      </c>
      <c r="C927" s="1" t="n">
        <v>45947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Holmen skog AB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33669-2023</t>
        </is>
      </c>
      <c r="B928" s="1" t="n">
        <v>45132</v>
      </c>
      <c r="C928" s="1" t="n">
        <v>45947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Holmen skog AB</t>
        </is>
      </c>
      <c r="G928" t="n">
        <v>5.9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33670-2023</t>
        </is>
      </c>
      <c r="B929" s="1" t="n">
        <v>45132.61612268518</v>
      </c>
      <c r="C929" s="1" t="n">
        <v>45947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Holmen skog AB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7045-2023</t>
        </is>
      </c>
      <c r="B930" s="1" t="n">
        <v>44968.39174768519</v>
      </c>
      <c r="C930" s="1" t="n">
        <v>45947</v>
      </c>
      <c r="D930" t="inlineStr">
        <is>
          <t>SÖDERMANLANDS LÄN</t>
        </is>
      </c>
      <c r="E930" t="inlineStr">
        <is>
          <t>NYKÖPING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20482-2025</t>
        </is>
      </c>
      <c r="B931" s="1" t="n">
        <v>45775</v>
      </c>
      <c r="C931" s="1" t="n">
        <v>45947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Kommuner</t>
        </is>
      </c>
      <c r="G931" t="n">
        <v>4.8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35951-2023</t>
        </is>
      </c>
      <c r="B932" s="1" t="n">
        <v>45148</v>
      </c>
      <c r="C932" s="1" t="n">
        <v>45947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Kommuner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38472-2023</t>
        </is>
      </c>
      <c r="B933" s="1" t="n">
        <v>45162</v>
      </c>
      <c r="C933" s="1" t="n">
        <v>45947</v>
      </c>
      <c r="D933" t="inlineStr">
        <is>
          <t>SÖDERMANLANDS LÄN</t>
        </is>
      </c>
      <c r="E933" t="inlineStr">
        <is>
          <t>NYKÖPING</t>
        </is>
      </c>
      <c r="F933" t="inlineStr">
        <is>
          <t>Kommuner</t>
        </is>
      </c>
      <c r="G933" t="n">
        <v>2.7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38512-2023</t>
        </is>
      </c>
      <c r="B934" s="1" t="n">
        <v>45162</v>
      </c>
      <c r="C934" s="1" t="n">
        <v>45947</v>
      </c>
      <c r="D934" t="inlineStr">
        <is>
          <t>SÖDERMANLANDS LÄN</t>
        </is>
      </c>
      <c r="E934" t="inlineStr">
        <is>
          <t>NYKÖPING</t>
        </is>
      </c>
      <c r="F934" t="inlineStr">
        <is>
          <t>Kommuner</t>
        </is>
      </c>
      <c r="G934" t="n">
        <v>3.3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21310-2025</t>
        </is>
      </c>
      <c r="B935" s="1" t="n">
        <v>45781.83173611111</v>
      </c>
      <c r="C935" s="1" t="n">
        <v>45947</v>
      </c>
      <c r="D935" t="inlineStr">
        <is>
          <t>SÖDERMANLANDS LÄN</t>
        </is>
      </c>
      <c r="E935" t="inlineStr">
        <is>
          <t>NYKÖPING</t>
        </is>
      </c>
      <c r="G935" t="n">
        <v>11.4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56322-2023</t>
        </is>
      </c>
      <c r="B936" s="1" t="n">
        <v>45243</v>
      </c>
      <c r="C936" s="1" t="n">
        <v>45947</v>
      </c>
      <c r="D936" t="inlineStr">
        <is>
          <t>SÖDERMANLANDS LÄN</t>
        </is>
      </c>
      <c r="E936" t="inlineStr">
        <is>
          <t>NYKÖPING</t>
        </is>
      </c>
      <c r="F936" t="inlineStr">
        <is>
          <t>Kommuner</t>
        </is>
      </c>
      <c r="G936" t="n">
        <v>0.3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20486-2025</t>
        </is>
      </c>
      <c r="B937" s="1" t="n">
        <v>45775</v>
      </c>
      <c r="C937" s="1" t="n">
        <v>45947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Kommuner</t>
        </is>
      </c>
      <c r="G937" t="n">
        <v>2.2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2041-2022</t>
        </is>
      </c>
      <c r="B938" s="1" t="n">
        <v>44575</v>
      </c>
      <c r="C938" s="1" t="n">
        <v>45947</v>
      </c>
      <c r="D938" t="inlineStr">
        <is>
          <t>SÖDERMANLANDS LÄN</t>
        </is>
      </c>
      <c r="E938" t="inlineStr">
        <is>
          <t>NYKÖPING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42525-2023</t>
        </is>
      </c>
      <c r="B939" s="1" t="n">
        <v>45181</v>
      </c>
      <c r="C939" s="1" t="n">
        <v>45947</v>
      </c>
      <c r="D939" t="inlineStr">
        <is>
          <t>SÖDERMANLANDS LÄN</t>
        </is>
      </c>
      <c r="E939" t="inlineStr">
        <is>
          <t>NYKÖPING</t>
        </is>
      </c>
      <c r="G939" t="n">
        <v>3.1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2939-2022</t>
        </is>
      </c>
      <c r="B940" s="1" t="n">
        <v>44581</v>
      </c>
      <c r="C940" s="1" t="n">
        <v>45947</v>
      </c>
      <c r="D940" t="inlineStr">
        <is>
          <t>SÖDERMANLANDS LÄN</t>
        </is>
      </c>
      <c r="E940" t="inlineStr">
        <is>
          <t>NYKÖPING</t>
        </is>
      </c>
      <c r="G940" t="n">
        <v>2.4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35469-2023</t>
        </is>
      </c>
      <c r="B941" s="1" t="n">
        <v>45146</v>
      </c>
      <c r="C941" s="1" t="n">
        <v>45947</v>
      </c>
      <c r="D941" t="inlineStr">
        <is>
          <t>SÖDERMANLANDS LÄN</t>
        </is>
      </c>
      <c r="E941" t="inlineStr">
        <is>
          <t>NYKÖPING</t>
        </is>
      </c>
      <c r="F941" t="inlineStr">
        <is>
          <t>Holmen skog AB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38034-2023</t>
        </is>
      </c>
      <c r="B942" s="1" t="n">
        <v>45160</v>
      </c>
      <c r="C942" s="1" t="n">
        <v>45947</v>
      </c>
      <c r="D942" t="inlineStr">
        <is>
          <t>SÖDERMANLANDS LÄN</t>
        </is>
      </c>
      <c r="E942" t="inlineStr">
        <is>
          <t>NYKÖPING</t>
        </is>
      </c>
      <c r="F942" t="inlineStr">
        <is>
          <t>Kommuner</t>
        </is>
      </c>
      <c r="G942" t="n">
        <v>1.7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11908-2023</t>
        </is>
      </c>
      <c r="B943" s="1" t="n">
        <v>44995</v>
      </c>
      <c r="C943" s="1" t="n">
        <v>45947</v>
      </c>
      <c r="D943" t="inlineStr">
        <is>
          <t>SÖDERMANLANDS LÄN</t>
        </is>
      </c>
      <c r="E943" t="inlineStr">
        <is>
          <t>NYKÖPING</t>
        </is>
      </c>
      <c r="G943" t="n">
        <v>1.9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65109-2021</t>
        </is>
      </c>
      <c r="B944" s="1" t="n">
        <v>44515.40481481481</v>
      </c>
      <c r="C944" s="1" t="n">
        <v>45947</v>
      </c>
      <c r="D944" t="inlineStr">
        <is>
          <t>SÖDERMANLANDS LÄN</t>
        </is>
      </c>
      <c r="E944" t="inlineStr">
        <is>
          <t>NYKÖPING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46365-2024</t>
        </is>
      </c>
      <c r="B945" s="1" t="n">
        <v>45582.36425925926</v>
      </c>
      <c r="C945" s="1" t="n">
        <v>45947</v>
      </c>
      <c r="D945" t="inlineStr">
        <is>
          <t>SÖDERMANLANDS LÄN</t>
        </is>
      </c>
      <c r="E945" t="inlineStr">
        <is>
          <t>NYKÖPING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10613-2025</t>
        </is>
      </c>
      <c r="B946" s="1" t="n">
        <v>45721.60896990741</v>
      </c>
      <c r="C946" s="1" t="n">
        <v>45947</v>
      </c>
      <c r="D946" t="inlineStr">
        <is>
          <t>SÖDERMANLANDS LÄN</t>
        </is>
      </c>
      <c r="E946" t="inlineStr">
        <is>
          <t>NYKÖPING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10616-2025</t>
        </is>
      </c>
      <c r="B947" s="1" t="n">
        <v>45721.61415509259</v>
      </c>
      <c r="C947" s="1" t="n">
        <v>45947</v>
      </c>
      <c r="D947" t="inlineStr">
        <is>
          <t>SÖDERMANLANDS LÄN</t>
        </is>
      </c>
      <c r="E947" t="inlineStr">
        <is>
          <t>NYKÖPING</t>
        </is>
      </c>
      <c r="G947" t="n">
        <v>6.4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5865-2024</t>
        </is>
      </c>
      <c r="B948" s="1" t="n">
        <v>45335</v>
      </c>
      <c r="C948" s="1" t="n">
        <v>45947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Sveaskog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5869-2024</t>
        </is>
      </c>
      <c r="B949" s="1" t="n">
        <v>45335</v>
      </c>
      <c r="C949" s="1" t="n">
        <v>45947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Sveaskog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4885-2024</t>
        </is>
      </c>
      <c r="B950" s="1" t="n">
        <v>45329</v>
      </c>
      <c r="C950" s="1" t="n">
        <v>45947</v>
      </c>
      <c r="D950" t="inlineStr">
        <is>
          <t>SÖDERMANLANDS LÄN</t>
        </is>
      </c>
      <c r="E950" t="inlineStr">
        <is>
          <t>NYKÖPING</t>
        </is>
      </c>
      <c r="G950" t="n">
        <v>4.2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>
      <c r="A951" t="inlineStr">
        <is>
          <t>A 4932-2024</t>
        </is>
      </c>
      <c r="B951" s="1" t="n">
        <v>45329</v>
      </c>
      <c r="C951" s="1" t="n">
        <v>45947</v>
      </c>
      <c r="D951" t="inlineStr">
        <is>
          <t>SÖDERMANLANDS LÄN</t>
        </is>
      </c>
      <c r="E951" t="inlineStr">
        <is>
          <t>NYKÖPING</t>
        </is>
      </c>
      <c r="G951" t="n">
        <v>17.8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2025-10-17T14:20:55Z</dcterms:created>
  <dcterms:modified xmlns:dcterms="http://purl.org/dc/terms/" xmlns:xsi="http://www.w3.org/2001/XMLSchema-instance" xsi:type="dcterms:W3CDTF">2025-10-17T14:20:56Z</dcterms:modified>
</cp:coreProperties>
</file>