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45947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45947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45947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45947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45947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45947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45488-2025</t>
        </is>
      </c>
      <c r="B8" s="1" t="n">
        <v>45922.55509259259</v>
      </c>
      <c r="C8" s="1" t="n">
        <v>45947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3</v>
      </c>
      <c r="H8" t="n">
        <v>1</v>
      </c>
      <c r="I8" t="n">
        <v>5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11</v>
      </c>
      <c r="R8" s="2" t="inlineStr">
        <is>
          <t>Knärot
Dvärgbägarlav
Motaggsvamp
Tallticka
Ullticka
Vedskivlav
Blomkålssvamp
Bronshjon
Grovticka
Grönpyrola
Mindre märgborre</t>
        </is>
      </c>
      <c r="S8">
        <f>HYPERLINK("https://klasma.github.io/Logging_0581/artfynd/A 45488-2025 artfynd.xlsx", "A 45488-2025")</f>
        <v/>
      </c>
      <c r="T8">
        <f>HYPERLINK("https://klasma.github.io/Logging_0581/kartor/A 45488-2025 karta.png", "A 45488-2025")</f>
        <v/>
      </c>
      <c r="U8">
        <f>HYPERLINK("https://klasma.github.io/Logging_0581/knärot/A 45488-2025 karta knärot.png", "A 45488-2025")</f>
        <v/>
      </c>
      <c r="V8">
        <f>HYPERLINK("https://klasma.github.io/Logging_0581/klagomål/A 45488-2025 FSC-klagomål.docx", "A 45488-2025")</f>
        <v/>
      </c>
      <c r="W8">
        <f>HYPERLINK("https://klasma.github.io/Logging_0581/klagomålsmail/A 45488-2025 FSC-klagomål mail.docx", "A 45488-2025")</f>
        <v/>
      </c>
      <c r="X8">
        <f>HYPERLINK("https://klasma.github.io/Logging_0581/tillsyn/A 45488-2025 tillsynsbegäran.docx", "A 45488-2025")</f>
        <v/>
      </c>
      <c r="Y8">
        <f>HYPERLINK("https://klasma.github.io/Logging_0581/tillsynsmail/A 45488-2025 tillsynsbegäran mail.docx", "A 45488-2025")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45947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45701-2024</t>
        </is>
      </c>
      <c r="B10" s="1" t="n">
        <v>45579</v>
      </c>
      <c r="C10" s="1" t="n">
        <v>45947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12.1</v>
      </c>
      <c r="H10" t="n">
        <v>0</v>
      </c>
      <c r="I10" t="n">
        <v>5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11</v>
      </c>
      <c r="R10" s="2" t="inlineStr">
        <is>
          <t>Bronspraktbagge
Dvärgbägarlav
Motaggsvamp
Svartvit taggsvamp
Tallticka
Vedskivlav
Blåmossa
Bronshjon
Dropptaggsvamp
Flagellkvastmossa
Mindre märgborre</t>
        </is>
      </c>
      <c r="S10">
        <f>HYPERLINK("https://klasma.github.io/Logging_0581/artfynd/A 45701-2024 artfynd.xlsx", "A 45701-2024")</f>
        <v/>
      </c>
      <c r="T10">
        <f>HYPERLINK("https://klasma.github.io/Logging_0581/kartor/A 45701-2024 karta.png", "A 45701-2024")</f>
        <v/>
      </c>
      <c r="U10">
        <f>HYPERLINK("https://klasma.github.io/Logging_0581/knärot/A 45701-2024 karta knärot.png", "A 45701-2024")</f>
        <v/>
      </c>
      <c r="V10">
        <f>HYPERLINK("https://klasma.github.io/Logging_0581/klagomål/A 45701-2024 FSC-klagomål.docx", "A 45701-2024")</f>
        <v/>
      </c>
      <c r="W10">
        <f>HYPERLINK("https://klasma.github.io/Logging_0581/klagomålsmail/A 45701-2024 FSC-klagomål mail.docx", "A 45701-2024")</f>
        <v/>
      </c>
      <c r="X10">
        <f>HYPERLINK("https://klasma.github.io/Logging_0581/tillsyn/A 45701-2024 tillsynsbegäran.docx", "A 45701-2024")</f>
        <v/>
      </c>
      <c r="Y10">
        <f>HYPERLINK("https://klasma.github.io/Logging_0581/tillsynsmail/A 45701-2024 tillsynsbegäran mail.docx", "A 45701-2024")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45947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45947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45947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45947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37730-2025</t>
        </is>
      </c>
      <c r="B15" s="1" t="n">
        <v>45880.62738425926</v>
      </c>
      <c r="C15" s="1" t="n">
        <v>45947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4.2</v>
      </c>
      <c r="H15" t="n">
        <v>1</v>
      </c>
      <c r="I15" t="n">
        <v>1</v>
      </c>
      <c r="J15" t="n">
        <v>6</v>
      </c>
      <c r="K15" t="n">
        <v>0</v>
      </c>
      <c r="L15" t="n">
        <v>0</v>
      </c>
      <c r="M15" t="n">
        <v>0</v>
      </c>
      <c r="N15" t="n">
        <v>0</v>
      </c>
      <c r="O15" t="n">
        <v>6</v>
      </c>
      <c r="P15" t="n">
        <v>0</v>
      </c>
      <c r="Q15" t="n">
        <v>8</v>
      </c>
      <c r="R15" s="2" t="inlineStr">
        <is>
          <t>Asppraktbagge
Motaggsvamp
Skogsklocka
Svinrot
Tallticka
Vippärt
Stekelbock
Blåsippa</t>
        </is>
      </c>
      <c r="S15">
        <f>HYPERLINK("https://klasma.github.io/Logging_0581/artfynd/A 37730-2025 artfynd.xlsx", "A 37730-2025")</f>
        <v/>
      </c>
      <c r="T15">
        <f>HYPERLINK("https://klasma.github.io/Logging_0581/kartor/A 37730-2025 karta.png", "A 37730-2025")</f>
        <v/>
      </c>
      <c r="V15">
        <f>HYPERLINK("https://klasma.github.io/Logging_0581/klagomål/A 37730-2025 FSC-klagomål.docx", "A 37730-2025")</f>
        <v/>
      </c>
      <c r="W15">
        <f>HYPERLINK("https://klasma.github.io/Logging_0581/klagomålsmail/A 37730-2025 FSC-klagomål mail.docx", "A 37730-2025")</f>
        <v/>
      </c>
      <c r="X15">
        <f>HYPERLINK("https://klasma.github.io/Logging_0581/tillsyn/A 37730-2025 tillsynsbegäran.docx", "A 37730-2025")</f>
        <v/>
      </c>
      <c r="Y15">
        <f>HYPERLINK("https://klasma.github.io/Logging_0581/tillsynsmail/A 37730-2025 tillsynsbegäran mail.docx", "A 37730-2025")</f>
        <v/>
      </c>
    </row>
    <row r="16" ht="15" customHeight="1">
      <c r="A16" t="inlineStr">
        <is>
          <t>A 43298-2024</t>
        </is>
      </c>
      <c r="B16" s="1" t="n">
        <v>45568</v>
      </c>
      <c r="C16" s="1" t="n">
        <v>45947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4.3</v>
      </c>
      <c r="H16" t="n">
        <v>0</v>
      </c>
      <c r="I16" t="n">
        <v>4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Dvärgbägarlav
Motaggsvamp
Tallticka
Vedskivlav
Blåmossa
Dropptaggsvamp
Flagellkvastmossa
Grönpyrola</t>
        </is>
      </c>
      <c r="S16">
        <f>HYPERLINK("https://klasma.github.io/Logging_0581/artfynd/A 43298-2024 artfynd.xlsx", "A 43298-2024")</f>
        <v/>
      </c>
      <c r="T16">
        <f>HYPERLINK("https://klasma.github.io/Logging_0581/kartor/A 43298-2024 karta.png", "A 43298-2024")</f>
        <v/>
      </c>
      <c r="V16">
        <f>HYPERLINK("https://klasma.github.io/Logging_0581/klagomål/A 43298-2024 FSC-klagomål.docx", "A 43298-2024")</f>
        <v/>
      </c>
      <c r="W16">
        <f>HYPERLINK("https://klasma.github.io/Logging_0581/klagomålsmail/A 43298-2024 FSC-klagomål mail.docx", "A 43298-2024")</f>
        <v/>
      </c>
      <c r="X16">
        <f>HYPERLINK("https://klasma.github.io/Logging_0581/tillsyn/A 43298-2024 tillsynsbegäran.docx", "A 43298-2024")</f>
        <v/>
      </c>
      <c r="Y16">
        <f>HYPERLINK("https://klasma.github.io/Logging_0581/tillsynsmail/A 43298-2024 tillsynsbegäran mail.docx", "A 43298-2024")</f>
        <v/>
      </c>
    </row>
    <row r="17" ht="15" customHeight="1">
      <c r="A17" t="inlineStr">
        <is>
          <t>A 45509-2025</t>
        </is>
      </c>
      <c r="B17" s="1" t="n">
        <v>45922.57796296296</v>
      </c>
      <c r="C17" s="1" t="n">
        <v>45947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2.8</v>
      </c>
      <c r="H17" t="n">
        <v>3</v>
      </c>
      <c r="I17" t="n">
        <v>3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Knärot
Svart taggsvamp
Dropptaggsvamp
Fällmossa
Platt fjädermossa
Vanlig snok
Blåsippa</t>
        </is>
      </c>
      <c r="S17">
        <f>HYPERLINK("https://klasma.github.io/Logging_0581/artfynd/A 45509-2025 artfynd.xlsx", "A 45509-2025")</f>
        <v/>
      </c>
      <c r="T17">
        <f>HYPERLINK("https://klasma.github.io/Logging_0581/kartor/A 45509-2025 karta.png", "A 45509-2025")</f>
        <v/>
      </c>
      <c r="U17">
        <f>HYPERLINK("https://klasma.github.io/Logging_0581/knärot/A 45509-2025 karta knärot.png", "A 45509-2025")</f>
        <v/>
      </c>
      <c r="V17">
        <f>HYPERLINK("https://klasma.github.io/Logging_0581/klagomål/A 45509-2025 FSC-klagomål.docx", "A 45509-2025")</f>
        <v/>
      </c>
      <c r="W17">
        <f>HYPERLINK("https://klasma.github.io/Logging_0581/klagomålsmail/A 45509-2025 FSC-klagomål mail.docx", "A 45509-2025")</f>
        <v/>
      </c>
      <c r="X17">
        <f>HYPERLINK("https://klasma.github.io/Logging_0581/tillsyn/A 45509-2025 tillsynsbegäran.docx", "A 45509-2025")</f>
        <v/>
      </c>
      <c r="Y17">
        <f>HYPERLINK("https://klasma.github.io/Logging_0581/tillsynsmail/A 45509-2025 tillsynsbegäran mail.docx", "A 45509-2025")</f>
        <v/>
      </c>
    </row>
    <row r="18" ht="15" customHeight="1">
      <c r="A18" t="inlineStr">
        <is>
          <t>A 34439-2023</t>
        </is>
      </c>
      <c r="B18" s="1" t="n">
        <v>45133</v>
      </c>
      <c r="C18" s="1" t="n">
        <v>45947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3.5</v>
      </c>
      <c r="H18" t="n">
        <v>3</v>
      </c>
      <c r="I18" t="n">
        <v>5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Knärot
Blomkålssvamp
Grönpyrola
Plattlummer
Svavelriska
Vedticka
Äkta lopplummer</t>
        </is>
      </c>
      <c r="S18">
        <f>HYPERLINK("https://klasma.github.io/Logging_0581/artfynd/A 34439-2023 artfynd.xlsx", "A 34439-2023")</f>
        <v/>
      </c>
      <c r="T18">
        <f>HYPERLINK("https://klasma.github.io/Logging_0581/kartor/A 34439-2023 karta.png", "A 34439-2023")</f>
        <v/>
      </c>
      <c r="U18">
        <f>HYPERLINK("https://klasma.github.io/Logging_0581/knärot/A 34439-2023 karta knärot.png", "A 34439-2023")</f>
        <v/>
      </c>
      <c r="V18">
        <f>HYPERLINK("https://klasma.github.io/Logging_0581/klagomål/A 34439-2023 FSC-klagomål.docx", "A 34439-2023")</f>
        <v/>
      </c>
      <c r="W18">
        <f>HYPERLINK("https://klasma.github.io/Logging_0581/klagomålsmail/A 34439-2023 FSC-klagomål mail.docx", "A 34439-2023")</f>
        <v/>
      </c>
      <c r="X18">
        <f>HYPERLINK("https://klasma.github.io/Logging_0581/tillsyn/A 34439-2023 tillsynsbegäran.docx", "A 34439-2023")</f>
        <v/>
      </c>
      <c r="Y18">
        <f>HYPERLINK("https://klasma.github.io/Logging_0581/tillsynsmail/A 34439-2023 tillsynsbegäran mail.docx", "A 34439-2023")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45947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45947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5</v>
      </c>
      <c r="R20" s="2" t="inlineStr">
        <is>
          <t>Knärot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14619-2025</t>
        </is>
      </c>
      <c r="B21" s="1" t="n">
        <v>45742.41269675926</v>
      </c>
      <c r="C21" s="1" t="n">
        <v>45947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7</v>
      </c>
      <c r="H21" t="n">
        <v>2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Vedtrappmossa
Grönpyrola
Stubbspretmossa
Mattlummer</t>
        </is>
      </c>
      <c r="S21">
        <f>HYPERLINK("https://klasma.github.io/Logging_0581/artfynd/A 14619-2025 artfynd.xlsx", "A 14619-2025")</f>
        <v/>
      </c>
      <c r="T21">
        <f>HYPERLINK("https://klasma.github.io/Logging_0581/kartor/A 14619-2025 karta.png", "A 14619-2025")</f>
        <v/>
      </c>
      <c r="U21">
        <f>HYPERLINK("https://klasma.github.io/Logging_0581/knärot/A 14619-2025 karta knärot.png", "A 14619-2025")</f>
        <v/>
      </c>
      <c r="V21">
        <f>HYPERLINK("https://klasma.github.io/Logging_0581/klagomål/A 14619-2025 FSC-klagomål.docx", "A 14619-2025")</f>
        <v/>
      </c>
      <c r="W21">
        <f>HYPERLINK("https://klasma.github.io/Logging_0581/klagomålsmail/A 14619-2025 FSC-klagomål mail.docx", "A 14619-2025")</f>
        <v/>
      </c>
      <c r="X21">
        <f>HYPERLINK("https://klasma.github.io/Logging_0581/tillsyn/A 14619-2025 tillsynsbegäran.docx", "A 14619-2025")</f>
        <v/>
      </c>
      <c r="Y21">
        <f>HYPERLINK("https://klasma.github.io/Logging_0581/tillsynsmail/A 14619-2025 tillsynsbegäran mail.docx", "A 14619-2025")</f>
        <v/>
      </c>
    </row>
    <row r="22" ht="15" customHeight="1">
      <c r="A22" t="inlineStr">
        <is>
          <t>A 30910-2025</t>
        </is>
      </c>
      <c r="B22" s="1" t="n">
        <v>45832.36966435185</v>
      </c>
      <c r="C22" s="1" t="n">
        <v>45947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8.4</v>
      </c>
      <c r="H22" t="n">
        <v>0</v>
      </c>
      <c r="I22" t="n">
        <v>4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5</v>
      </c>
      <c r="R22" s="2" t="inlineStr">
        <is>
          <t>Vedskivlav
Blåmossa
Bronshjon
Grönpyrola
Mindre märgborre</t>
        </is>
      </c>
      <c r="S22">
        <f>HYPERLINK("https://klasma.github.io/Logging_0581/artfynd/A 30910-2025 artfynd.xlsx", "A 30910-2025")</f>
        <v/>
      </c>
      <c r="T22">
        <f>HYPERLINK("https://klasma.github.io/Logging_0581/kartor/A 30910-2025 karta.png", "A 30910-2025")</f>
        <v/>
      </c>
      <c r="V22">
        <f>HYPERLINK("https://klasma.github.io/Logging_0581/klagomål/A 30910-2025 FSC-klagomål.docx", "A 30910-2025")</f>
        <v/>
      </c>
      <c r="W22">
        <f>HYPERLINK("https://klasma.github.io/Logging_0581/klagomålsmail/A 30910-2025 FSC-klagomål mail.docx", "A 30910-2025")</f>
        <v/>
      </c>
      <c r="X22">
        <f>HYPERLINK("https://klasma.github.io/Logging_0581/tillsyn/A 30910-2025 tillsynsbegäran.docx", "A 30910-2025")</f>
        <v/>
      </c>
      <c r="Y22">
        <f>HYPERLINK("https://klasma.github.io/Logging_0581/tillsynsmail/A 30910-2025 tillsynsbegäran mail.docx", "A 30910-2025")</f>
        <v/>
      </c>
    </row>
    <row r="23" ht="15" customHeight="1">
      <c r="A23" t="inlineStr">
        <is>
          <t>A 2165-2022</t>
        </is>
      </c>
      <c r="B23" s="1" t="n">
        <v>44578</v>
      </c>
      <c r="C23" s="1" t="n">
        <v>45947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BillerudKorsnäs AB</t>
        </is>
      </c>
      <c r="G23" t="n">
        <v>2.1</v>
      </c>
      <c r="H23" t="n">
        <v>3</v>
      </c>
      <c r="I23" t="n">
        <v>3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Röd skogslilja
Granbarkgnagare
Purpurknipprot
Stubbspretmossa
Blåsippa</t>
        </is>
      </c>
      <c r="S23">
        <f>HYPERLINK("https://klasma.github.io/Logging_0581/artfynd/A 2165-2022 artfynd.xlsx", "A 2165-2022")</f>
        <v/>
      </c>
      <c r="T23">
        <f>HYPERLINK("https://klasma.github.io/Logging_0581/kartor/A 2165-2022 karta.png", "A 2165-2022")</f>
        <v/>
      </c>
      <c r="V23">
        <f>HYPERLINK("https://klasma.github.io/Logging_0581/klagomål/A 2165-2022 FSC-klagomål.docx", "A 2165-2022")</f>
        <v/>
      </c>
      <c r="W23">
        <f>HYPERLINK("https://klasma.github.io/Logging_0581/klagomålsmail/A 2165-2022 FSC-klagomål mail.docx", "A 2165-2022")</f>
        <v/>
      </c>
      <c r="X23">
        <f>HYPERLINK("https://klasma.github.io/Logging_0581/tillsyn/A 2165-2022 tillsynsbegäran.docx", "A 2165-2022")</f>
        <v/>
      </c>
      <c r="Y23">
        <f>HYPERLINK("https://klasma.github.io/Logging_0581/tillsynsmail/A 2165-2022 tillsynsbegäran mail.docx", "A 2165-2022")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45947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45947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11085-2025</t>
        </is>
      </c>
      <c r="B26" s="1" t="n">
        <v>45723.57098379629</v>
      </c>
      <c r="C26" s="1" t="n">
        <v>45947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Holmen skog AB</t>
        </is>
      </c>
      <c r="G26" t="n">
        <v>1.9</v>
      </c>
      <c r="H26" t="n">
        <v>3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Dropptaggsvamp
Nattskärra
Huggorm</t>
        </is>
      </c>
      <c r="S26">
        <f>HYPERLINK("https://klasma.github.io/Logging_0581/artfynd/A 11085-2025 artfynd.xlsx", "A 11085-2025")</f>
        <v/>
      </c>
      <c r="T26">
        <f>HYPERLINK("https://klasma.github.io/Logging_0581/kartor/A 11085-2025 karta.png", "A 11085-2025")</f>
        <v/>
      </c>
      <c r="U26">
        <f>HYPERLINK("https://klasma.github.io/Logging_0581/knärot/A 11085-2025 karta knärot.png", "A 11085-2025")</f>
        <v/>
      </c>
      <c r="V26">
        <f>HYPERLINK("https://klasma.github.io/Logging_0581/klagomål/A 11085-2025 FSC-klagomål.docx", "A 11085-2025")</f>
        <v/>
      </c>
      <c r="W26">
        <f>HYPERLINK("https://klasma.github.io/Logging_0581/klagomålsmail/A 11085-2025 FSC-klagomål mail.docx", "A 11085-2025")</f>
        <v/>
      </c>
      <c r="X26">
        <f>HYPERLINK("https://klasma.github.io/Logging_0581/tillsyn/A 11085-2025 tillsynsbegäran.docx", "A 11085-2025")</f>
        <v/>
      </c>
      <c r="Y26">
        <f>HYPERLINK("https://klasma.github.io/Logging_0581/tillsynsmail/A 11085-2025 tillsynsbegäran mail.docx", "A 11085-2025")</f>
        <v/>
      </c>
      <c r="Z26">
        <f>HYPERLINK("https://klasma.github.io/Logging_0581/fåglar/A 11085-2025 prioriterade fågelarter.docx", "A 11085-2025")</f>
        <v/>
      </c>
    </row>
    <row r="27" ht="15" customHeight="1">
      <c r="A27" t="inlineStr">
        <is>
          <t>A 12567-2025</t>
        </is>
      </c>
      <c r="B27" s="1" t="n">
        <v>45731.65016203704</v>
      </c>
      <c r="C27" s="1" t="n">
        <v>45947</v>
      </c>
      <c r="D27" t="inlineStr">
        <is>
          <t>ÖSTERGÖTLANDS LÄN</t>
        </is>
      </c>
      <c r="E27" t="inlineStr">
        <is>
          <t>NORRKÖPING</t>
        </is>
      </c>
      <c r="G27" t="n">
        <v>15.6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0</v>
      </c>
      <c r="N27" t="n">
        <v>0</v>
      </c>
      <c r="O27" t="n">
        <v>3</v>
      </c>
      <c r="P27" t="n">
        <v>2</v>
      </c>
      <c r="Q27" t="n">
        <v>4</v>
      </c>
      <c r="R27" s="2" t="inlineStr">
        <is>
          <t>Ask
Knärot
Tallticka
Blåmossa</t>
        </is>
      </c>
      <c r="S27">
        <f>HYPERLINK("https://klasma.github.io/Logging_0581/artfynd/A 12567-2025 artfynd.xlsx", "A 12567-2025")</f>
        <v/>
      </c>
      <c r="T27">
        <f>HYPERLINK("https://klasma.github.io/Logging_0581/kartor/A 12567-2025 karta.png", "A 12567-2025")</f>
        <v/>
      </c>
      <c r="U27">
        <f>HYPERLINK("https://klasma.github.io/Logging_0581/knärot/A 12567-2025 karta knärot.png", "A 12567-2025")</f>
        <v/>
      </c>
      <c r="V27">
        <f>HYPERLINK("https://klasma.github.io/Logging_0581/klagomål/A 12567-2025 FSC-klagomål.docx", "A 12567-2025")</f>
        <v/>
      </c>
      <c r="W27">
        <f>HYPERLINK("https://klasma.github.io/Logging_0581/klagomålsmail/A 12567-2025 FSC-klagomål mail.docx", "A 12567-2025")</f>
        <v/>
      </c>
      <c r="X27">
        <f>HYPERLINK("https://klasma.github.io/Logging_0581/tillsyn/A 12567-2025 tillsynsbegäran.docx", "A 12567-2025")</f>
        <v/>
      </c>
      <c r="Y27">
        <f>HYPERLINK("https://klasma.github.io/Logging_0581/tillsynsmail/A 12567-2025 tillsynsbegäran mail.docx", "A 12567-2025")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45947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Järpe
Kandelabersvamp
Vit vedfingersvamp
Tibast</t>
        </is>
      </c>
      <c r="S28">
        <f>HYPERLINK("https://klasma.github.io/Logging_0581/artfynd/A 18491-2023 artfynd.xlsx", "A 18491-2023")</f>
        <v/>
      </c>
      <c r="T28">
        <f>HYPERLINK("https://klasma.github.io/Logging_0581/kartor/A 18491-2023 karta.png", "A 18491-2023")</f>
        <v/>
      </c>
      <c r="V28">
        <f>HYPERLINK("https://klasma.github.io/Logging_0581/klagomål/A 18491-2023 FSC-klagomål.docx", "A 18491-2023")</f>
        <v/>
      </c>
      <c r="W28">
        <f>HYPERLINK("https://klasma.github.io/Logging_0581/klagomålsmail/A 18491-2023 FSC-klagomål mail.docx", "A 18491-2023")</f>
        <v/>
      </c>
      <c r="X28">
        <f>HYPERLINK("https://klasma.github.io/Logging_0581/tillsyn/A 18491-2023 tillsynsbegäran.docx", "A 18491-2023")</f>
        <v/>
      </c>
      <c r="Y28">
        <f>HYPERLINK("https://klasma.github.io/Logging_0581/tillsynsmail/A 18491-2023 tillsynsbegäran mail.docx", "A 18491-2023")</f>
        <v/>
      </c>
      <c r="Z28">
        <f>HYPERLINK("https://klasma.github.io/Logging_0581/fåglar/A 18491-2023 prioriterade fågelarter.docx", "A 18491-2023")</f>
        <v/>
      </c>
    </row>
    <row r="29" ht="15" customHeight="1">
      <c r="A29" t="inlineStr">
        <is>
          <t>A 37830-2025</t>
        </is>
      </c>
      <c r="B29" s="1" t="n">
        <v>45881.41636574074</v>
      </c>
      <c r="C29" s="1" t="n">
        <v>45947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2.3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Grön aspvedbock
Tallticka
Vit vedfingersvamp
Aspvedgnagare</t>
        </is>
      </c>
      <c r="S29">
        <f>HYPERLINK("https://klasma.github.io/Logging_0581/artfynd/A 37830-2025 artfynd.xlsx", "A 37830-2025")</f>
        <v/>
      </c>
      <c r="T29">
        <f>HYPERLINK("https://klasma.github.io/Logging_0581/kartor/A 37830-2025 karta.png", "A 37830-2025")</f>
        <v/>
      </c>
      <c r="V29">
        <f>HYPERLINK("https://klasma.github.io/Logging_0581/klagomål/A 37830-2025 FSC-klagomål.docx", "A 37830-2025")</f>
        <v/>
      </c>
      <c r="W29">
        <f>HYPERLINK("https://klasma.github.io/Logging_0581/klagomålsmail/A 37830-2025 FSC-klagomål mail.docx", "A 37830-2025")</f>
        <v/>
      </c>
      <c r="X29">
        <f>HYPERLINK("https://klasma.github.io/Logging_0581/tillsyn/A 37830-2025 tillsynsbegäran.docx", "A 37830-2025")</f>
        <v/>
      </c>
      <c r="Y29">
        <f>HYPERLINK("https://klasma.github.io/Logging_0581/tillsynsmail/A 37830-2025 tillsynsbegäran mail.docx", "A 37830-2025")</f>
        <v/>
      </c>
    </row>
    <row r="30" ht="15" customHeight="1">
      <c r="A30" t="inlineStr">
        <is>
          <t>A 11100-2025</t>
        </is>
      </c>
      <c r="B30" s="1" t="n">
        <v>45723.59275462963</v>
      </c>
      <c r="C30" s="1" t="n">
        <v>45947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</v>
      </c>
      <c r="H30" t="n">
        <v>0</v>
      </c>
      <c r="I30" t="n">
        <v>4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4</v>
      </c>
      <c r="R30" s="2" t="inlineStr">
        <is>
          <t>Fällmossa
Guldlockmossa
Platt fjädermossa
Trubbfjädermossa</t>
        </is>
      </c>
      <c r="S30">
        <f>HYPERLINK("https://klasma.github.io/Logging_0581/artfynd/A 11100-2025 artfynd.xlsx", "A 11100-2025")</f>
        <v/>
      </c>
      <c r="T30">
        <f>HYPERLINK("https://klasma.github.io/Logging_0581/kartor/A 11100-2025 karta.png", "A 11100-2025")</f>
        <v/>
      </c>
      <c r="V30">
        <f>HYPERLINK("https://klasma.github.io/Logging_0581/klagomål/A 11100-2025 FSC-klagomål.docx", "A 11100-2025")</f>
        <v/>
      </c>
      <c r="W30">
        <f>HYPERLINK("https://klasma.github.io/Logging_0581/klagomålsmail/A 11100-2025 FSC-klagomål mail.docx", "A 11100-2025")</f>
        <v/>
      </c>
      <c r="X30">
        <f>HYPERLINK("https://klasma.github.io/Logging_0581/tillsyn/A 11100-2025 tillsynsbegäran.docx", "A 11100-2025")</f>
        <v/>
      </c>
      <c r="Y30">
        <f>HYPERLINK("https://klasma.github.io/Logging_0581/tillsynsmail/A 11100-2025 tillsynsbegäran mail.docx", "A 11100-2025")</f>
        <v/>
      </c>
    </row>
    <row r="31" ht="15" customHeight="1">
      <c r="A31" t="inlineStr">
        <is>
          <t>A 51538-2024</t>
        </is>
      </c>
      <c r="B31" s="1" t="n">
        <v>45604</v>
      </c>
      <c r="C31" s="1" t="n">
        <v>45947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1.6</v>
      </c>
      <c r="H31" t="n">
        <v>1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Fällmossa
Hasselticka
Blåsippa</t>
        </is>
      </c>
      <c r="S31">
        <f>HYPERLINK("https://klasma.github.io/Logging_0581/artfynd/A 51538-2024 artfynd.xlsx", "A 51538-2024")</f>
        <v/>
      </c>
      <c r="T31">
        <f>HYPERLINK("https://klasma.github.io/Logging_0581/kartor/A 51538-2024 karta.png", "A 51538-2024")</f>
        <v/>
      </c>
      <c r="V31">
        <f>HYPERLINK("https://klasma.github.io/Logging_0581/klagomål/A 51538-2024 FSC-klagomål.docx", "A 51538-2024")</f>
        <v/>
      </c>
      <c r="W31">
        <f>HYPERLINK("https://klasma.github.io/Logging_0581/klagomålsmail/A 51538-2024 FSC-klagomål mail.docx", "A 51538-2024")</f>
        <v/>
      </c>
      <c r="X31">
        <f>HYPERLINK("https://klasma.github.io/Logging_0581/tillsyn/A 51538-2024 tillsynsbegäran.docx", "A 51538-2024")</f>
        <v/>
      </c>
      <c r="Y31">
        <f>HYPERLINK("https://klasma.github.io/Logging_0581/tillsynsmail/A 51538-2024 tillsynsbegäran mail.docx", "A 51538-2024")</f>
        <v/>
      </c>
    </row>
    <row r="32" ht="15" customHeight="1">
      <c r="A32" t="inlineStr">
        <is>
          <t>A 19973-2025</t>
        </is>
      </c>
      <c r="B32" s="1" t="n">
        <v>45771.69168981481</v>
      </c>
      <c r="C32" s="1" t="n">
        <v>45947</v>
      </c>
      <c r="D32" t="inlineStr">
        <is>
          <t>ÖSTERGÖTLANDS LÄN</t>
        </is>
      </c>
      <c r="E32" t="inlineStr">
        <is>
          <t>NORRKÖPING</t>
        </is>
      </c>
      <c r="G32" t="n">
        <v>6.3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Tallticka
Vedskivlav
Blåmossa</t>
        </is>
      </c>
      <c r="S32">
        <f>HYPERLINK("https://klasma.github.io/Logging_0581/artfynd/A 19973-2025 artfynd.xlsx", "A 19973-2025")</f>
        <v/>
      </c>
      <c r="T32">
        <f>HYPERLINK("https://klasma.github.io/Logging_0581/kartor/A 19973-2025 karta.png", "A 19973-2025")</f>
        <v/>
      </c>
      <c r="V32">
        <f>HYPERLINK("https://klasma.github.io/Logging_0581/klagomål/A 19973-2025 FSC-klagomål.docx", "A 19973-2025")</f>
        <v/>
      </c>
      <c r="W32">
        <f>HYPERLINK("https://klasma.github.io/Logging_0581/klagomålsmail/A 19973-2025 FSC-klagomål mail.docx", "A 19973-2025")</f>
        <v/>
      </c>
      <c r="X32">
        <f>HYPERLINK("https://klasma.github.io/Logging_0581/tillsyn/A 19973-2025 tillsynsbegäran.docx", "A 19973-2025")</f>
        <v/>
      </c>
      <c r="Y32">
        <f>HYPERLINK("https://klasma.github.io/Logging_0581/tillsynsmail/A 19973-2025 tillsynsbegäran mail.docx", "A 19973-2025")</f>
        <v/>
      </c>
    </row>
    <row r="33" ht="15" customHeight="1">
      <c r="A33" t="inlineStr">
        <is>
          <t>A 861-2023</t>
        </is>
      </c>
      <c r="B33" s="1" t="n">
        <v>44931</v>
      </c>
      <c r="C33" s="1" t="n">
        <v>45947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Kommuner</t>
        </is>
      </c>
      <c r="G33" t="n">
        <v>4.4</v>
      </c>
      <c r="H33" t="n">
        <v>3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Nordfladdermus
Dvärgpipistrell
Vattenfladdermus</t>
        </is>
      </c>
      <c r="S33">
        <f>HYPERLINK("https://klasma.github.io/Logging_0581/artfynd/A 861-2023 artfynd.xlsx", "A 861-2023")</f>
        <v/>
      </c>
      <c r="T33">
        <f>HYPERLINK("https://klasma.github.io/Logging_0581/kartor/A 861-2023 karta.png", "A 861-2023")</f>
        <v/>
      </c>
      <c r="V33">
        <f>HYPERLINK("https://klasma.github.io/Logging_0581/klagomål/A 861-2023 FSC-klagomål.docx", "A 861-2023")</f>
        <v/>
      </c>
      <c r="W33">
        <f>HYPERLINK("https://klasma.github.io/Logging_0581/klagomålsmail/A 861-2023 FSC-klagomål mail.docx", "A 861-2023")</f>
        <v/>
      </c>
      <c r="X33">
        <f>HYPERLINK("https://klasma.github.io/Logging_0581/tillsyn/A 861-2023 tillsynsbegäran.docx", "A 861-2023")</f>
        <v/>
      </c>
      <c r="Y33">
        <f>HYPERLINK("https://klasma.github.io/Logging_0581/tillsynsmail/A 861-2023 tillsynsbegäran mail.docx", "A 861-2023")</f>
        <v/>
      </c>
    </row>
    <row r="34" ht="15" customHeight="1">
      <c r="A34" t="inlineStr">
        <is>
          <t>A 30863-2025</t>
        </is>
      </c>
      <c r="B34" s="1" t="n">
        <v>45832.31648148148</v>
      </c>
      <c r="C34" s="1" t="n">
        <v>45947</v>
      </c>
      <c r="D34" t="inlineStr">
        <is>
          <t>ÖSTERGÖTLANDS LÄN</t>
        </is>
      </c>
      <c r="E34" t="inlineStr">
        <is>
          <t>NORRKÖPING</t>
        </is>
      </c>
      <c r="G34" t="n">
        <v>2.9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Vedskivlav
Flagellkvastmossa
Grönpyrola</t>
        </is>
      </c>
      <c r="S34">
        <f>HYPERLINK("https://klasma.github.io/Logging_0581/artfynd/A 30863-2025 artfynd.xlsx", "A 30863-2025")</f>
        <v/>
      </c>
      <c r="T34">
        <f>HYPERLINK("https://klasma.github.io/Logging_0581/kartor/A 30863-2025 karta.png", "A 30863-2025")</f>
        <v/>
      </c>
      <c r="V34">
        <f>HYPERLINK("https://klasma.github.io/Logging_0581/klagomål/A 30863-2025 FSC-klagomål.docx", "A 30863-2025")</f>
        <v/>
      </c>
      <c r="W34">
        <f>HYPERLINK("https://klasma.github.io/Logging_0581/klagomålsmail/A 30863-2025 FSC-klagomål mail.docx", "A 30863-2025")</f>
        <v/>
      </c>
      <c r="X34">
        <f>HYPERLINK("https://klasma.github.io/Logging_0581/tillsyn/A 30863-2025 tillsynsbegäran.docx", "A 30863-2025")</f>
        <v/>
      </c>
      <c r="Y34">
        <f>HYPERLINK("https://klasma.github.io/Logging_0581/tillsynsmail/A 30863-2025 tillsynsbegäran mail.docx", "A 30863-2025")</f>
        <v/>
      </c>
    </row>
    <row r="35" ht="15" customHeight="1">
      <c r="A35" t="inlineStr">
        <is>
          <t>A 31468-2025</t>
        </is>
      </c>
      <c r="B35" s="1" t="n">
        <v>45833.56057870371</v>
      </c>
      <c r="C35" s="1" t="n">
        <v>45947</v>
      </c>
      <c r="D35" t="inlineStr">
        <is>
          <t>ÖSTERGÖTLANDS LÄN</t>
        </is>
      </c>
      <c r="E35" t="inlineStr">
        <is>
          <t>NORRKÖPING</t>
        </is>
      </c>
      <c r="G35" t="n">
        <v>6.3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Talltita
Vedskivlav
Grönpyrola</t>
        </is>
      </c>
      <c r="S35">
        <f>HYPERLINK("https://klasma.github.io/Logging_0581/artfynd/A 31468-2025 artfynd.xlsx", "A 31468-2025")</f>
        <v/>
      </c>
      <c r="T35">
        <f>HYPERLINK("https://klasma.github.io/Logging_0581/kartor/A 31468-2025 karta.png", "A 31468-2025")</f>
        <v/>
      </c>
      <c r="V35">
        <f>HYPERLINK("https://klasma.github.io/Logging_0581/klagomål/A 31468-2025 FSC-klagomål.docx", "A 31468-2025")</f>
        <v/>
      </c>
      <c r="W35">
        <f>HYPERLINK("https://klasma.github.io/Logging_0581/klagomålsmail/A 31468-2025 FSC-klagomål mail.docx", "A 31468-2025")</f>
        <v/>
      </c>
      <c r="X35">
        <f>HYPERLINK("https://klasma.github.io/Logging_0581/tillsyn/A 31468-2025 tillsynsbegäran.docx", "A 31468-2025")</f>
        <v/>
      </c>
      <c r="Y35">
        <f>HYPERLINK("https://klasma.github.io/Logging_0581/tillsynsmail/A 31468-2025 tillsynsbegäran mail.docx", "A 31468-2025")</f>
        <v/>
      </c>
      <c r="Z35">
        <f>HYPERLINK("https://klasma.github.io/Logging_0581/fåglar/A 31468-2025 prioriterade fågelarter.docx", "A 31468-2025")</f>
        <v/>
      </c>
    </row>
    <row r="36" ht="15" customHeight="1">
      <c r="A36" t="inlineStr">
        <is>
          <t>A 11757-2025</t>
        </is>
      </c>
      <c r="B36" s="1" t="n">
        <v>45727.64337962963</v>
      </c>
      <c r="C36" s="1" t="n">
        <v>45947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10.2</v>
      </c>
      <c r="H36" t="n">
        <v>0</v>
      </c>
      <c r="I36" t="n">
        <v>3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3</v>
      </c>
      <c r="R36" s="2" t="inlineStr">
        <is>
          <t>Blomkålssvamp
Dropptaggsvamp
Kornknutmossa</t>
        </is>
      </c>
      <c r="S36">
        <f>HYPERLINK("https://klasma.github.io/Logging_0581/artfynd/A 11757-2025 artfynd.xlsx", "A 11757-2025")</f>
        <v/>
      </c>
      <c r="T36">
        <f>HYPERLINK("https://klasma.github.io/Logging_0581/kartor/A 11757-2025 karta.png", "A 11757-2025")</f>
        <v/>
      </c>
      <c r="V36">
        <f>HYPERLINK("https://klasma.github.io/Logging_0581/klagomål/A 11757-2025 FSC-klagomål.docx", "A 11757-2025")</f>
        <v/>
      </c>
      <c r="W36">
        <f>HYPERLINK("https://klasma.github.io/Logging_0581/klagomålsmail/A 11757-2025 FSC-klagomål mail.docx", "A 11757-2025")</f>
        <v/>
      </c>
      <c r="X36">
        <f>HYPERLINK("https://klasma.github.io/Logging_0581/tillsyn/A 11757-2025 tillsynsbegäran.docx", "A 11757-2025")</f>
        <v/>
      </c>
      <c r="Y36">
        <f>HYPERLINK("https://klasma.github.io/Logging_0581/tillsynsmail/A 11757-2025 tillsynsbegäran mail.docx", "A 11757-2025")</f>
        <v/>
      </c>
    </row>
    <row r="37" ht="15" customHeight="1">
      <c r="A37" t="inlineStr">
        <is>
          <t>A 42434-2025</t>
        </is>
      </c>
      <c r="B37" s="1" t="n">
        <v>45905.42704861111</v>
      </c>
      <c r="C37" s="1" t="n">
        <v>45947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1.6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Vedskivlav
Grönpyrola
Guldlockmossa</t>
        </is>
      </c>
      <c r="S37">
        <f>HYPERLINK("https://klasma.github.io/Logging_0581/artfynd/A 42434-2025 artfynd.xlsx", "A 42434-2025")</f>
        <v/>
      </c>
      <c r="T37">
        <f>HYPERLINK("https://klasma.github.io/Logging_0581/kartor/A 42434-2025 karta.png", "A 42434-2025")</f>
        <v/>
      </c>
      <c r="V37">
        <f>HYPERLINK("https://klasma.github.io/Logging_0581/klagomål/A 42434-2025 FSC-klagomål.docx", "A 42434-2025")</f>
        <v/>
      </c>
      <c r="W37">
        <f>HYPERLINK("https://klasma.github.io/Logging_0581/klagomålsmail/A 42434-2025 FSC-klagomål mail.docx", "A 42434-2025")</f>
        <v/>
      </c>
      <c r="X37">
        <f>HYPERLINK("https://klasma.github.io/Logging_0581/tillsyn/A 42434-2025 tillsynsbegäran.docx", "A 42434-2025")</f>
        <v/>
      </c>
      <c r="Y37">
        <f>HYPERLINK("https://klasma.github.io/Logging_0581/tillsynsmail/A 42434-2025 tillsynsbegäran mail.docx", "A 42434-2025")</f>
        <v/>
      </c>
    </row>
    <row r="38" ht="15" customHeight="1">
      <c r="A38" t="inlineStr">
        <is>
          <t>A 46644-2024</t>
        </is>
      </c>
      <c r="B38" s="1" t="n">
        <v>45583</v>
      </c>
      <c r="C38" s="1" t="n">
        <v>45947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4.9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Vedskivlav
Blåmossa
Flagellkvastmossa</t>
        </is>
      </c>
      <c r="S38">
        <f>HYPERLINK("https://klasma.github.io/Logging_0581/artfynd/A 46644-2024 artfynd.xlsx", "A 46644-2024")</f>
        <v/>
      </c>
      <c r="T38">
        <f>HYPERLINK("https://klasma.github.io/Logging_0581/kartor/A 46644-2024 karta.png", "A 46644-2024")</f>
        <v/>
      </c>
      <c r="V38">
        <f>HYPERLINK("https://klasma.github.io/Logging_0581/klagomål/A 46644-2024 FSC-klagomål.docx", "A 46644-2024")</f>
        <v/>
      </c>
      <c r="W38">
        <f>HYPERLINK("https://klasma.github.io/Logging_0581/klagomålsmail/A 46644-2024 FSC-klagomål mail.docx", "A 46644-2024")</f>
        <v/>
      </c>
      <c r="X38">
        <f>HYPERLINK("https://klasma.github.io/Logging_0581/tillsyn/A 46644-2024 tillsynsbegäran.docx", "A 46644-2024")</f>
        <v/>
      </c>
      <c r="Y38">
        <f>HYPERLINK("https://klasma.github.io/Logging_0581/tillsynsmail/A 46644-2024 tillsynsbegäran mail.docx", "A 46644-2024")</f>
        <v/>
      </c>
    </row>
    <row r="39" ht="15" customHeight="1">
      <c r="A39" t="inlineStr">
        <is>
          <t>A 45531-2025</t>
        </is>
      </c>
      <c r="B39" s="1" t="n">
        <v>45922.60398148148</v>
      </c>
      <c r="C39" s="1" t="n">
        <v>45947</v>
      </c>
      <c r="D39" t="inlineStr">
        <is>
          <t>ÖSTERGÖTLANDS LÄN</t>
        </is>
      </c>
      <c r="E39" t="inlineStr">
        <is>
          <t>NORRKÖPING</t>
        </is>
      </c>
      <c r="G39" t="n">
        <v>3.4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Svinrot
Ängsskära
Nattviol</t>
        </is>
      </c>
      <c r="S39">
        <f>HYPERLINK("https://klasma.github.io/Logging_0581/artfynd/A 45531-2025 artfynd.xlsx", "A 45531-2025")</f>
        <v/>
      </c>
      <c r="T39">
        <f>HYPERLINK("https://klasma.github.io/Logging_0581/kartor/A 45531-2025 karta.png", "A 45531-2025")</f>
        <v/>
      </c>
      <c r="V39">
        <f>HYPERLINK("https://klasma.github.io/Logging_0581/klagomål/A 45531-2025 FSC-klagomål.docx", "A 45531-2025")</f>
        <v/>
      </c>
      <c r="W39">
        <f>HYPERLINK("https://klasma.github.io/Logging_0581/klagomålsmail/A 45531-2025 FSC-klagomål mail.docx", "A 45531-2025")</f>
        <v/>
      </c>
      <c r="X39">
        <f>HYPERLINK("https://klasma.github.io/Logging_0581/tillsyn/A 45531-2025 tillsynsbegäran.docx", "A 45531-2025")</f>
        <v/>
      </c>
      <c r="Y39">
        <f>HYPERLINK("https://klasma.github.io/Logging_0581/tillsynsmail/A 45531-2025 tillsynsbegäran mail.docx", "A 45531-2025")</f>
        <v/>
      </c>
    </row>
    <row r="40" ht="15" customHeight="1">
      <c r="A40" t="inlineStr">
        <is>
          <t>A 18922-2025</t>
        </is>
      </c>
      <c r="B40" s="1" t="n">
        <v>45764.47825231482</v>
      </c>
      <c r="C40" s="1" t="n">
        <v>45947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3</v>
      </c>
      <c r="H40" t="n">
        <v>0</v>
      </c>
      <c r="I40" t="n">
        <v>1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3</v>
      </c>
      <c r="R40" s="2" t="inlineStr">
        <is>
          <t>Rynkskinn
Ullticka
Vedticka</t>
        </is>
      </c>
      <c r="S40">
        <f>HYPERLINK("https://klasma.github.io/Logging_0581/artfynd/A 18922-2025 artfynd.xlsx", "A 18922-2025")</f>
        <v/>
      </c>
      <c r="T40">
        <f>HYPERLINK("https://klasma.github.io/Logging_0581/kartor/A 18922-2025 karta.png", "A 18922-2025")</f>
        <v/>
      </c>
      <c r="V40">
        <f>HYPERLINK("https://klasma.github.io/Logging_0581/klagomål/A 18922-2025 FSC-klagomål.docx", "A 18922-2025")</f>
        <v/>
      </c>
      <c r="W40">
        <f>HYPERLINK("https://klasma.github.io/Logging_0581/klagomålsmail/A 18922-2025 FSC-klagomål mail.docx", "A 18922-2025")</f>
        <v/>
      </c>
      <c r="X40">
        <f>HYPERLINK("https://klasma.github.io/Logging_0581/tillsyn/A 18922-2025 tillsynsbegäran.docx", "A 18922-2025")</f>
        <v/>
      </c>
      <c r="Y40">
        <f>HYPERLINK("https://klasma.github.io/Logging_0581/tillsynsmail/A 18922-2025 tillsynsbegäran mail.docx", "A 18922-2025")</f>
        <v/>
      </c>
    </row>
    <row r="41" ht="15" customHeight="1">
      <c r="A41" t="inlineStr">
        <is>
          <t>A 38599-2025</t>
        </is>
      </c>
      <c r="B41" s="1" t="n">
        <v>45884.4946875</v>
      </c>
      <c r="C41" s="1" t="n">
        <v>45947</v>
      </c>
      <c r="D41" t="inlineStr">
        <is>
          <t>ÖSTERGÖTLANDS LÄN</t>
        </is>
      </c>
      <c r="E41" t="inlineStr">
        <is>
          <t>NORRKÖPING</t>
        </is>
      </c>
      <c r="G41" t="n">
        <v>5.3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Kalkkärrsgrynsnäcka
Grönvit nattviol
Ängsnycklar</t>
        </is>
      </c>
      <c r="S41">
        <f>HYPERLINK("https://klasma.github.io/Logging_0581/artfynd/A 38599-2025 artfynd.xlsx", "A 38599-2025")</f>
        <v/>
      </c>
      <c r="T41">
        <f>HYPERLINK("https://klasma.github.io/Logging_0581/kartor/A 38599-2025 karta.png", "A 38599-2025")</f>
        <v/>
      </c>
      <c r="V41">
        <f>HYPERLINK("https://klasma.github.io/Logging_0581/klagomål/A 38599-2025 FSC-klagomål.docx", "A 38599-2025")</f>
        <v/>
      </c>
      <c r="W41">
        <f>HYPERLINK("https://klasma.github.io/Logging_0581/klagomålsmail/A 38599-2025 FSC-klagomål mail.docx", "A 38599-2025")</f>
        <v/>
      </c>
      <c r="X41">
        <f>HYPERLINK("https://klasma.github.io/Logging_0581/tillsyn/A 38599-2025 tillsynsbegäran.docx", "A 38599-2025")</f>
        <v/>
      </c>
      <c r="Y41">
        <f>HYPERLINK("https://klasma.github.io/Logging_0581/tillsynsmail/A 38599-2025 tillsynsbegäran mail.docx", "A 38599-2025")</f>
        <v/>
      </c>
    </row>
    <row r="42" ht="15" customHeight="1">
      <c r="A42" t="inlineStr">
        <is>
          <t>A 21404-2024</t>
        </is>
      </c>
      <c r="B42" s="1" t="n">
        <v>45441.33914351852</v>
      </c>
      <c r="C42" s="1" t="n">
        <v>45947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0.8</v>
      </c>
      <c r="H42" t="n">
        <v>1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Tallticka
Vintertagging
Grön sköldmossa</t>
        </is>
      </c>
      <c r="S42">
        <f>HYPERLINK("https://klasma.github.io/Logging_0581/artfynd/A 21404-2024 artfynd.xlsx", "A 21404-2024")</f>
        <v/>
      </c>
      <c r="T42">
        <f>HYPERLINK("https://klasma.github.io/Logging_0581/kartor/A 21404-2024 karta.png", "A 21404-2024")</f>
        <v/>
      </c>
      <c r="V42">
        <f>HYPERLINK("https://klasma.github.io/Logging_0581/klagomål/A 21404-2024 FSC-klagomål.docx", "A 21404-2024")</f>
        <v/>
      </c>
      <c r="W42">
        <f>HYPERLINK("https://klasma.github.io/Logging_0581/klagomålsmail/A 21404-2024 FSC-klagomål mail.docx", "A 21404-2024")</f>
        <v/>
      </c>
      <c r="X42">
        <f>HYPERLINK("https://klasma.github.io/Logging_0581/tillsyn/A 21404-2024 tillsynsbegäran.docx", "A 21404-2024")</f>
        <v/>
      </c>
      <c r="Y42">
        <f>HYPERLINK("https://klasma.github.io/Logging_0581/tillsynsmail/A 21404-2024 tillsynsbegäran mail.docx", "A 21404-2024")</f>
        <v/>
      </c>
    </row>
    <row r="43" ht="15" customHeight="1">
      <c r="A43" t="inlineStr">
        <is>
          <t>A 14646-2023</t>
        </is>
      </c>
      <c r="B43" s="1" t="n">
        <v>45013.77040509259</v>
      </c>
      <c r="C43" s="1" t="n">
        <v>45947</v>
      </c>
      <c r="D43" t="inlineStr">
        <is>
          <t>ÖSTERGÖTLANDS LÄN</t>
        </is>
      </c>
      <c r="E43" t="inlineStr">
        <is>
          <t>NORRKÖPING</t>
        </is>
      </c>
      <c r="G43" t="n">
        <v>5.4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1</v>
      </c>
      <c r="N43" t="n">
        <v>0</v>
      </c>
      <c r="O43" t="n">
        <v>2</v>
      </c>
      <c r="P43" t="n">
        <v>1</v>
      </c>
      <c r="Q43" t="n">
        <v>3</v>
      </c>
      <c r="R43" s="2" t="inlineStr">
        <is>
          <t>Skogsalm
Vanlig backsmörblomma
Fläcknycklar</t>
        </is>
      </c>
      <c r="S43">
        <f>HYPERLINK("https://klasma.github.io/Logging_0581/artfynd/A 14646-2023 artfynd.xlsx", "A 14646-2023")</f>
        <v/>
      </c>
      <c r="T43">
        <f>HYPERLINK("https://klasma.github.io/Logging_0581/kartor/A 14646-2023 karta.png", "A 14646-2023")</f>
        <v/>
      </c>
      <c r="V43">
        <f>HYPERLINK("https://klasma.github.io/Logging_0581/klagomål/A 14646-2023 FSC-klagomål.docx", "A 14646-2023")</f>
        <v/>
      </c>
      <c r="W43">
        <f>HYPERLINK("https://klasma.github.io/Logging_0581/klagomålsmail/A 14646-2023 FSC-klagomål mail.docx", "A 14646-2023")</f>
        <v/>
      </c>
      <c r="X43">
        <f>HYPERLINK("https://klasma.github.io/Logging_0581/tillsyn/A 14646-2023 tillsynsbegäran.docx", "A 14646-2023")</f>
        <v/>
      </c>
      <c r="Y43">
        <f>HYPERLINK("https://klasma.github.io/Logging_0581/tillsynsmail/A 14646-2023 tillsynsbegäran mail.docx", "A 14646-2023")</f>
        <v/>
      </c>
    </row>
    <row r="44" ht="15" customHeight="1">
      <c r="A44" t="inlineStr">
        <is>
          <t>A 26385-2023</t>
        </is>
      </c>
      <c r="B44" s="1" t="n">
        <v>45086</v>
      </c>
      <c r="C44" s="1" t="n">
        <v>45947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Allmännings- och besparingsskogar</t>
        </is>
      </c>
      <c r="G44" t="n">
        <v>9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3</v>
      </c>
      <c r="R44" s="2" t="inlineStr">
        <is>
          <t>Hasselsnok
Vedskivlav
Fällmossa</t>
        </is>
      </c>
      <c r="S44">
        <f>HYPERLINK("https://klasma.github.io/Logging_0581/artfynd/A 26385-2023 artfynd.xlsx", "A 26385-2023")</f>
        <v/>
      </c>
      <c r="T44">
        <f>HYPERLINK("https://klasma.github.io/Logging_0581/kartor/A 26385-2023 karta.png", "A 26385-2023")</f>
        <v/>
      </c>
      <c r="V44">
        <f>HYPERLINK("https://klasma.github.io/Logging_0581/klagomål/A 26385-2023 FSC-klagomål.docx", "A 26385-2023")</f>
        <v/>
      </c>
      <c r="W44">
        <f>HYPERLINK("https://klasma.github.io/Logging_0581/klagomålsmail/A 26385-2023 FSC-klagomål mail.docx", "A 26385-2023")</f>
        <v/>
      </c>
      <c r="X44">
        <f>HYPERLINK("https://klasma.github.io/Logging_0581/tillsyn/A 26385-2023 tillsynsbegäran.docx", "A 26385-2023")</f>
        <v/>
      </c>
      <c r="Y44">
        <f>HYPERLINK("https://klasma.github.io/Logging_0581/tillsynsmail/A 26385-2023 tillsynsbegäran mail.docx", "A 26385-2023")</f>
        <v/>
      </c>
    </row>
    <row r="45" ht="15" customHeight="1">
      <c r="A45" t="inlineStr">
        <is>
          <t>A 14504-2023</t>
        </is>
      </c>
      <c r="B45" s="1" t="n">
        <v>45012</v>
      </c>
      <c r="C45" s="1" t="n">
        <v>45947</v>
      </c>
      <c r="D45" t="inlineStr">
        <is>
          <t>ÖSTERGÖTLANDS LÄN</t>
        </is>
      </c>
      <c r="E45" t="inlineStr">
        <is>
          <t>NORRKÖPING</t>
        </is>
      </c>
      <c r="G45" t="n">
        <v>0.5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Orange taggsvamp
Blåmossa
Grovticka</t>
        </is>
      </c>
      <c r="S45">
        <f>HYPERLINK("https://klasma.github.io/Logging_0581/artfynd/A 14504-2023 artfynd.xlsx", "A 14504-2023")</f>
        <v/>
      </c>
      <c r="T45">
        <f>HYPERLINK("https://klasma.github.io/Logging_0581/kartor/A 14504-2023 karta.png", "A 14504-2023")</f>
        <v/>
      </c>
      <c r="U45">
        <f>HYPERLINK("https://klasma.github.io/Logging_0581/knärot/A 14504-2023 karta knärot.png", "A 14504-2023")</f>
        <v/>
      </c>
      <c r="V45">
        <f>HYPERLINK("https://klasma.github.io/Logging_0581/klagomål/A 14504-2023 FSC-klagomål.docx", "A 14504-2023")</f>
        <v/>
      </c>
      <c r="W45">
        <f>HYPERLINK("https://klasma.github.io/Logging_0581/klagomålsmail/A 14504-2023 FSC-klagomål mail.docx", "A 14504-2023")</f>
        <v/>
      </c>
      <c r="X45">
        <f>HYPERLINK("https://klasma.github.io/Logging_0581/tillsyn/A 14504-2023 tillsynsbegäran.docx", "A 14504-2023")</f>
        <v/>
      </c>
      <c r="Y45">
        <f>HYPERLINK("https://klasma.github.io/Logging_0581/tillsynsmail/A 14504-2023 tillsynsbegäran mail.docx", "A 14504-2023")</f>
        <v/>
      </c>
    </row>
    <row r="46" ht="15" customHeight="1">
      <c r="A46" t="inlineStr">
        <is>
          <t>A 8468-2023</t>
        </is>
      </c>
      <c r="B46" s="1" t="n">
        <v>44977</v>
      </c>
      <c r="C46" s="1" t="n">
        <v>45947</v>
      </c>
      <c r="D46" t="inlineStr">
        <is>
          <t>ÖSTERGÖTLANDS LÄN</t>
        </is>
      </c>
      <c r="E46" t="inlineStr">
        <is>
          <t>NORRKÖPING</t>
        </is>
      </c>
      <c r="G46" t="n">
        <v>6.7</v>
      </c>
      <c r="H46" t="n">
        <v>1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Tallticka
Bronshjon
Blåsippa</t>
        </is>
      </c>
      <c r="S46">
        <f>HYPERLINK("https://klasma.github.io/Logging_0581/artfynd/A 8468-2023 artfynd.xlsx", "A 8468-2023")</f>
        <v/>
      </c>
      <c r="T46">
        <f>HYPERLINK("https://klasma.github.io/Logging_0581/kartor/A 8468-2023 karta.png", "A 8468-2023")</f>
        <v/>
      </c>
      <c r="V46">
        <f>HYPERLINK("https://klasma.github.io/Logging_0581/klagomål/A 8468-2023 FSC-klagomål.docx", "A 8468-2023")</f>
        <v/>
      </c>
      <c r="W46">
        <f>HYPERLINK("https://klasma.github.io/Logging_0581/klagomålsmail/A 8468-2023 FSC-klagomål mail.docx", "A 8468-2023")</f>
        <v/>
      </c>
      <c r="X46">
        <f>HYPERLINK("https://klasma.github.io/Logging_0581/tillsyn/A 8468-2023 tillsynsbegäran.docx", "A 8468-2023")</f>
        <v/>
      </c>
      <c r="Y46">
        <f>HYPERLINK("https://klasma.github.io/Logging_0581/tillsynsmail/A 8468-2023 tillsynsbegäran mail.docx", "A 8468-2023")</f>
        <v/>
      </c>
    </row>
    <row r="47" ht="15" customHeight="1">
      <c r="A47" t="inlineStr">
        <is>
          <t>A 33659-2022</t>
        </is>
      </c>
      <c r="B47" s="1" t="n">
        <v>44789</v>
      </c>
      <c r="C47" s="1" t="n">
        <v>45947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Kommuner</t>
        </is>
      </c>
      <c r="G47" t="n">
        <v>3.4</v>
      </c>
      <c r="H47" t="n">
        <v>0</v>
      </c>
      <c r="I47" t="n">
        <v>1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Ask
Sotlav</t>
        </is>
      </c>
      <c r="S47">
        <f>HYPERLINK("https://klasma.github.io/Logging_0581/artfynd/A 33659-2022 artfynd.xlsx", "A 33659-2022")</f>
        <v/>
      </c>
      <c r="T47">
        <f>HYPERLINK("https://klasma.github.io/Logging_0581/kartor/A 33659-2022 karta.png", "A 33659-2022")</f>
        <v/>
      </c>
      <c r="V47">
        <f>HYPERLINK("https://klasma.github.io/Logging_0581/klagomål/A 33659-2022 FSC-klagomål.docx", "A 33659-2022")</f>
        <v/>
      </c>
      <c r="W47">
        <f>HYPERLINK("https://klasma.github.io/Logging_0581/klagomålsmail/A 33659-2022 FSC-klagomål mail.docx", "A 33659-2022")</f>
        <v/>
      </c>
      <c r="X47">
        <f>HYPERLINK("https://klasma.github.io/Logging_0581/tillsyn/A 33659-2022 tillsynsbegäran.docx", "A 33659-2022")</f>
        <v/>
      </c>
      <c r="Y47">
        <f>HYPERLINK("https://klasma.github.io/Logging_0581/tillsynsmail/A 33659-2022 tillsynsbegäran mail.docx", "A 33659-2022")</f>
        <v/>
      </c>
    </row>
    <row r="48" ht="15" customHeight="1">
      <c r="A48" t="inlineStr">
        <is>
          <t>A 60171-2023</t>
        </is>
      </c>
      <c r="B48" s="1" t="n">
        <v>45258.56491898148</v>
      </c>
      <c r="C48" s="1" t="n">
        <v>45947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1.7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Tallticka
Blomkålssvamp</t>
        </is>
      </c>
      <c r="S48">
        <f>HYPERLINK("https://klasma.github.io/Logging_0581/artfynd/A 60171-2023 artfynd.xlsx", "A 60171-2023")</f>
        <v/>
      </c>
      <c r="T48">
        <f>HYPERLINK("https://klasma.github.io/Logging_0581/kartor/A 60171-2023 karta.png", "A 60171-2023")</f>
        <v/>
      </c>
      <c r="V48">
        <f>HYPERLINK("https://klasma.github.io/Logging_0581/klagomål/A 60171-2023 FSC-klagomål.docx", "A 60171-2023")</f>
        <v/>
      </c>
      <c r="W48">
        <f>HYPERLINK("https://klasma.github.io/Logging_0581/klagomålsmail/A 60171-2023 FSC-klagomål mail.docx", "A 60171-2023")</f>
        <v/>
      </c>
      <c r="X48">
        <f>HYPERLINK("https://klasma.github.io/Logging_0581/tillsyn/A 60171-2023 tillsynsbegäran.docx", "A 60171-2023")</f>
        <v/>
      </c>
      <c r="Y48">
        <f>HYPERLINK("https://klasma.github.io/Logging_0581/tillsynsmail/A 60171-2023 tillsynsbegäran mail.docx", "A 60171-2023")</f>
        <v/>
      </c>
    </row>
    <row r="49" ht="15" customHeight="1">
      <c r="A49" t="inlineStr">
        <is>
          <t>A 43306-2024</t>
        </is>
      </c>
      <c r="B49" s="1" t="n">
        <v>45568.44137731481</v>
      </c>
      <c r="C49" s="1" t="n">
        <v>45947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Vedskivlav
Mindre märgborre</t>
        </is>
      </c>
      <c r="S49">
        <f>HYPERLINK("https://klasma.github.io/Logging_0581/artfynd/A 43306-2024 artfynd.xlsx", "A 43306-2024")</f>
        <v/>
      </c>
      <c r="T49">
        <f>HYPERLINK("https://klasma.github.io/Logging_0581/kartor/A 43306-2024 karta.png", "A 43306-2024")</f>
        <v/>
      </c>
      <c r="V49">
        <f>HYPERLINK("https://klasma.github.io/Logging_0581/klagomål/A 43306-2024 FSC-klagomål.docx", "A 43306-2024")</f>
        <v/>
      </c>
      <c r="W49">
        <f>HYPERLINK("https://klasma.github.io/Logging_0581/klagomålsmail/A 43306-2024 FSC-klagomål mail.docx", "A 43306-2024")</f>
        <v/>
      </c>
      <c r="X49">
        <f>HYPERLINK("https://klasma.github.io/Logging_0581/tillsyn/A 43306-2024 tillsynsbegäran.docx", "A 43306-2024")</f>
        <v/>
      </c>
      <c r="Y49">
        <f>HYPERLINK("https://klasma.github.io/Logging_0581/tillsynsmail/A 43306-2024 tillsynsbegäran mail.docx", "A 43306-2024")</f>
        <v/>
      </c>
    </row>
    <row r="50" ht="15" customHeight="1">
      <c r="A50" t="inlineStr">
        <is>
          <t>A 55022-2022</t>
        </is>
      </c>
      <c r="B50" s="1" t="n">
        <v>44886.54420138889</v>
      </c>
      <c r="C50" s="1" t="n">
        <v>45947</v>
      </c>
      <c r="D50" t="inlineStr">
        <is>
          <t>ÖSTERGÖTLANDS LÄN</t>
        </is>
      </c>
      <c r="E50" t="inlineStr">
        <is>
          <t>NORRKÖPING</t>
        </is>
      </c>
      <c r="G50" t="n">
        <v>1.4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Svart taggsvamp
Purpurknipprot</t>
        </is>
      </c>
      <c r="S50">
        <f>HYPERLINK("https://klasma.github.io/Logging_0581/artfynd/A 55022-2022 artfynd.xlsx", "A 55022-2022")</f>
        <v/>
      </c>
      <c r="T50">
        <f>HYPERLINK("https://klasma.github.io/Logging_0581/kartor/A 55022-2022 karta.png", "A 55022-2022")</f>
        <v/>
      </c>
      <c r="V50">
        <f>HYPERLINK("https://klasma.github.io/Logging_0581/klagomål/A 55022-2022 FSC-klagomål.docx", "A 55022-2022")</f>
        <v/>
      </c>
      <c r="W50">
        <f>HYPERLINK("https://klasma.github.io/Logging_0581/klagomålsmail/A 55022-2022 FSC-klagomål mail.docx", "A 55022-2022")</f>
        <v/>
      </c>
      <c r="X50">
        <f>HYPERLINK("https://klasma.github.io/Logging_0581/tillsyn/A 55022-2022 tillsynsbegäran.docx", "A 55022-2022")</f>
        <v/>
      </c>
      <c r="Y50">
        <f>HYPERLINK("https://klasma.github.io/Logging_0581/tillsynsmail/A 55022-2022 tillsynsbegäran mail.docx", "A 55022-2022")</f>
        <v/>
      </c>
    </row>
    <row r="51" ht="15" customHeight="1">
      <c r="A51" t="inlineStr">
        <is>
          <t>A 11077-2025</t>
        </is>
      </c>
      <c r="B51" s="1" t="n">
        <v>45723.55663194445</v>
      </c>
      <c r="C51" s="1" t="n">
        <v>45947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1.6</v>
      </c>
      <c r="H51" t="n">
        <v>2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Kopparödla</t>
        </is>
      </c>
      <c r="S51">
        <f>HYPERLINK("https://klasma.github.io/Logging_0581/artfynd/A 11077-2025 artfynd.xlsx", "A 11077-2025")</f>
        <v/>
      </c>
      <c r="T51">
        <f>HYPERLINK("https://klasma.github.io/Logging_0581/kartor/A 11077-2025 karta.png", "A 11077-2025")</f>
        <v/>
      </c>
      <c r="U51">
        <f>HYPERLINK("https://klasma.github.io/Logging_0581/knärot/A 11077-2025 karta knärot.png", "A 11077-2025")</f>
        <v/>
      </c>
      <c r="V51">
        <f>HYPERLINK("https://klasma.github.io/Logging_0581/klagomål/A 11077-2025 FSC-klagomål.docx", "A 11077-2025")</f>
        <v/>
      </c>
      <c r="W51">
        <f>HYPERLINK("https://klasma.github.io/Logging_0581/klagomålsmail/A 11077-2025 FSC-klagomål mail.docx", "A 11077-2025")</f>
        <v/>
      </c>
      <c r="X51">
        <f>HYPERLINK("https://klasma.github.io/Logging_0581/tillsyn/A 11077-2025 tillsynsbegäran.docx", "A 11077-2025")</f>
        <v/>
      </c>
      <c r="Y51">
        <f>HYPERLINK("https://klasma.github.io/Logging_0581/tillsynsmail/A 11077-2025 tillsynsbegäran mail.docx", "A 11077-2025")</f>
        <v/>
      </c>
    </row>
    <row r="52" ht="15" customHeight="1">
      <c r="A52" t="inlineStr">
        <is>
          <t>A 30871-2025</t>
        </is>
      </c>
      <c r="B52" s="1" t="n">
        <v>45832.3365625</v>
      </c>
      <c r="C52" s="1" t="n">
        <v>45947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2.5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Blåmossa</t>
        </is>
      </c>
      <c r="S52">
        <f>HYPERLINK("https://klasma.github.io/Logging_0581/artfynd/A 30871-2025 artfynd.xlsx", "A 30871-2025")</f>
        <v/>
      </c>
      <c r="T52">
        <f>HYPERLINK("https://klasma.github.io/Logging_0581/kartor/A 30871-2025 karta.png", "A 30871-2025")</f>
        <v/>
      </c>
      <c r="V52">
        <f>HYPERLINK("https://klasma.github.io/Logging_0581/klagomål/A 30871-2025 FSC-klagomål.docx", "A 30871-2025")</f>
        <v/>
      </c>
      <c r="W52">
        <f>HYPERLINK("https://klasma.github.io/Logging_0581/klagomålsmail/A 30871-2025 FSC-klagomål mail.docx", "A 30871-2025")</f>
        <v/>
      </c>
      <c r="X52">
        <f>HYPERLINK("https://klasma.github.io/Logging_0581/tillsyn/A 30871-2025 tillsynsbegäran.docx", "A 30871-2025")</f>
        <v/>
      </c>
      <c r="Y52">
        <f>HYPERLINK("https://klasma.github.io/Logging_0581/tillsynsmail/A 30871-2025 tillsynsbegäran mail.docx", "A 30871-2025")</f>
        <v/>
      </c>
    </row>
    <row r="53" ht="15" customHeight="1">
      <c r="A53" t="inlineStr">
        <is>
          <t>A 12692-2025</t>
        </is>
      </c>
      <c r="B53" s="1" t="n">
        <v>45733.45780092593</v>
      </c>
      <c r="C53" s="1" t="n">
        <v>45947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6.1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Vedskivlav
Mattlummer</t>
        </is>
      </c>
      <c r="S53">
        <f>HYPERLINK("https://klasma.github.io/Logging_0581/artfynd/A 12692-2025 artfynd.xlsx", "A 12692-2025")</f>
        <v/>
      </c>
      <c r="T53">
        <f>HYPERLINK("https://klasma.github.io/Logging_0581/kartor/A 12692-2025 karta.png", "A 12692-2025")</f>
        <v/>
      </c>
      <c r="V53">
        <f>HYPERLINK("https://klasma.github.io/Logging_0581/klagomål/A 12692-2025 FSC-klagomål.docx", "A 12692-2025")</f>
        <v/>
      </c>
      <c r="W53">
        <f>HYPERLINK("https://klasma.github.io/Logging_0581/klagomålsmail/A 12692-2025 FSC-klagomål mail.docx", "A 12692-2025")</f>
        <v/>
      </c>
      <c r="X53">
        <f>HYPERLINK("https://klasma.github.io/Logging_0581/tillsyn/A 12692-2025 tillsynsbegäran.docx", "A 12692-2025")</f>
        <v/>
      </c>
      <c r="Y53">
        <f>HYPERLINK("https://klasma.github.io/Logging_0581/tillsynsmail/A 12692-2025 tillsynsbegäran mail.docx", "A 12692-2025")</f>
        <v/>
      </c>
    </row>
    <row r="54" ht="15" customHeight="1">
      <c r="A54" t="inlineStr">
        <is>
          <t>A 5809-2025</t>
        </is>
      </c>
      <c r="B54" s="1" t="n">
        <v>45694</v>
      </c>
      <c r="C54" s="1" t="n">
        <v>45947</v>
      </c>
      <c r="D54" t="inlineStr">
        <is>
          <t>ÖSTERGÖTLANDS LÄN</t>
        </is>
      </c>
      <c r="E54" t="inlineStr">
        <is>
          <t>NORRKÖPING</t>
        </is>
      </c>
      <c r="G54" t="n">
        <v>3.7</v>
      </c>
      <c r="H54" t="n">
        <v>2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Vanlig padda
Blåsippa</t>
        </is>
      </c>
      <c r="S54">
        <f>HYPERLINK("https://klasma.github.io/Logging_0581/artfynd/A 5809-2025 artfynd.xlsx", "A 5809-2025")</f>
        <v/>
      </c>
      <c r="T54">
        <f>HYPERLINK("https://klasma.github.io/Logging_0581/kartor/A 5809-2025 karta.png", "A 5809-2025")</f>
        <v/>
      </c>
      <c r="V54">
        <f>HYPERLINK("https://klasma.github.io/Logging_0581/klagomål/A 5809-2025 FSC-klagomål.docx", "A 5809-2025")</f>
        <v/>
      </c>
      <c r="W54">
        <f>HYPERLINK("https://klasma.github.io/Logging_0581/klagomålsmail/A 5809-2025 FSC-klagomål mail.docx", "A 5809-2025")</f>
        <v/>
      </c>
      <c r="X54">
        <f>HYPERLINK("https://klasma.github.io/Logging_0581/tillsyn/A 5809-2025 tillsynsbegäran.docx", "A 5809-2025")</f>
        <v/>
      </c>
      <c r="Y54">
        <f>HYPERLINK("https://klasma.github.io/Logging_0581/tillsynsmail/A 5809-2025 tillsynsbegäran mail.docx", "A 5809-2025")</f>
        <v/>
      </c>
    </row>
    <row r="55" ht="15" customHeight="1">
      <c r="A55" t="inlineStr">
        <is>
          <t>A 49366-2021</t>
        </is>
      </c>
      <c r="B55" s="1" t="n">
        <v>44454</v>
      </c>
      <c r="C55" s="1" t="n">
        <v>45947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Allmännings- och besparingsskogar</t>
        </is>
      </c>
      <c r="G55" t="n">
        <v>7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Sårläka</t>
        </is>
      </c>
      <c r="S55">
        <f>HYPERLINK("https://klasma.github.io/Logging_0581/artfynd/A 49366-2021 artfynd.xlsx", "A 49366-2021")</f>
        <v/>
      </c>
      <c r="T55">
        <f>HYPERLINK("https://klasma.github.io/Logging_0581/kartor/A 49366-2021 karta.png", "A 49366-2021")</f>
        <v/>
      </c>
      <c r="U55">
        <f>HYPERLINK("https://klasma.github.io/Logging_0581/knärot/A 49366-2021 karta knärot.png", "A 49366-2021")</f>
        <v/>
      </c>
      <c r="V55">
        <f>HYPERLINK("https://klasma.github.io/Logging_0581/klagomål/A 49366-2021 FSC-klagomål.docx", "A 49366-2021")</f>
        <v/>
      </c>
      <c r="W55">
        <f>HYPERLINK("https://klasma.github.io/Logging_0581/klagomålsmail/A 49366-2021 FSC-klagomål mail.docx", "A 49366-2021")</f>
        <v/>
      </c>
      <c r="X55">
        <f>HYPERLINK("https://klasma.github.io/Logging_0581/tillsyn/A 49366-2021 tillsynsbegäran.docx", "A 49366-2021")</f>
        <v/>
      </c>
      <c r="Y55">
        <f>HYPERLINK("https://klasma.github.io/Logging_0581/tillsynsmail/A 49366-2021 tillsynsbegäran mail.docx", "A 49366-2021")</f>
        <v/>
      </c>
    </row>
    <row r="56" ht="15" customHeight="1">
      <c r="A56" t="inlineStr">
        <is>
          <t>A 42365-2025</t>
        </is>
      </c>
      <c r="B56" s="1" t="n">
        <v>45905.3244675926</v>
      </c>
      <c r="C56" s="1" t="n">
        <v>45947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0.8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Svinrot
Tibast</t>
        </is>
      </c>
      <c r="S56">
        <f>HYPERLINK("https://klasma.github.io/Logging_0581/artfynd/A 42365-2025 artfynd.xlsx", "A 42365-2025")</f>
        <v/>
      </c>
      <c r="T56">
        <f>HYPERLINK("https://klasma.github.io/Logging_0581/kartor/A 42365-2025 karta.png", "A 42365-2025")</f>
        <v/>
      </c>
      <c r="V56">
        <f>HYPERLINK("https://klasma.github.io/Logging_0581/klagomål/A 42365-2025 FSC-klagomål.docx", "A 42365-2025")</f>
        <v/>
      </c>
      <c r="W56">
        <f>HYPERLINK("https://klasma.github.io/Logging_0581/klagomålsmail/A 42365-2025 FSC-klagomål mail.docx", "A 42365-2025")</f>
        <v/>
      </c>
      <c r="X56">
        <f>HYPERLINK("https://klasma.github.io/Logging_0581/tillsyn/A 42365-2025 tillsynsbegäran.docx", "A 42365-2025")</f>
        <v/>
      </c>
      <c r="Y56">
        <f>HYPERLINK("https://klasma.github.io/Logging_0581/tillsynsmail/A 42365-2025 tillsynsbegäran mail.docx", "A 42365-2025")</f>
        <v/>
      </c>
    </row>
    <row r="57" ht="15" customHeight="1">
      <c r="A57" t="inlineStr">
        <is>
          <t>A 25291-2023</t>
        </is>
      </c>
      <c r="B57" s="1" t="n">
        <v>45086</v>
      </c>
      <c r="C57" s="1" t="n">
        <v>45947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Allmännings- och besparingsskogar</t>
        </is>
      </c>
      <c r="G57" t="n">
        <v>2.1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Slåtterfibbla
Svartvit flugsnappare</t>
        </is>
      </c>
      <c r="S57">
        <f>HYPERLINK("https://klasma.github.io/Logging_0581/artfynd/A 25291-2023 artfynd.xlsx", "A 25291-2023")</f>
        <v/>
      </c>
      <c r="T57">
        <f>HYPERLINK("https://klasma.github.io/Logging_0581/kartor/A 25291-2023 karta.png", "A 25291-2023")</f>
        <v/>
      </c>
      <c r="V57">
        <f>HYPERLINK("https://klasma.github.io/Logging_0581/klagomål/A 25291-2023 FSC-klagomål.docx", "A 25291-2023")</f>
        <v/>
      </c>
      <c r="W57">
        <f>HYPERLINK("https://klasma.github.io/Logging_0581/klagomålsmail/A 25291-2023 FSC-klagomål mail.docx", "A 25291-2023")</f>
        <v/>
      </c>
      <c r="X57">
        <f>HYPERLINK("https://klasma.github.io/Logging_0581/tillsyn/A 25291-2023 tillsynsbegäran.docx", "A 25291-2023")</f>
        <v/>
      </c>
      <c r="Y57">
        <f>HYPERLINK("https://klasma.github.io/Logging_0581/tillsynsmail/A 25291-2023 tillsynsbegäran mail.docx", "A 25291-2023")</f>
        <v/>
      </c>
      <c r="Z57">
        <f>HYPERLINK("https://klasma.github.io/Logging_0581/fåglar/A 25291-2023 prioriterade fågelarter.docx", "A 25291-2023")</f>
        <v/>
      </c>
    </row>
    <row r="58" ht="15" customHeight="1">
      <c r="A58" t="inlineStr">
        <is>
          <t>A 17793-2025</t>
        </is>
      </c>
      <c r="B58" s="1" t="n">
        <v>45758.54390046297</v>
      </c>
      <c r="C58" s="1" t="n">
        <v>45947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6.7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Blåmossa
Huggorm</t>
        </is>
      </c>
      <c r="S58">
        <f>HYPERLINK("https://klasma.github.io/Logging_0581/artfynd/A 17793-2025 artfynd.xlsx", "A 17793-2025")</f>
        <v/>
      </c>
      <c r="T58">
        <f>HYPERLINK("https://klasma.github.io/Logging_0581/kartor/A 17793-2025 karta.png", "A 17793-2025")</f>
        <v/>
      </c>
      <c r="V58">
        <f>HYPERLINK("https://klasma.github.io/Logging_0581/klagomål/A 17793-2025 FSC-klagomål.docx", "A 17793-2025")</f>
        <v/>
      </c>
      <c r="W58">
        <f>HYPERLINK("https://klasma.github.io/Logging_0581/klagomålsmail/A 17793-2025 FSC-klagomål mail.docx", "A 17793-2025")</f>
        <v/>
      </c>
      <c r="X58">
        <f>HYPERLINK("https://klasma.github.io/Logging_0581/tillsyn/A 17793-2025 tillsynsbegäran.docx", "A 17793-2025")</f>
        <v/>
      </c>
      <c r="Y58">
        <f>HYPERLINK("https://klasma.github.io/Logging_0581/tillsynsmail/A 17793-2025 tillsynsbegäran mail.docx", "A 17793-2025")</f>
        <v/>
      </c>
    </row>
    <row r="59" ht="15" customHeight="1">
      <c r="A59" t="inlineStr">
        <is>
          <t>A 46692-2024</t>
        </is>
      </c>
      <c r="B59" s="1" t="n">
        <v>45583</v>
      </c>
      <c r="C59" s="1" t="n">
        <v>45947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1.4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Dvärgbägarlav
Flagellkvastmossa</t>
        </is>
      </c>
      <c r="S59">
        <f>HYPERLINK("https://klasma.github.io/Logging_0581/artfynd/A 46692-2024 artfynd.xlsx", "A 46692-2024")</f>
        <v/>
      </c>
      <c r="T59">
        <f>HYPERLINK("https://klasma.github.io/Logging_0581/kartor/A 46692-2024 karta.png", "A 46692-2024")</f>
        <v/>
      </c>
      <c r="V59">
        <f>HYPERLINK("https://klasma.github.io/Logging_0581/klagomål/A 46692-2024 FSC-klagomål.docx", "A 46692-2024")</f>
        <v/>
      </c>
      <c r="W59">
        <f>HYPERLINK("https://klasma.github.io/Logging_0581/klagomålsmail/A 46692-2024 FSC-klagomål mail.docx", "A 46692-2024")</f>
        <v/>
      </c>
      <c r="X59">
        <f>HYPERLINK("https://klasma.github.io/Logging_0581/tillsyn/A 46692-2024 tillsynsbegäran.docx", "A 46692-2024")</f>
        <v/>
      </c>
      <c r="Y59">
        <f>HYPERLINK("https://klasma.github.io/Logging_0581/tillsynsmail/A 46692-2024 tillsynsbegäran mail.docx", "A 46692-2024")</f>
        <v/>
      </c>
    </row>
    <row r="60" ht="15" customHeight="1">
      <c r="A60" t="inlineStr">
        <is>
          <t>A 21536-2025</t>
        </is>
      </c>
      <c r="B60" s="1" t="n">
        <v>45782.659375</v>
      </c>
      <c r="C60" s="1" t="n">
        <v>45947</v>
      </c>
      <c r="D60" t="inlineStr">
        <is>
          <t>ÖSTERGÖTLANDS LÄN</t>
        </is>
      </c>
      <c r="E60" t="inlineStr">
        <is>
          <t>NORRKÖPING</t>
        </is>
      </c>
      <c r="G60" t="n">
        <v>6.2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Reliktbock
Tjockfotad fingersvamp</t>
        </is>
      </c>
      <c r="S60">
        <f>HYPERLINK("https://klasma.github.io/Logging_0581/artfynd/A 21536-2025 artfynd.xlsx", "A 21536-2025")</f>
        <v/>
      </c>
      <c r="T60">
        <f>HYPERLINK("https://klasma.github.io/Logging_0581/kartor/A 21536-2025 karta.png", "A 21536-2025")</f>
        <v/>
      </c>
      <c r="V60">
        <f>HYPERLINK("https://klasma.github.io/Logging_0581/klagomål/A 21536-2025 FSC-klagomål.docx", "A 21536-2025")</f>
        <v/>
      </c>
      <c r="W60">
        <f>HYPERLINK("https://klasma.github.io/Logging_0581/klagomålsmail/A 21536-2025 FSC-klagomål mail.docx", "A 21536-2025")</f>
        <v/>
      </c>
      <c r="X60">
        <f>HYPERLINK("https://klasma.github.io/Logging_0581/tillsyn/A 21536-2025 tillsynsbegäran.docx", "A 21536-2025")</f>
        <v/>
      </c>
      <c r="Y60">
        <f>HYPERLINK("https://klasma.github.io/Logging_0581/tillsynsmail/A 21536-2025 tillsynsbegäran mail.docx", "A 21536-2025")</f>
        <v/>
      </c>
    </row>
    <row r="61" ht="15" customHeight="1">
      <c r="A61" t="inlineStr">
        <is>
          <t>A 21799-2025</t>
        </is>
      </c>
      <c r="B61" s="1" t="n">
        <v>45783.68689814815</v>
      </c>
      <c r="C61" s="1" t="n">
        <v>45947</v>
      </c>
      <c r="D61" t="inlineStr">
        <is>
          <t>ÖSTERGÖTLANDS LÄN</t>
        </is>
      </c>
      <c r="E61" t="inlineStr">
        <is>
          <t>NORRKÖPING</t>
        </is>
      </c>
      <c r="G61" t="n">
        <v>3.5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Blåmossa
Revlummer</t>
        </is>
      </c>
      <c r="S61">
        <f>HYPERLINK("https://klasma.github.io/Logging_0581/artfynd/A 21799-2025 artfynd.xlsx", "A 21799-2025")</f>
        <v/>
      </c>
      <c r="T61">
        <f>HYPERLINK("https://klasma.github.io/Logging_0581/kartor/A 21799-2025 karta.png", "A 21799-2025")</f>
        <v/>
      </c>
      <c r="V61">
        <f>HYPERLINK("https://klasma.github.io/Logging_0581/klagomål/A 21799-2025 FSC-klagomål.docx", "A 21799-2025")</f>
        <v/>
      </c>
      <c r="W61">
        <f>HYPERLINK("https://klasma.github.io/Logging_0581/klagomålsmail/A 21799-2025 FSC-klagomål mail.docx", "A 21799-2025")</f>
        <v/>
      </c>
      <c r="X61">
        <f>HYPERLINK("https://klasma.github.io/Logging_0581/tillsyn/A 21799-2025 tillsynsbegäran.docx", "A 21799-2025")</f>
        <v/>
      </c>
      <c r="Y61">
        <f>HYPERLINK("https://klasma.github.io/Logging_0581/tillsynsmail/A 21799-2025 tillsynsbegäran mail.docx", "A 21799-2025")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45947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45947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45947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45947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45947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45947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11142-2025</t>
        </is>
      </c>
      <c r="B68" s="1" t="n">
        <v>45723.66964120371</v>
      </c>
      <c r="C68" s="1" t="n">
        <v>45947</v>
      </c>
      <c r="D68" t="inlineStr">
        <is>
          <t>ÖSTERGÖTLANDS LÄN</t>
        </is>
      </c>
      <c r="E68" t="inlineStr">
        <is>
          <t>NORRKÖPING</t>
        </is>
      </c>
      <c r="G68" t="n">
        <v>2.7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Slåtterfibbla</t>
        </is>
      </c>
      <c r="S68">
        <f>HYPERLINK("https://klasma.github.io/Logging_0581/artfynd/A 11142-2025 artfynd.xlsx", "A 11142-2025")</f>
        <v/>
      </c>
      <c r="T68">
        <f>HYPERLINK("https://klasma.github.io/Logging_0581/kartor/A 11142-2025 karta.png", "A 11142-2025")</f>
        <v/>
      </c>
      <c r="V68">
        <f>HYPERLINK("https://klasma.github.io/Logging_0581/klagomål/A 11142-2025 FSC-klagomål.docx", "A 11142-2025")</f>
        <v/>
      </c>
      <c r="W68">
        <f>HYPERLINK("https://klasma.github.io/Logging_0581/klagomålsmail/A 11142-2025 FSC-klagomål mail.docx", "A 11142-2025")</f>
        <v/>
      </c>
      <c r="X68">
        <f>HYPERLINK("https://klasma.github.io/Logging_0581/tillsyn/A 11142-2025 tillsynsbegäran.docx", "A 11142-2025")</f>
        <v/>
      </c>
      <c r="Y68">
        <f>HYPERLINK("https://klasma.github.io/Logging_0581/tillsynsmail/A 11142-2025 tillsynsbegäran mail.docx", "A 11142-2025")</f>
        <v/>
      </c>
    </row>
    <row r="69" ht="15" customHeight="1">
      <c r="A69" t="inlineStr">
        <is>
          <t>A 46957-2023</t>
        </is>
      </c>
      <c r="B69" s="1" t="n">
        <v>45201</v>
      </c>
      <c r="C69" s="1" t="n">
        <v>45947</v>
      </c>
      <c r="D69" t="inlineStr">
        <is>
          <t>ÖSTERGÖTLANDS LÄN</t>
        </is>
      </c>
      <c r="E69" t="inlineStr">
        <is>
          <t>NORRKÖPING</t>
        </is>
      </c>
      <c r="G69" t="n">
        <v>1.8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Vedskivlav</t>
        </is>
      </c>
      <c r="S69">
        <f>HYPERLINK("https://klasma.github.io/Logging_0581/artfynd/A 46957-2023 artfynd.xlsx", "A 46957-2023")</f>
        <v/>
      </c>
      <c r="T69">
        <f>HYPERLINK("https://klasma.github.io/Logging_0581/kartor/A 46957-2023 karta.png", "A 46957-2023")</f>
        <v/>
      </c>
      <c r="V69">
        <f>HYPERLINK("https://klasma.github.io/Logging_0581/klagomål/A 46957-2023 FSC-klagomål.docx", "A 46957-2023")</f>
        <v/>
      </c>
      <c r="W69">
        <f>HYPERLINK("https://klasma.github.io/Logging_0581/klagomålsmail/A 46957-2023 FSC-klagomål mail.docx", "A 46957-2023")</f>
        <v/>
      </c>
      <c r="X69">
        <f>HYPERLINK("https://klasma.github.io/Logging_0581/tillsyn/A 46957-2023 tillsynsbegäran.docx", "A 46957-2023")</f>
        <v/>
      </c>
      <c r="Y69">
        <f>HYPERLINK("https://klasma.github.io/Logging_0581/tillsynsmail/A 46957-2023 tillsynsbegäran mail.docx", "A 46957-2023")</f>
        <v/>
      </c>
    </row>
    <row r="70" ht="15" customHeight="1">
      <c r="A70" t="inlineStr">
        <is>
          <t>A 27107-2023</t>
        </is>
      </c>
      <c r="B70" s="1" t="n">
        <v>45096</v>
      </c>
      <c r="C70" s="1" t="n">
        <v>45947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Holmen skog AB</t>
        </is>
      </c>
      <c r="G70" t="n">
        <v>0.5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Svartvit flugsnappare</t>
        </is>
      </c>
      <c r="S70">
        <f>HYPERLINK("https://klasma.github.io/Logging_0581/artfynd/A 27107-2023 artfynd.xlsx", "A 27107-2023")</f>
        <v/>
      </c>
      <c r="T70">
        <f>HYPERLINK("https://klasma.github.io/Logging_0581/kartor/A 27107-2023 karta.png", "A 27107-2023")</f>
        <v/>
      </c>
      <c r="V70">
        <f>HYPERLINK("https://klasma.github.io/Logging_0581/klagomål/A 27107-2023 FSC-klagomål.docx", "A 27107-2023")</f>
        <v/>
      </c>
      <c r="W70">
        <f>HYPERLINK("https://klasma.github.io/Logging_0581/klagomålsmail/A 27107-2023 FSC-klagomål mail.docx", "A 27107-2023")</f>
        <v/>
      </c>
      <c r="X70">
        <f>HYPERLINK("https://klasma.github.io/Logging_0581/tillsyn/A 27107-2023 tillsynsbegäran.docx", "A 27107-2023")</f>
        <v/>
      </c>
      <c r="Y70">
        <f>HYPERLINK("https://klasma.github.io/Logging_0581/tillsynsmail/A 27107-2023 tillsynsbegäran mail.docx", "A 27107-2023")</f>
        <v/>
      </c>
      <c r="Z70">
        <f>HYPERLINK("https://klasma.github.io/Logging_0581/fåglar/A 27107-2023 prioriterade fågelarter.docx", "A 27107-2023")</f>
        <v/>
      </c>
    </row>
    <row r="71" ht="15" customHeight="1">
      <c r="A71" t="inlineStr">
        <is>
          <t>A 9817-2025</t>
        </is>
      </c>
      <c r="B71" s="1" t="n">
        <v>45716.5672337963</v>
      </c>
      <c r="C71" s="1" t="n">
        <v>45947</v>
      </c>
      <c r="D71" t="inlineStr">
        <is>
          <t>ÖSTERGÖTLANDS LÄN</t>
        </is>
      </c>
      <c r="E71" t="inlineStr">
        <is>
          <t>NORRKÖPING</t>
        </is>
      </c>
      <c r="G71" t="n">
        <v>1.4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Blåmossa</t>
        </is>
      </c>
      <c r="S71">
        <f>HYPERLINK("https://klasma.github.io/Logging_0581/artfynd/A 9817-2025 artfynd.xlsx", "A 9817-2025")</f>
        <v/>
      </c>
      <c r="T71">
        <f>HYPERLINK("https://klasma.github.io/Logging_0581/kartor/A 9817-2025 karta.png", "A 9817-2025")</f>
        <v/>
      </c>
      <c r="V71">
        <f>HYPERLINK("https://klasma.github.io/Logging_0581/klagomål/A 9817-2025 FSC-klagomål.docx", "A 9817-2025")</f>
        <v/>
      </c>
      <c r="W71">
        <f>HYPERLINK("https://klasma.github.io/Logging_0581/klagomålsmail/A 9817-2025 FSC-klagomål mail.docx", "A 9817-2025")</f>
        <v/>
      </c>
      <c r="X71">
        <f>HYPERLINK("https://klasma.github.io/Logging_0581/tillsyn/A 9817-2025 tillsynsbegäran.docx", "A 9817-2025")</f>
        <v/>
      </c>
      <c r="Y71">
        <f>HYPERLINK("https://klasma.github.io/Logging_0581/tillsynsmail/A 9817-2025 tillsynsbegäran mail.docx", "A 9817-2025")</f>
        <v/>
      </c>
    </row>
    <row r="72" ht="15" customHeight="1">
      <c r="A72" t="inlineStr">
        <is>
          <t>A 46640-2024</t>
        </is>
      </c>
      <c r="B72" s="1" t="n">
        <v>45583.3479050926</v>
      </c>
      <c r="C72" s="1" t="n">
        <v>45947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3.5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HYPERLINK("https://klasma.github.io/Logging_0581/artfynd/A 46640-2024 artfynd.xlsx", "A 46640-2024")</f>
        <v/>
      </c>
      <c r="T72">
        <f>HYPERLINK("https://klasma.github.io/Logging_0581/kartor/A 46640-2024 karta.png", "A 46640-2024")</f>
        <v/>
      </c>
      <c r="V72">
        <f>HYPERLINK("https://klasma.github.io/Logging_0581/klagomål/A 46640-2024 FSC-klagomål.docx", "A 46640-2024")</f>
        <v/>
      </c>
      <c r="W72">
        <f>HYPERLINK("https://klasma.github.io/Logging_0581/klagomålsmail/A 46640-2024 FSC-klagomål mail.docx", "A 46640-2024")</f>
        <v/>
      </c>
      <c r="X72">
        <f>HYPERLINK("https://klasma.github.io/Logging_0581/tillsyn/A 46640-2024 tillsynsbegäran.docx", "A 46640-2024")</f>
        <v/>
      </c>
      <c r="Y72">
        <f>HYPERLINK("https://klasma.github.io/Logging_0581/tillsynsmail/A 46640-2024 tillsynsbegäran mail.docx", "A 46640-2024")</f>
        <v/>
      </c>
    </row>
    <row r="73" ht="15" customHeight="1">
      <c r="A73" t="inlineStr">
        <is>
          <t>A 23969-2025</t>
        </is>
      </c>
      <c r="B73" s="1" t="n">
        <v>45796</v>
      </c>
      <c r="C73" s="1" t="n">
        <v>45947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Grönsångare</t>
        </is>
      </c>
      <c r="S73">
        <f>HYPERLINK("https://klasma.github.io/Logging_0581/artfynd/A 23969-2025 artfynd.xlsx", "A 23969-2025")</f>
        <v/>
      </c>
      <c r="T73">
        <f>HYPERLINK("https://klasma.github.io/Logging_0581/kartor/A 23969-2025 karta.png", "A 23969-2025")</f>
        <v/>
      </c>
      <c r="V73">
        <f>HYPERLINK("https://klasma.github.io/Logging_0581/klagomål/A 23969-2025 FSC-klagomål.docx", "A 23969-2025")</f>
        <v/>
      </c>
      <c r="W73">
        <f>HYPERLINK("https://klasma.github.io/Logging_0581/klagomålsmail/A 23969-2025 FSC-klagomål mail.docx", "A 23969-2025")</f>
        <v/>
      </c>
      <c r="X73">
        <f>HYPERLINK("https://klasma.github.io/Logging_0581/tillsyn/A 23969-2025 tillsynsbegäran.docx", "A 23969-2025")</f>
        <v/>
      </c>
      <c r="Y73">
        <f>HYPERLINK("https://klasma.github.io/Logging_0581/tillsynsmail/A 23969-2025 tillsynsbegäran mail.docx", "A 23969-2025")</f>
        <v/>
      </c>
      <c r="Z73">
        <f>HYPERLINK("https://klasma.github.io/Logging_0581/fåglar/A 23969-2025 prioriterade fågelarter.docx", "A 23969-2025")</f>
        <v/>
      </c>
    </row>
    <row r="74" ht="15" customHeight="1">
      <c r="A74" t="inlineStr">
        <is>
          <t>A 46955-2023</t>
        </is>
      </c>
      <c r="B74" s="1" t="n">
        <v>45201</v>
      </c>
      <c r="C74" s="1" t="n">
        <v>45947</v>
      </c>
      <c r="D74" t="inlineStr">
        <is>
          <t>ÖSTERGÖTLANDS LÄN</t>
        </is>
      </c>
      <c r="E74" t="inlineStr">
        <is>
          <t>NORRKÖPING</t>
        </is>
      </c>
      <c r="G74" t="n">
        <v>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Dropptaggsvamp</t>
        </is>
      </c>
      <c r="S74">
        <f>HYPERLINK("https://klasma.github.io/Logging_0581/artfynd/A 46955-2023 artfynd.xlsx", "A 46955-2023")</f>
        <v/>
      </c>
      <c r="T74">
        <f>HYPERLINK("https://klasma.github.io/Logging_0581/kartor/A 46955-2023 karta.png", "A 46955-2023")</f>
        <v/>
      </c>
      <c r="V74">
        <f>HYPERLINK("https://klasma.github.io/Logging_0581/klagomål/A 46955-2023 FSC-klagomål.docx", "A 46955-2023")</f>
        <v/>
      </c>
      <c r="W74">
        <f>HYPERLINK("https://klasma.github.io/Logging_0581/klagomålsmail/A 46955-2023 FSC-klagomål mail.docx", "A 46955-2023")</f>
        <v/>
      </c>
      <c r="X74">
        <f>HYPERLINK("https://klasma.github.io/Logging_0581/tillsyn/A 46955-2023 tillsynsbegäran.docx", "A 46955-2023")</f>
        <v/>
      </c>
      <c r="Y74">
        <f>HYPERLINK("https://klasma.github.io/Logging_0581/tillsynsmail/A 46955-2023 tillsynsbegäran mail.docx", "A 46955-2023")</f>
        <v/>
      </c>
    </row>
    <row r="75" ht="15" customHeight="1">
      <c r="A75" t="inlineStr">
        <is>
          <t>A 46671-2024</t>
        </is>
      </c>
      <c r="B75" s="1" t="n">
        <v>45583</v>
      </c>
      <c r="C75" s="1" t="n">
        <v>45947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1.2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Kattfotslav</t>
        </is>
      </c>
      <c r="S75">
        <f>HYPERLINK("https://klasma.github.io/Logging_0581/artfynd/A 46671-2024 artfynd.xlsx", "A 46671-2024")</f>
        <v/>
      </c>
      <c r="T75">
        <f>HYPERLINK("https://klasma.github.io/Logging_0581/kartor/A 46671-2024 karta.png", "A 46671-2024")</f>
        <v/>
      </c>
      <c r="V75">
        <f>HYPERLINK("https://klasma.github.io/Logging_0581/klagomål/A 46671-2024 FSC-klagomål.docx", "A 46671-2024")</f>
        <v/>
      </c>
      <c r="W75">
        <f>HYPERLINK("https://klasma.github.io/Logging_0581/klagomålsmail/A 46671-2024 FSC-klagomål mail.docx", "A 46671-2024")</f>
        <v/>
      </c>
      <c r="X75">
        <f>HYPERLINK("https://klasma.github.io/Logging_0581/tillsyn/A 46671-2024 tillsynsbegäran.docx", "A 46671-2024")</f>
        <v/>
      </c>
      <c r="Y75">
        <f>HYPERLINK("https://klasma.github.io/Logging_0581/tillsynsmail/A 46671-2024 tillsynsbegäran mail.docx", "A 46671-2024")</f>
        <v/>
      </c>
    </row>
    <row r="76" ht="15" customHeight="1">
      <c r="A76" t="inlineStr">
        <is>
          <t>A 58711-2023</t>
        </is>
      </c>
      <c r="B76" s="1" t="n">
        <v>45251</v>
      </c>
      <c r="C76" s="1" t="n">
        <v>45947</v>
      </c>
      <c r="D76" t="inlineStr">
        <is>
          <t>ÖSTERGÖTLANDS LÄN</t>
        </is>
      </c>
      <c r="E76" t="inlineStr">
        <is>
          <t>NORRKÖPING</t>
        </is>
      </c>
      <c r="G76" t="n">
        <v>4.3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HYPERLINK("https://klasma.github.io/Logging_0581/artfynd/A 58711-2023 artfynd.xlsx", "A 58711-2023")</f>
        <v/>
      </c>
      <c r="T76">
        <f>HYPERLINK("https://klasma.github.io/Logging_0581/kartor/A 58711-2023 karta.png", "A 58711-2023")</f>
        <v/>
      </c>
      <c r="V76">
        <f>HYPERLINK("https://klasma.github.io/Logging_0581/klagomål/A 58711-2023 FSC-klagomål.docx", "A 58711-2023")</f>
        <v/>
      </c>
      <c r="W76">
        <f>HYPERLINK("https://klasma.github.io/Logging_0581/klagomålsmail/A 58711-2023 FSC-klagomål mail.docx", "A 58711-2023")</f>
        <v/>
      </c>
      <c r="X76">
        <f>HYPERLINK("https://klasma.github.io/Logging_0581/tillsyn/A 58711-2023 tillsynsbegäran.docx", "A 58711-2023")</f>
        <v/>
      </c>
      <c r="Y76">
        <f>HYPERLINK("https://klasma.github.io/Logging_0581/tillsynsmail/A 58711-2023 tillsynsbegäran mail.docx", "A 58711-2023")</f>
        <v/>
      </c>
    </row>
    <row r="77" ht="15" customHeight="1">
      <c r="A77" t="inlineStr">
        <is>
          <t>A 31897-2022</t>
        </is>
      </c>
      <c r="B77" s="1" t="n">
        <v>44777.49493055556</v>
      </c>
      <c r="C77" s="1" t="n">
        <v>45947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Kommuner</t>
        </is>
      </c>
      <c r="G77" t="n">
        <v>1.8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Grönpyrola</t>
        </is>
      </c>
      <c r="S77">
        <f>HYPERLINK("https://klasma.github.io/Logging_0581/artfynd/A 31897-2022 artfynd.xlsx", "A 31897-2022")</f>
        <v/>
      </c>
      <c r="T77">
        <f>HYPERLINK("https://klasma.github.io/Logging_0581/kartor/A 31897-2022 karta.png", "A 31897-2022")</f>
        <v/>
      </c>
      <c r="V77">
        <f>HYPERLINK("https://klasma.github.io/Logging_0581/klagomål/A 31897-2022 FSC-klagomål.docx", "A 31897-2022")</f>
        <v/>
      </c>
      <c r="W77">
        <f>HYPERLINK("https://klasma.github.io/Logging_0581/klagomålsmail/A 31897-2022 FSC-klagomål mail.docx", "A 31897-2022")</f>
        <v/>
      </c>
      <c r="X77">
        <f>HYPERLINK("https://klasma.github.io/Logging_0581/tillsyn/A 31897-2022 tillsynsbegäran.docx", "A 31897-2022")</f>
        <v/>
      </c>
      <c r="Y77">
        <f>HYPERLINK("https://klasma.github.io/Logging_0581/tillsynsmail/A 31897-2022 tillsynsbegäran mail.docx", "A 31897-2022")</f>
        <v/>
      </c>
    </row>
    <row r="78" ht="15" customHeight="1">
      <c r="A78" t="inlineStr">
        <is>
          <t>A 45953-2024</t>
        </is>
      </c>
      <c r="B78" s="1" t="n">
        <v>45580</v>
      </c>
      <c r="C78" s="1" t="n">
        <v>45947</v>
      </c>
      <c r="D78" t="inlineStr">
        <is>
          <t>ÖSTERGÖTLANDS LÄN</t>
        </is>
      </c>
      <c r="E78" t="inlineStr">
        <is>
          <t>NORRKÖPING</t>
        </is>
      </c>
      <c r="G78" t="n">
        <v>1.9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Ekoxe</t>
        </is>
      </c>
      <c r="S78">
        <f>HYPERLINK("https://klasma.github.io/Logging_0581/artfynd/A 45953-2024 artfynd.xlsx", "A 45953-2024")</f>
        <v/>
      </c>
      <c r="T78">
        <f>HYPERLINK("https://klasma.github.io/Logging_0581/kartor/A 45953-2024 karta.png", "A 45953-2024")</f>
        <v/>
      </c>
      <c r="V78">
        <f>HYPERLINK("https://klasma.github.io/Logging_0581/klagomål/A 45953-2024 FSC-klagomål.docx", "A 45953-2024")</f>
        <v/>
      </c>
      <c r="W78">
        <f>HYPERLINK("https://klasma.github.io/Logging_0581/klagomålsmail/A 45953-2024 FSC-klagomål mail.docx", "A 45953-2024")</f>
        <v/>
      </c>
      <c r="X78">
        <f>HYPERLINK("https://klasma.github.io/Logging_0581/tillsyn/A 45953-2024 tillsynsbegäran.docx", "A 45953-2024")</f>
        <v/>
      </c>
      <c r="Y78">
        <f>HYPERLINK("https://klasma.github.io/Logging_0581/tillsynsmail/A 45953-2024 tillsynsbegäran mail.docx", "A 45953-2024")</f>
        <v/>
      </c>
    </row>
    <row r="79" ht="15" customHeight="1">
      <c r="A79" t="inlineStr">
        <is>
          <t>A 31659-2023</t>
        </is>
      </c>
      <c r="B79" s="1" t="n">
        <v>45117</v>
      </c>
      <c r="C79" s="1" t="n">
        <v>45947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Tjäder</t>
        </is>
      </c>
      <c r="S79">
        <f>HYPERLINK("https://klasma.github.io/Logging_0581/artfynd/A 31659-2023 artfynd.xlsx", "A 31659-2023")</f>
        <v/>
      </c>
      <c r="T79">
        <f>HYPERLINK("https://klasma.github.io/Logging_0581/kartor/A 31659-2023 karta.png", "A 31659-2023")</f>
        <v/>
      </c>
      <c r="V79">
        <f>HYPERLINK("https://klasma.github.io/Logging_0581/klagomål/A 31659-2023 FSC-klagomål.docx", "A 31659-2023")</f>
        <v/>
      </c>
      <c r="W79">
        <f>HYPERLINK("https://klasma.github.io/Logging_0581/klagomålsmail/A 31659-2023 FSC-klagomål mail.docx", "A 31659-2023")</f>
        <v/>
      </c>
      <c r="X79">
        <f>HYPERLINK("https://klasma.github.io/Logging_0581/tillsyn/A 31659-2023 tillsynsbegäran.docx", "A 31659-2023")</f>
        <v/>
      </c>
      <c r="Y79">
        <f>HYPERLINK("https://klasma.github.io/Logging_0581/tillsynsmail/A 31659-2023 tillsynsbegäran mail.docx", "A 31659-2023")</f>
        <v/>
      </c>
      <c r="Z79">
        <f>HYPERLINK("https://klasma.github.io/Logging_0581/fåglar/A 31659-2023 prioriterade fågelarter.docx", "A 31659-2023")</f>
        <v/>
      </c>
    </row>
    <row r="80" ht="15" customHeight="1">
      <c r="A80" t="inlineStr">
        <is>
          <t>A 10769-2024</t>
        </is>
      </c>
      <c r="B80" s="1" t="n">
        <v>45369</v>
      </c>
      <c r="C80" s="1" t="n">
        <v>45947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Holmen skog AB</t>
        </is>
      </c>
      <c r="G80" t="n">
        <v>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Talltita</t>
        </is>
      </c>
      <c r="S80">
        <f>HYPERLINK("https://klasma.github.io/Logging_0581/artfynd/A 10769-2024 artfynd.xlsx", "A 10769-2024")</f>
        <v/>
      </c>
      <c r="T80">
        <f>HYPERLINK("https://klasma.github.io/Logging_0581/kartor/A 10769-2024 karta.png", "A 10769-2024")</f>
        <v/>
      </c>
      <c r="V80">
        <f>HYPERLINK("https://klasma.github.io/Logging_0581/klagomål/A 10769-2024 FSC-klagomål.docx", "A 10769-2024")</f>
        <v/>
      </c>
      <c r="W80">
        <f>HYPERLINK("https://klasma.github.io/Logging_0581/klagomålsmail/A 10769-2024 FSC-klagomål mail.docx", "A 10769-2024")</f>
        <v/>
      </c>
      <c r="X80">
        <f>HYPERLINK("https://klasma.github.io/Logging_0581/tillsyn/A 10769-2024 tillsynsbegäran.docx", "A 10769-2024")</f>
        <v/>
      </c>
      <c r="Y80">
        <f>HYPERLINK("https://klasma.github.io/Logging_0581/tillsynsmail/A 10769-2024 tillsynsbegäran mail.docx", "A 10769-2024")</f>
        <v/>
      </c>
      <c r="Z80">
        <f>HYPERLINK("https://klasma.github.io/Logging_0581/fåglar/A 10769-2024 prioriterade fågelarter.docx", "A 10769-2024")</f>
        <v/>
      </c>
    </row>
    <row r="81" ht="15" customHeight="1">
      <c r="A81" t="inlineStr">
        <is>
          <t>A 18267-2024</t>
        </is>
      </c>
      <c r="B81" s="1" t="n">
        <v>45421</v>
      </c>
      <c r="C81" s="1" t="n">
        <v>45947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1.4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Mörk kolflarnlav</t>
        </is>
      </c>
      <c r="S81">
        <f>HYPERLINK("https://klasma.github.io/Logging_0581/artfynd/A 18267-2024 artfynd.xlsx", "A 18267-2024")</f>
        <v/>
      </c>
      <c r="T81">
        <f>HYPERLINK("https://klasma.github.io/Logging_0581/kartor/A 18267-2024 karta.png", "A 18267-2024")</f>
        <v/>
      </c>
      <c r="V81">
        <f>HYPERLINK("https://klasma.github.io/Logging_0581/klagomål/A 18267-2024 FSC-klagomål.docx", "A 18267-2024")</f>
        <v/>
      </c>
      <c r="W81">
        <f>HYPERLINK("https://klasma.github.io/Logging_0581/klagomålsmail/A 18267-2024 FSC-klagomål mail.docx", "A 18267-2024")</f>
        <v/>
      </c>
      <c r="X81">
        <f>HYPERLINK("https://klasma.github.io/Logging_0581/tillsyn/A 18267-2024 tillsynsbegäran.docx", "A 18267-2024")</f>
        <v/>
      </c>
      <c r="Y81">
        <f>HYPERLINK("https://klasma.github.io/Logging_0581/tillsynsmail/A 18267-2024 tillsynsbegäran mail.docx", "A 18267-2024")</f>
        <v/>
      </c>
    </row>
    <row r="82" ht="15" customHeight="1">
      <c r="A82" t="inlineStr">
        <is>
          <t>A 27863-2021</t>
        </is>
      </c>
      <c r="B82" s="1" t="n">
        <v>44354</v>
      </c>
      <c r="C82" s="1" t="n">
        <v>45947</v>
      </c>
      <c r="D82" t="inlineStr">
        <is>
          <t>ÖSTERGÖTLANDS LÄN</t>
        </is>
      </c>
      <c r="E82" t="inlineStr">
        <is>
          <t>NORRKÖPING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Ask</t>
        </is>
      </c>
      <c r="S82">
        <f>HYPERLINK("https://klasma.github.io/Logging_0581/artfynd/A 27863-2021 artfynd.xlsx", "A 27863-2021")</f>
        <v/>
      </c>
      <c r="T82">
        <f>HYPERLINK("https://klasma.github.io/Logging_0581/kartor/A 27863-2021 karta.png", "A 27863-2021")</f>
        <v/>
      </c>
      <c r="V82">
        <f>HYPERLINK("https://klasma.github.io/Logging_0581/klagomål/A 27863-2021 FSC-klagomål.docx", "A 27863-2021")</f>
        <v/>
      </c>
      <c r="W82">
        <f>HYPERLINK("https://klasma.github.io/Logging_0581/klagomålsmail/A 27863-2021 FSC-klagomål mail.docx", "A 27863-2021")</f>
        <v/>
      </c>
      <c r="X82">
        <f>HYPERLINK("https://klasma.github.io/Logging_0581/tillsyn/A 27863-2021 tillsynsbegäran.docx", "A 27863-2021")</f>
        <v/>
      </c>
      <c r="Y82">
        <f>HYPERLINK("https://klasma.github.io/Logging_0581/tillsynsmail/A 27863-2021 tillsynsbegäran mail.docx", "A 27863-2021")</f>
        <v/>
      </c>
    </row>
    <row r="83" ht="15" customHeight="1">
      <c r="A83" t="inlineStr">
        <is>
          <t>A 41369-2023</t>
        </is>
      </c>
      <c r="B83" s="1" t="n">
        <v>45174</v>
      </c>
      <c r="C83" s="1" t="n">
        <v>45947</v>
      </c>
      <c r="D83" t="inlineStr">
        <is>
          <t>ÖSTERGÖTLANDS LÄN</t>
        </is>
      </c>
      <c r="E83" t="inlineStr">
        <is>
          <t>NORRKÖPING</t>
        </is>
      </c>
      <c r="G83" t="n">
        <v>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Tallticka</t>
        </is>
      </c>
      <c r="S83">
        <f>HYPERLINK("https://klasma.github.io/Logging_0581/artfynd/A 41369-2023 artfynd.xlsx", "A 41369-2023")</f>
        <v/>
      </c>
      <c r="T83">
        <f>HYPERLINK("https://klasma.github.io/Logging_0581/kartor/A 41369-2023 karta.png", "A 41369-2023")</f>
        <v/>
      </c>
      <c r="V83">
        <f>HYPERLINK("https://klasma.github.io/Logging_0581/klagomål/A 41369-2023 FSC-klagomål.docx", "A 41369-2023")</f>
        <v/>
      </c>
      <c r="W83">
        <f>HYPERLINK("https://klasma.github.io/Logging_0581/klagomålsmail/A 41369-2023 FSC-klagomål mail.docx", "A 41369-2023")</f>
        <v/>
      </c>
      <c r="X83">
        <f>HYPERLINK("https://klasma.github.io/Logging_0581/tillsyn/A 41369-2023 tillsynsbegäran.docx", "A 41369-2023")</f>
        <v/>
      </c>
      <c r="Y83">
        <f>HYPERLINK("https://klasma.github.io/Logging_0581/tillsynsmail/A 41369-2023 tillsynsbegäran mail.docx", "A 41369-2023")</f>
        <v/>
      </c>
    </row>
    <row r="84" ht="15" customHeight="1">
      <c r="A84" t="inlineStr">
        <is>
          <t>A 20377-2023</t>
        </is>
      </c>
      <c r="B84" s="1" t="n">
        <v>45056</v>
      </c>
      <c r="C84" s="1" t="n">
        <v>45947</v>
      </c>
      <c r="D84" t="inlineStr">
        <is>
          <t>ÖSTERGÖTLANDS LÄN</t>
        </is>
      </c>
      <c r="E84" t="inlineStr">
        <is>
          <t>NORRKÖPING</t>
        </is>
      </c>
      <c r="G84" t="n">
        <v>0.5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HYPERLINK("https://klasma.github.io/Logging_0581/artfynd/A 20377-2023 artfynd.xlsx", "A 20377-2023")</f>
        <v/>
      </c>
      <c r="T84">
        <f>HYPERLINK("https://klasma.github.io/Logging_0581/kartor/A 20377-2023 karta.png", "A 20377-2023")</f>
        <v/>
      </c>
      <c r="V84">
        <f>HYPERLINK("https://klasma.github.io/Logging_0581/klagomål/A 20377-2023 FSC-klagomål.docx", "A 20377-2023")</f>
        <v/>
      </c>
      <c r="W84">
        <f>HYPERLINK("https://klasma.github.io/Logging_0581/klagomålsmail/A 20377-2023 FSC-klagomål mail.docx", "A 20377-2023")</f>
        <v/>
      </c>
      <c r="X84">
        <f>HYPERLINK("https://klasma.github.io/Logging_0581/tillsyn/A 20377-2023 tillsynsbegäran.docx", "A 20377-2023")</f>
        <v/>
      </c>
      <c r="Y84">
        <f>HYPERLINK("https://klasma.github.io/Logging_0581/tillsynsmail/A 20377-2023 tillsynsbegäran mail.docx", "A 20377-2023")</f>
        <v/>
      </c>
    </row>
    <row r="85" ht="15" customHeight="1">
      <c r="A85" t="inlineStr">
        <is>
          <t>A 42548-2025</t>
        </is>
      </c>
      <c r="B85" s="1" t="n">
        <v>45905.58907407407</v>
      </c>
      <c r="C85" s="1" t="n">
        <v>45947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1.2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Kattfotslav</t>
        </is>
      </c>
      <c r="S85">
        <f>HYPERLINK("https://klasma.github.io/Logging_0581/artfynd/A 42548-2025 artfynd.xlsx", "A 42548-2025")</f>
        <v/>
      </c>
      <c r="T85">
        <f>HYPERLINK("https://klasma.github.io/Logging_0581/kartor/A 42548-2025 karta.png", "A 42548-2025")</f>
        <v/>
      </c>
      <c r="V85">
        <f>HYPERLINK("https://klasma.github.io/Logging_0581/klagomål/A 42548-2025 FSC-klagomål.docx", "A 42548-2025")</f>
        <v/>
      </c>
      <c r="W85">
        <f>HYPERLINK("https://klasma.github.io/Logging_0581/klagomålsmail/A 42548-2025 FSC-klagomål mail.docx", "A 42548-2025")</f>
        <v/>
      </c>
      <c r="X85">
        <f>HYPERLINK("https://klasma.github.io/Logging_0581/tillsyn/A 42548-2025 tillsynsbegäran.docx", "A 42548-2025")</f>
        <v/>
      </c>
      <c r="Y85">
        <f>HYPERLINK("https://klasma.github.io/Logging_0581/tillsynsmail/A 42548-2025 tillsynsbegäran mail.docx", "A 42548-2025")</f>
        <v/>
      </c>
    </row>
    <row r="86" ht="15" customHeight="1">
      <c r="A86" t="inlineStr">
        <is>
          <t>A 18500-2023</t>
        </is>
      </c>
      <c r="B86" s="1" t="n">
        <v>45042</v>
      </c>
      <c r="C86" s="1" t="n">
        <v>45947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Holmen skog AB</t>
        </is>
      </c>
      <c r="G86" t="n">
        <v>2.1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HYPERLINK("https://klasma.github.io/Logging_0581/artfynd/A 18500-2023 artfynd.xlsx", "A 18500-2023")</f>
        <v/>
      </c>
      <c r="T86">
        <f>HYPERLINK("https://klasma.github.io/Logging_0581/kartor/A 18500-2023 karta.png", "A 18500-2023")</f>
        <v/>
      </c>
      <c r="V86">
        <f>HYPERLINK("https://klasma.github.io/Logging_0581/klagomål/A 18500-2023 FSC-klagomål.docx", "A 18500-2023")</f>
        <v/>
      </c>
      <c r="W86">
        <f>HYPERLINK("https://klasma.github.io/Logging_0581/klagomålsmail/A 18500-2023 FSC-klagomål mail.docx", "A 18500-2023")</f>
        <v/>
      </c>
      <c r="X86">
        <f>HYPERLINK("https://klasma.github.io/Logging_0581/tillsyn/A 18500-2023 tillsynsbegäran.docx", "A 18500-2023")</f>
        <v/>
      </c>
      <c r="Y86">
        <f>HYPERLINK("https://klasma.github.io/Logging_0581/tillsynsmail/A 18500-2023 tillsynsbegäran mail.docx", "A 18500-2023")</f>
        <v/>
      </c>
    </row>
    <row r="87" ht="15" customHeight="1">
      <c r="A87" t="inlineStr">
        <is>
          <t>A 7316-2025</t>
        </is>
      </c>
      <c r="B87" s="1" t="n">
        <v>45702.76395833334</v>
      </c>
      <c r="C87" s="1" t="n">
        <v>45947</v>
      </c>
      <c r="D87" t="inlineStr">
        <is>
          <t>ÖSTERGÖTLANDS LÄN</t>
        </is>
      </c>
      <c r="E87" t="inlineStr">
        <is>
          <t>NORRKÖPING</t>
        </is>
      </c>
      <c r="G87" t="n">
        <v>1.6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Vinterhämpling</t>
        </is>
      </c>
      <c r="S87">
        <f>HYPERLINK("https://klasma.github.io/Logging_0581/artfynd/A 7316-2025 artfynd.xlsx", "A 7316-2025")</f>
        <v/>
      </c>
      <c r="T87">
        <f>HYPERLINK("https://klasma.github.io/Logging_0581/kartor/A 7316-2025 karta.png", "A 7316-2025")</f>
        <v/>
      </c>
      <c r="V87">
        <f>HYPERLINK("https://klasma.github.io/Logging_0581/klagomål/A 7316-2025 FSC-klagomål.docx", "A 7316-2025")</f>
        <v/>
      </c>
      <c r="W87">
        <f>HYPERLINK("https://klasma.github.io/Logging_0581/klagomålsmail/A 7316-2025 FSC-klagomål mail.docx", "A 7316-2025")</f>
        <v/>
      </c>
      <c r="X87">
        <f>HYPERLINK("https://klasma.github.io/Logging_0581/tillsyn/A 7316-2025 tillsynsbegäran.docx", "A 7316-2025")</f>
        <v/>
      </c>
      <c r="Y87">
        <f>HYPERLINK("https://klasma.github.io/Logging_0581/tillsynsmail/A 7316-2025 tillsynsbegäran mail.docx", "A 7316-2025")</f>
        <v/>
      </c>
    </row>
    <row r="88" ht="15" customHeight="1">
      <c r="A88" t="inlineStr">
        <is>
          <t>A 14636-2025</t>
        </is>
      </c>
      <c r="B88" s="1" t="n">
        <v>45742.43848379629</v>
      </c>
      <c r="C88" s="1" t="n">
        <v>45947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17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HYPERLINK("https://klasma.github.io/Logging_0581/artfynd/A 14636-2025 artfynd.xlsx", "A 14636-2025")</f>
        <v/>
      </c>
      <c r="T88">
        <f>HYPERLINK("https://klasma.github.io/Logging_0581/kartor/A 14636-2025 karta.png", "A 14636-2025")</f>
        <v/>
      </c>
      <c r="V88">
        <f>HYPERLINK("https://klasma.github.io/Logging_0581/klagomål/A 14636-2025 FSC-klagomål.docx", "A 14636-2025")</f>
        <v/>
      </c>
      <c r="W88">
        <f>HYPERLINK("https://klasma.github.io/Logging_0581/klagomålsmail/A 14636-2025 FSC-klagomål mail.docx", "A 14636-2025")</f>
        <v/>
      </c>
      <c r="X88">
        <f>HYPERLINK("https://klasma.github.io/Logging_0581/tillsyn/A 14636-2025 tillsynsbegäran.docx", "A 14636-2025")</f>
        <v/>
      </c>
      <c r="Y88">
        <f>HYPERLINK("https://klasma.github.io/Logging_0581/tillsynsmail/A 14636-2025 tillsynsbegäran mail.docx", "A 14636-2025")</f>
        <v/>
      </c>
      <c r="Z88">
        <f>HYPERLINK("https://klasma.github.io/Logging_0581/fåglar/A 14636-2025 prioriterade fågelarter.docx", "A 14636-2025")</f>
        <v/>
      </c>
    </row>
    <row r="89" ht="15" customHeight="1">
      <c r="A89" t="inlineStr">
        <is>
          <t>A 46696-2024</t>
        </is>
      </c>
      <c r="B89" s="1" t="n">
        <v>45583</v>
      </c>
      <c r="C89" s="1" t="n">
        <v>45947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2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Granticka</t>
        </is>
      </c>
      <c r="S89">
        <f>HYPERLINK("https://klasma.github.io/Logging_0581/artfynd/A 46696-2024 artfynd.xlsx", "A 46696-2024")</f>
        <v/>
      </c>
      <c r="T89">
        <f>HYPERLINK("https://klasma.github.io/Logging_0581/kartor/A 46696-2024 karta.png", "A 46696-2024")</f>
        <v/>
      </c>
      <c r="V89">
        <f>HYPERLINK("https://klasma.github.io/Logging_0581/klagomål/A 46696-2024 FSC-klagomål.docx", "A 46696-2024")</f>
        <v/>
      </c>
      <c r="W89">
        <f>HYPERLINK("https://klasma.github.io/Logging_0581/klagomålsmail/A 46696-2024 FSC-klagomål mail.docx", "A 46696-2024")</f>
        <v/>
      </c>
      <c r="X89">
        <f>HYPERLINK("https://klasma.github.io/Logging_0581/tillsyn/A 46696-2024 tillsynsbegäran.docx", "A 46696-2024")</f>
        <v/>
      </c>
      <c r="Y89">
        <f>HYPERLINK("https://klasma.github.io/Logging_0581/tillsynsmail/A 46696-2024 tillsynsbegäran mail.docx", "A 46696-2024")</f>
        <v/>
      </c>
    </row>
    <row r="90" ht="15" customHeight="1">
      <c r="A90" t="inlineStr">
        <is>
          <t>A 15497-2025</t>
        </is>
      </c>
      <c r="B90" s="1" t="n">
        <v>45747.58131944444</v>
      </c>
      <c r="C90" s="1" t="n">
        <v>45947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10.1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HYPERLINK("https://klasma.github.io/Logging_0581/artfynd/A 15497-2025 artfynd.xlsx", "A 15497-2025")</f>
        <v/>
      </c>
      <c r="T90">
        <f>HYPERLINK("https://klasma.github.io/Logging_0581/kartor/A 15497-2025 karta.png", "A 15497-2025")</f>
        <v/>
      </c>
      <c r="V90">
        <f>HYPERLINK("https://klasma.github.io/Logging_0581/klagomål/A 15497-2025 FSC-klagomål.docx", "A 15497-2025")</f>
        <v/>
      </c>
      <c r="W90">
        <f>HYPERLINK("https://klasma.github.io/Logging_0581/klagomålsmail/A 15497-2025 FSC-klagomål mail.docx", "A 15497-2025")</f>
        <v/>
      </c>
      <c r="X90">
        <f>HYPERLINK("https://klasma.github.io/Logging_0581/tillsyn/A 15497-2025 tillsynsbegäran.docx", "A 15497-2025")</f>
        <v/>
      </c>
      <c r="Y90">
        <f>HYPERLINK("https://klasma.github.io/Logging_0581/tillsynsmail/A 15497-2025 tillsynsbegäran mail.docx", "A 15497-2025")</f>
        <v/>
      </c>
    </row>
    <row r="91" ht="15" customHeight="1">
      <c r="A91" t="inlineStr">
        <is>
          <t>A 15124-2025</t>
        </is>
      </c>
      <c r="B91" s="1" t="n">
        <v>45744</v>
      </c>
      <c r="C91" s="1" t="n">
        <v>45947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3.8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15124-2025 artfynd.xlsx", "A 15124-2025")</f>
        <v/>
      </c>
      <c r="T91">
        <f>HYPERLINK("https://klasma.github.io/Logging_0581/kartor/A 15124-2025 karta.png", "A 15124-2025")</f>
        <v/>
      </c>
      <c r="V91">
        <f>HYPERLINK("https://klasma.github.io/Logging_0581/klagomål/A 15124-2025 FSC-klagomål.docx", "A 15124-2025")</f>
        <v/>
      </c>
      <c r="W91">
        <f>HYPERLINK("https://klasma.github.io/Logging_0581/klagomålsmail/A 15124-2025 FSC-klagomål mail.docx", "A 15124-2025")</f>
        <v/>
      </c>
      <c r="X91">
        <f>HYPERLINK("https://klasma.github.io/Logging_0581/tillsyn/A 15124-2025 tillsynsbegäran.docx", "A 15124-2025")</f>
        <v/>
      </c>
      <c r="Y91">
        <f>HYPERLINK("https://klasma.github.io/Logging_0581/tillsynsmail/A 15124-2025 tillsynsbegäran mail.docx", "A 15124-2025")</f>
        <v/>
      </c>
    </row>
    <row r="92" ht="15" customHeight="1">
      <c r="A92" t="inlineStr">
        <is>
          <t>A 15143-2025</t>
        </is>
      </c>
      <c r="B92" s="1" t="n">
        <v>45744.41443287037</v>
      </c>
      <c r="C92" s="1" t="n">
        <v>45947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Vedskivlav</t>
        </is>
      </c>
      <c r="S92">
        <f>HYPERLINK("https://klasma.github.io/Logging_0581/artfynd/A 15143-2025 artfynd.xlsx", "A 15143-2025")</f>
        <v/>
      </c>
      <c r="T92">
        <f>HYPERLINK("https://klasma.github.io/Logging_0581/kartor/A 15143-2025 karta.png", "A 15143-2025")</f>
        <v/>
      </c>
      <c r="V92">
        <f>HYPERLINK("https://klasma.github.io/Logging_0581/klagomål/A 15143-2025 FSC-klagomål.docx", "A 15143-2025")</f>
        <v/>
      </c>
      <c r="W92">
        <f>HYPERLINK("https://klasma.github.io/Logging_0581/klagomålsmail/A 15143-2025 FSC-klagomål mail.docx", "A 15143-2025")</f>
        <v/>
      </c>
      <c r="X92">
        <f>HYPERLINK("https://klasma.github.io/Logging_0581/tillsyn/A 15143-2025 tillsynsbegäran.docx", "A 15143-2025")</f>
        <v/>
      </c>
      <c r="Y92">
        <f>HYPERLINK("https://klasma.github.io/Logging_0581/tillsynsmail/A 15143-2025 tillsynsbegäran mail.docx", "A 15143-2025")</f>
        <v/>
      </c>
    </row>
    <row r="93" ht="15" customHeight="1">
      <c r="A93" t="inlineStr">
        <is>
          <t>A 46201-2025</t>
        </is>
      </c>
      <c r="B93" s="1" t="n">
        <v>45924.69556712963</v>
      </c>
      <c r="C93" s="1" t="n">
        <v>45947</v>
      </c>
      <c r="D93" t="inlineStr">
        <is>
          <t>ÖSTERGÖTLANDS LÄN</t>
        </is>
      </c>
      <c r="E93" t="inlineStr">
        <is>
          <t>NORRKÖPING</t>
        </is>
      </c>
      <c r="G93" t="n">
        <v>1.5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Hasselticka</t>
        </is>
      </c>
      <c r="S93">
        <f>HYPERLINK("https://klasma.github.io/Logging_0581/artfynd/A 46201-2025 artfynd.xlsx", "A 46201-2025")</f>
        <v/>
      </c>
      <c r="T93">
        <f>HYPERLINK("https://klasma.github.io/Logging_0581/kartor/A 46201-2025 karta.png", "A 46201-2025")</f>
        <v/>
      </c>
      <c r="V93">
        <f>HYPERLINK("https://klasma.github.io/Logging_0581/klagomål/A 46201-2025 FSC-klagomål.docx", "A 46201-2025")</f>
        <v/>
      </c>
      <c r="W93">
        <f>HYPERLINK("https://klasma.github.io/Logging_0581/klagomålsmail/A 46201-2025 FSC-klagomål mail.docx", "A 46201-2025")</f>
        <v/>
      </c>
      <c r="X93">
        <f>HYPERLINK("https://klasma.github.io/Logging_0581/tillsyn/A 46201-2025 tillsynsbegäran.docx", "A 46201-2025")</f>
        <v/>
      </c>
      <c r="Y93">
        <f>HYPERLINK("https://klasma.github.io/Logging_0581/tillsynsmail/A 46201-2025 tillsynsbegäran mail.docx", "A 46201-2025")</f>
        <v/>
      </c>
    </row>
    <row r="94" ht="15" customHeight="1">
      <c r="A94" t="inlineStr">
        <is>
          <t>A 16867-2024</t>
        </is>
      </c>
      <c r="B94" s="1" t="n">
        <v>45411.57177083333</v>
      </c>
      <c r="C94" s="1" t="n">
        <v>45947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3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Stare</t>
        </is>
      </c>
      <c r="S94">
        <f>HYPERLINK("https://klasma.github.io/Logging_0581/artfynd/A 16867-2024 artfynd.xlsx", "A 16867-2024")</f>
        <v/>
      </c>
      <c r="T94">
        <f>HYPERLINK("https://klasma.github.io/Logging_0581/kartor/A 16867-2024 karta.png", "A 16867-2024")</f>
        <v/>
      </c>
      <c r="V94">
        <f>HYPERLINK("https://klasma.github.io/Logging_0581/klagomål/A 16867-2024 FSC-klagomål.docx", "A 16867-2024")</f>
        <v/>
      </c>
      <c r="W94">
        <f>HYPERLINK("https://klasma.github.io/Logging_0581/klagomålsmail/A 16867-2024 FSC-klagomål mail.docx", "A 16867-2024")</f>
        <v/>
      </c>
      <c r="X94">
        <f>HYPERLINK("https://klasma.github.io/Logging_0581/tillsyn/A 16867-2024 tillsynsbegäran.docx", "A 16867-2024")</f>
        <v/>
      </c>
      <c r="Y94">
        <f>HYPERLINK("https://klasma.github.io/Logging_0581/tillsynsmail/A 16867-2024 tillsynsbegäran mail.docx", "A 16867-2024")</f>
        <v/>
      </c>
    </row>
    <row r="95" ht="15" customHeight="1">
      <c r="A95" t="inlineStr">
        <is>
          <t>A 55901-2020</t>
        </is>
      </c>
      <c r="B95" s="1" t="n">
        <v>44132</v>
      </c>
      <c r="C95" s="1" t="n">
        <v>45947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Allmännings- och besparingsskogar</t>
        </is>
      </c>
      <c r="G95" t="n">
        <v>6.8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Skogshare</t>
        </is>
      </c>
      <c r="S95">
        <f>HYPERLINK("https://klasma.github.io/Logging_0581/artfynd/A 55901-2020 artfynd.xlsx", "A 55901-2020")</f>
        <v/>
      </c>
      <c r="T95">
        <f>HYPERLINK("https://klasma.github.io/Logging_0581/kartor/A 55901-2020 karta.png", "A 55901-2020")</f>
        <v/>
      </c>
      <c r="V95">
        <f>HYPERLINK("https://klasma.github.io/Logging_0581/klagomål/A 55901-2020 FSC-klagomål.docx", "A 55901-2020")</f>
        <v/>
      </c>
      <c r="W95">
        <f>HYPERLINK("https://klasma.github.io/Logging_0581/klagomålsmail/A 55901-2020 FSC-klagomål mail.docx", "A 55901-2020")</f>
        <v/>
      </c>
      <c r="X95">
        <f>HYPERLINK("https://klasma.github.io/Logging_0581/tillsyn/A 55901-2020 tillsynsbegäran.docx", "A 55901-2020")</f>
        <v/>
      </c>
      <c r="Y95">
        <f>HYPERLINK("https://klasma.github.io/Logging_0581/tillsynsmail/A 55901-2020 tillsynsbegäran mail.docx", "A 55901-2020")</f>
        <v/>
      </c>
    </row>
    <row r="96" ht="15" customHeight="1">
      <c r="A96" t="inlineStr">
        <is>
          <t>A 7650-2024</t>
        </is>
      </c>
      <c r="B96" s="1" t="n">
        <v>45348.68336805556</v>
      </c>
      <c r="C96" s="1" t="n">
        <v>45947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Kommuner</t>
        </is>
      </c>
      <c r="G96" t="n">
        <v>2.8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Parasitsotlav</t>
        </is>
      </c>
      <c r="S96">
        <f>HYPERLINK("https://klasma.github.io/Logging_0581/artfynd/A 7650-2024 artfynd.xlsx", "A 7650-2024")</f>
        <v/>
      </c>
      <c r="T96">
        <f>HYPERLINK("https://klasma.github.io/Logging_0581/kartor/A 7650-2024 karta.png", "A 7650-2024")</f>
        <v/>
      </c>
      <c r="V96">
        <f>HYPERLINK("https://klasma.github.io/Logging_0581/klagomål/A 7650-2024 FSC-klagomål.docx", "A 7650-2024")</f>
        <v/>
      </c>
      <c r="W96">
        <f>HYPERLINK("https://klasma.github.io/Logging_0581/klagomålsmail/A 7650-2024 FSC-klagomål mail.docx", "A 7650-2024")</f>
        <v/>
      </c>
      <c r="X96">
        <f>HYPERLINK("https://klasma.github.io/Logging_0581/tillsyn/A 7650-2024 tillsynsbegäran.docx", "A 7650-2024")</f>
        <v/>
      </c>
      <c r="Y96">
        <f>HYPERLINK("https://klasma.github.io/Logging_0581/tillsynsmail/A 7650-2024 tillsynsbegäran mail.docx", "A 7650-2024")</f>
        <v/>
      </c>
    </row>
    <row r="97" ht="15" customHeight="1">
      <c r="A97" t="inlineStr">
        <is>
          <t>A 16610-2024</t>
        </is>
      </c>
      <c r="B97" s="1" t="n">
        <v>45408</v>
      </c>
      <c r="C97" s="1" t="n">
        <v>45947</v>
      </c>
      <c r="D97" t="inlineStr">
        <is>
          <t>ÖSTERGÖTLANDS LÄN</t>
        </is>
      </c>
      <c r="E97" t="inlineStr">
        <is>
          <t>NORRKÖPING</t>
        </is>
      </c>
      <c r="G97" t="n">
        <v>5.8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HYPERLINK("https://klasma.github.io/Logging_0581/artfynd/A 16610-2024 artfynd.xlsx", "A 16610-2024")</f>
        <v/>
      </c>
      <c r="T97">
        <f>HYPERLINK("https://klasma.github.io/Logging_0581/kartor/A 16610-2024 karta.png", "A 16610-2024")</f>
        <v/>
      </c>
      <c r="U97">
        <f>HYPERLINK("https://klasma.github.io/Logging_0581/knärot/A 16610-2024 karta knärot.png", "A 16610-2024")</f>
        <v/>
      </c>
      <c r="V97">
        <f>HYPERLINK("https://klasma.github.io/Logging_0581/klagomål/A 16610-2024 FSC-klagomål.docx", "A 16610-2024")</f>
        <v/>
      </c>
      <c r="W97">
        <f>HYPERLINK("https://klasma.github.io/Logging_0581/klagomålsmail/A 16610-2024 FSC-klagomål mail.docx", "A 16610-2024")</f>
        <v/>
      </c>
      <c r="X97">
        <f>HYPERLINK("https://klasma.github.io/Logging_0581/tillsyn/A 16610-2024 tillsynsbegäran.docx", "A 16610-2024")</f>
        <v/>
      </c>
      <c r="Y97">
        <f>HYPERLINK("https://klasma.github.io/Logging_0581/tillsynsmail/A 16610-2024 tillsynsbegäran mail.docx", "A 16610-2024")</f>
        <v/>
      </c>
    </row>
    <row r="98" ht="15" customHeight="1">
      <c r="A98" t="inlineStr">
        <is>
          <t>A 19628-2025</t>
        </is>
      </c>
      <c r="B98" s="1" t="n">
        <v>45770.63996527778</v>
      </c>
      <c r="C98" s="1" t="n">
        <v>45947</v>
      </c>
      <c r="D98" t="inlineStr">
        <is>
          <t>ÖSTERGÖTLANDS LÄN</t>
        </is>
      </c>
      <c r="E98" t="inlineStr">
        <is>
          <t>NORRKÖPING</t>
        </is>
      </c>
      <c r="G98" t="n">
        <v>2.7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Grönpyrola</t>
        </is>
      </c>
      <c r="S98">
        <f>HYPERLINK("https://klasma.github.io/Logging_0581/artfynd/A 19628-2025 artfynd.xlsx", "A 19628-2025")</f>
        <v/>
      </c>
      <c r="T98">
        <f>HYPERLINK("https://klasma.github.io/Logging_0581/kartor/A 19628-2025 karta.png", "A 19628-2025")</f>
        <v/>
      </c>
      <c r="V98">
        <f>HYPERLINK("https://klasma.github.io/Logging_0581/klagomål/A 19628-2025 FSC-klagomål.docx", "A 19628-2025")</f>
        <v/>
      </c>
      <c r="W98">
        <f>HYPERLINK("https://klasma.github.io/Logging_0581/klagomålsmail/A 19628-2025 FSC-klagomål mail.docx", "A 19628-2025")</f>
        <v/>
      </c>
      <c r="X98">
        <f>HYPERLINK("https://klasma.github.io/Logging_0581/tillsyn/A 19628-2025 tillsynsbegäran.docx", "A 19628-2025")</f>
        <v/>
      </c>
      <c r="Y98">
        <f>HYPERLINK("https://klasma.github.io/Logging_0581/tillsynsmail/A 19628-2025 tillsynsbegäran mail.docx", "A 19628-2025")</f>
        <v/>
      </c>
    </row>
    <row r="99" ht="15" customHeight="1">
      <c r="A99" t="inlineStr">
        <is>
          <t>A 12145-2024</t>
        </is>
      </c>
      <c r="B99" s="1" t="n">
        <v>45376</v>
      </c>
      <c r="C99" s="1" t="n">
        <v>45947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Allmännings- och besparingsskogar</t>
        </is>
      </c>
      <c r="G99" t="n">
        <v>10.4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Gullgröppa</t>
        </is>
      </c>
      <c r="S99">
        <f>HYPERLINK("https://klasma.github.io/Logging_0581/artfynd/A 12145-2024 artfynd.xlsx", "A 12145-2024")</f>
        <v/>
      </c>
      <c r="T99">
        <f>HYPERLINK("https://klasma.github.io/Logging_0581/kartor/A 12145-2024 karta.png", "A 12145-2024")</f>
        <v/>
      </c>
      <c r="V99">
        <f>HYPERLINK("https://klasma.github.io/Logging_0581/klagomål/A 12145-2024 FSC-klagomål.docx", "A 12145-2024")</f>
        <v/>
      </c>
      <c r="W99">
        <f>HYPERLINK("https://klasma.github.io/Logging_0581/klagomålsmail/A 12145-2024 FSC-klagomål mail.docx", "A 12145-2024")</f>
        <v/>
      </c>
      <c r="X99">
        <f>HYPERLINK("https://klasma.github.io/Logging_0581/tillsyn/A 12145-2024 tillsynsbegäran.docx", "A 12145-2024")</f>
        <v/>
      </c>
      <c r="Y99">
        <f>HYPERLINK("https://klasma.github.io/Logging_0581/tillsynsmail/A 12145-2024 tillsynsbegäran mail.docx", "A 12145-2024")</f>
        <v/>
      </c>
    </row>
    <row r="100" ht="15" customHeight="1">
      <c r="A100" t="inlineStr">
        <is>
          <t>A 9790-2024</t>
        </is>
      </c>
      <c r="B100" s="1" t="n">
        <v>45362</v>
      </c>
      <c r="C100" s="1" t="n">
        <v>45947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5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Mattlummer</t>
        </is>
      </c>
      <c r="S100">
        <f>HYPERLINK("https://klasma.github.io/Logging_0581/artfynd/A 9790-2024 artfynd.xlsx", "A 9790-2024")</f>
        <v/>
      </c>
      <c r="T100">
        <f>HYPERLINK("https://klasma.github.io/Logging_0581/kartor/A 9790-2024 karta.png", "A 9790-2024")</f>
        <v/>
      </c>
      <c r="V100">
        <f>HYPERLINK("https://klasma.github.io/Logging_0581/klagomål/A 9790-2024 FSC-klagomål.docx", "A 9790-2024")</f>
        <v/>
      </c>
      <c r="W100">
        <f>HYPERLINK("https://klasma.github.io/Logging_0581/klagomålsmail/A 9790-2024 FSC-klagomål mail.docx", "A 9790-2024")</f>
        <v/>
      </c>
      <c r="X100">
        <f>HYPERLINK("https://klasma.github.io/Logging_0581/tillsyn/A 9790-2024 tillsynsbegäran.docx", "A 9790-2024")</f>
        <v/>
      </c>
      <c r="Y100">
        <f>HYPERLINK("https://klasma.github.io/Logging_0581/tillsynsmail/A 9790-2024 tillsynsbegäran mail.docx", "A 9790-2024")</f>
        <v/>
      </c>
    </row>
    <row r="101" ht="15" customHeight="1">
      <c r="A101" t="inlineStr">
        <is>
          <t>A 18682-2025</t>
        </is>
      </c>
      <c r="B101" s="1" t="n">
        <v>45763.60795138889</v>
      </c>
      <c r="C101" s="1" t="n">
        <v>45947</v>
      </c>
      <c r="D101" t="inlineStr">
        <is>
          <t>ÖSTERGÖTLANDS LÄN</t>
        </is>
      </c>
      <c r="E101" t="inlineStr">
        <is>
          <t>NORRKÖPING</t>
        </is>
      </c>
      <c r="G101" t="n">
        <v>8.1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HYPERLINK("https://klasma.github.io/Logging_0581/artfynd/A 18682-2025 artfynd.xlsx", "A 18682-2025")</f>
        <v/>
      </c>
      <c r="T101">
        <f>HYPERLINK("https://klasma.github.io/Logging_0581/kartor/A 18682-2025 karta.png", "A 18682-2025")</f>
        <v/>
      </c>
      <c r="V101">
        <f>HYPERLINK("https://klasma.github.io/Logging_0581/klagomål/A 18682-2025 FSC-klagomål.docx", "A 18682-2025")</f>
        <v/>
      </c>
      <c r="W101">
        <f>HYPERLINK("https://klasma.github.io/Logging_0581/klagomålsmail/A 18682-2025 FSC-klagomål mail.docx", "A 18682-2025")</f>
        <v/>
      </c>
      <c r="X101">
        <f>HYPERLINK("https://klasma.github.io/Logging_0581/tillsyn/A 18682-2025 tillsynsbegäran.docx", "A 18682-2025")</f>
        <v/>
      </c>
      <c r="Y101">
        <f>HYPERLINK("https://klasma.github.io/Logging_0581/tillsynsmail/A 18682-2025 tillsynsbegäran mail.docx", "A 18682-2025")</f>
        <v/>
      </c>
    </row>
    <row r="102" ht="15" customHeight="1">
      <c r="A102" t="inlineStr">
        <is>
          <t>A 21749-2025</t>
        </is>
      </c>
      <c r="B102" s="1" t="n">
        <v>45783.61222222223</v>
      </c>
      <c r="C102" s="1" t="n">
        <v>45947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Holmen skog AB</t>
        </is>
      </c>
      <c r="G102" t="n">
        <v>5.9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HYPERLINK("https://klasma.github.io/Logging_0581/artfynd/A 21749-2025 artfynd.xlsx", "A 21749-2025")</f>
        <v/>
      </c>
      <c r="T102">
        <f>HYPERLINK("https://klasma.github.io/Logging_0581/kartor/A 21749-2025 karta.png", "A 21749-2025")</f>
        <v/>
      </c>
      <c r="V102">
        <f>HYPERLINK("https://klasma.github.io/Logging_0581/klagomål/A 21749-2025 FSC-klagomål.docx", "A 21749-2025")</f>
        <v/>
      </c>
      <c r="W102">
        <f>HYPERLINK("https://klasma.github.io/Logging_0581/klagomålsmail/A 21749-2025 FSC-klagomål mail.docx", "A 21749-2025")</f>
        <v/>
      </c>
      <c r="X102">
        <f>HYPERLINK("https://klasma.github.io/Logging_0581/tillsyn/A 21749-2025 tillsynsbegäran.docx", "A 21749-2025")</f>
        <v/>
      </c>
      <c r="Y102">
        <f>HYPERLINK("https://klasma.github.io/Logging_0581/tillsynsmail/A 21749-2025 tillsynsbegäran mail.docx", "A 21749-2025")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45947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45947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45947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45947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45947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45947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45947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45947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45947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45947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45947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45947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45947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45947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45947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45947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45947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45947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45947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45947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45947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45947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45947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45947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45947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3040-2021</t>
        </is>
      </c>
      <c r="B128" s="1" t="n">
        <v>44216</v>
      </c>
      <c r="C128" s="1" t="n">
        <v>45947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64549-2020</t>
        </is>
      </c>
      <c r="B129" s="1" t="n">
        <v>44169</v>
      </c>
      <c r="C129" s="1" t="n">
        <v>45947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64576-2020</t>
        </is>
      </c>
      <c r="B130" s="1" t="n">
        <v>44169</v>
      </c>
      <c r="C130" s="1" t="n">
        <v>45947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10597-2021</t>
        </is>
      </c>
      <c r="B131" s="1" t="n">
        <v>44258</v>
      </c>
      <c r="C131" s="1" t="n">
        <v>45947</v>
      </c>
      <c r="D131" t="inlineStr">
        <is>
          <t>ÖSTERGÖTLANDS LÄN</t>
        </is>
      </c>
      <c r="E131" t="inlineStr">
        <is>
          <t>NORRKÖPING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32000-2021</t>
        </is>
      </c>
      <c r="B132" s="1" t="n">
        <v>44370</v>
      </c>
      <c r="C132" s="1" t="n">
        <v>45947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45381-2021</t>
        </is>
      </c>
      <c r="B133" s="1" t="n">
        <v>44440</v>
      </c>
      <c r="C133" s="1" t="n">
        <v>45947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62771-2021</t>
        </is>
      </c>
      <c r="B134" s="1" t="n">
        <v>44503</v>
      </c>
      <c r="C134" s="1" t="n">
        <v>45947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Allmännings- och besparingsskogar</t>
        </is>
      </c>
      <c r="G134" t="n">
        <v>6.6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31269-2021</t>
        </is>
      </c>
      <c r="B135" s="1" t="n">
        <v>44368</v>
      </c>
      <c r="C135" s="1" t="n">
        <v>45947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47899-2021</t>
        </is>
      </c>
      <c r="B136" s="1" t="n">
        <v>44448</v>
      </c>
      <c r="C136" s="1" t="n">
        <v>45947</v>
      </c>
      <c r="D136" t="inlineStr">
        <is>
          <t>ÖSTERGÖTLANDS LÄN</t>
        </is>
      </c>
      <c r="E136" t="inlineStr">
        <is>
          <t>NORRKÖPING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18549-2021</t>
        </is>
      </c>
      <c r="B137" s="1" t="n">
        <v>44306</v>
      </c>
      <c r="C137" s="1" t="n">
        <v>45947</v>
      </c>
      <c r="D137" t="inlineStr">
        <is>
          <t>ÖSTERGÖTLANDS LÄN</t>
        </is>
      </c>
      <c r="E137" t="inlineStr">
        <is>
          <t>NORRKÖPING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45947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45947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45947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45947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45947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45947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45947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45947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45947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45947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45947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59765-2021</t>
        </is>
      </c>
      <c r="B149" s="1" t="n">
        <v>44494</v>
      </c>
      <c r="C149" s="1" t="n">
        <v>45947</v>
      </c>
      <c r="D149" t="inlineStr">
        <is>
          <t>ÖSTERGÖTLANDS LÄN</t>
        </is>
      </c>
      <c r="E149" t="inlineStr">
        <is>
          <t>NORRKÖPING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45947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45947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24766-2021</t>
        </is>
      </c>
      <c r="B152" s="1" t="n">
        <v>44340</v>
      </c>
      <c r="C152" s="1" t="n">
        <v>45947</v>
      </c>
      <c r="D152" t="inlineStr">
        <is>
          <t>ÖSTERGÖTLANDS LÄN</t>
        </is>
      </c>
      <c r="E152" t="inlineStr">
        <is>
          <t>NORRKÖPING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23569-2021</t>
        </is>
      </c>
      <c r="B153" s="1" t="n">
        <v>44333</v>
      </c>
      <c r="C153" s="1" t="n">
        <v>45947</v>
      </c>
      <c r="D153" t="inlineStr">
        <is>
          <t>ÖSTERGÖTLANDS LÄN</t>
        </is>
      </c>
      <c r="E153" t="inlineStr">
        <is>
          <t>NORRKÖPING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16417-2022</t>
        </is>
      </c>
      <c r="B154" s="1" t="n">
        <v>44671</v>
      </c>
      <c r="C154" s="1" t="n">
        <v>45947</v>
      </c>
      <c r="D154" t="inlineStr">
        <is>
          <t>ÖSTERGÖTLANDS LÄN</t>
        </is>
      </c>
      <c r="E154" t="inlineStr">
        <is>
          <t>NORRKÖPING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22463-2022</t>
        </is>
      </c>
      <c r="B155" s="1" t="n">
        <v>44713</v>
      </c>
      <c r="C155" s="1" t="n">
        <v>45947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45947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45947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45947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45947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45947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45947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45947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55488-2021</t>
        </is>
      </c>
      <c r="B163" s="1" t="n">
        <v>44475</v>
      </c>
      <c r="C163" s="1" t="n">
        <v>45947</v>
      </c>
      <c r="D163" t="inlineStr">
        <is>
          <t>ÖSTERGÖTLANDS LÄN</t>
        </is>
      </c>
      <c r="E163" t="inlineStr">
        <is>
          <t>NORRKÖPING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55494-2021</t>
        </is>
      </c>
      <c r="B164" s="1" t="n">
        <v>44475</v>
      </c>
      <c r="C164" s="1" t="n">
        <v>45947</v>
      </c>
      <c r="D164" t="inlineStr">
        <is>
          <t>ÖSTERGÖTLANDS LÄN</t>
        </is>
      </c>
      <c r="E164" t="inlineStr">
        <is>
          <t>NORRKÖPING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36898-2021</t>
        </is>
      </c>
      <c r="B165" s="1" t="n">
        <v>44393</v>
      </c>
      <c r="C165" s="1" t="n">
        <v>45947</v>
      </c>
      <c r="D165" t="inlineStr">
        <is>
          <t>ÖSTERGÖTLANDS LÄN</t>
        </is>
      </c>
      <c r="E165" t="inlineStr">
        <is>
          <t>NORRKÖPING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13163-2021</t>
        </is>
      </c>
      <c r="B166" s="1" t="n">
        <v>44272</v>
      </c>
      <c r="C166" s="1" t="n">
        <v>45947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45947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45947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45947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53728-2020</t>
        </is>
      </c>
      <c r="B170" s="1" t="n">
        <v>44124.63679398148</v>
      </c>
      <c r="C170" s="1" t="n">
        <v>45947</v>
      </c>
      <c r="D170" t="inlineStr">
        <is>
          <t>ÖSTERGÖTLANDS LÄN</t>
        </is>
      </c>
      <c r="E170" t="inlineStr">
        <is>
          <t>NORRKÖPING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45947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45947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45947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45947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45947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45947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45947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19827-2021</t>
        </is>
      </c>
      <c r="B178" s="1" t="n">
        <v>44313</v>
      </c>
      <c r="C178" s="1" t="n">
        <v>45947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17633-2021</t>
        </is>
      </c>
      <c r="B179" s="1" t="n">
        <v>44300</v>
      </c>
      <c r="C179" s="1" t="n">
        <v>45947</v>
      </c>
      <c r="D179" t="inlineStr">
        <is>
          <t>ÖSTERGÖTLANDS LÄN</t>
        </is>
      </c>
      <c r="E179" t="inlineStr">
        <is>
          <t>NORRKÖPING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17636-2021</t>
        </is>
      </c>
      <c r="B180" s="1" t="n">
        <v>44300</v>
      </c>
      <c r="C180" s="1" t="n">
        <v>45947</v>
      </c>
      <c r="D180" t="inlineStr">
        <is>
          <t>ÖSTERGÖTLANDS LÄN</t>
        </is>
      </c>
      <c r="E180" t="inlineStr">
        <is>
          <t>NORRKÖPING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62574-2021</t>
        </is>
      </c>
      <c r="B181" s="1" t="n">
        <v>44503</v>
      </c>
      <c r="C181" s="1" t="n">
        <v>45947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45947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45947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45947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53366-2022</t>
        </is>
      </c>
      <c r="B185" s="1" t="n">
        <v>44879.39153935185</v>
      </c>
      <c r="C185" s="1" t="n">
        <v>45947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Allmännings- och besparingsskogar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50306-2021</t>
        </is>
      </c>
      <c r="B186" s="1" t="n">
        <v>44459</v>
      </c>
      <c r="C186" s="1" t="n">
        <v>45947</v>
      </c>
      <c r="D186" t="inlineStr">
        <is>
          <t>ÖSTERGÖTLANDS LÄN</t>
        </is>
      </c>
      <c r="E186" t="inlineStr">
        <is>
          <t>NORRKÖPING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45947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45947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18009-2021</t>
        </is>
      </c>
      <c r="B189" s="1" t="n">
        <v>44302</v>
      </c>
      <c r="C189" s="1" t="n">
        <v>45947</v>
      </c>
      <c r="D189" t="inlineStr">
        <is>
          <t>ÖSTERGÖTLANDS LÄN</t>
        </is>
      </c>
      <c r="E189" t="inlineStr">
        <is>
          <t>NORRKÖPING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25280-2022</t>
        </is>
      </c>
      <c r="B190" s="1" t="n">
        <v>44730</v>
      </c>
      <c r="C190" s="1" t="n">
        <v>45947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Allmännings- och besparingsskogar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27708-2021</t>
        </is>
      </c>
      <c r="B191" s="1" t="n">
        <v>44354.45140046296</v>
      </c>
      <c r="C191" s="1" t="n">
        <v>45947</v>
      </c>
      <c r="D191" t="inlineStr">
        <is>
          <t>ÖSTERGÖTLANDS LÄN</t>
        </is>
      </c>
      <c r="E191" t="inlineStr">
        <is>
          <t>NORRKÖPING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9278-2021</t>
        </is>
      </c>
      <c r="B192" s="1" t="n">
        <v>44249</v>
      </c>
      <c r="C192" s="1" t="n">
        <v>45947</v>
      </c>
      <c r="D192" t="inlineStr">
        <is>
          <t>ÖSTERGÖTLANDS LÄN</t>
        </is>
      </c>
      <c r="E192" t="inlineStr">
        <is>
          <t>NORRKÖPING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25951-2021</t>
        </is>
      </c>
      <c r="B193" s="1" t="n">
        <v>44344.49251157408</v>
      </c>
      <c r="C193" s="1" t="n">
        <v>45947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Holmen skog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30236-2021</t>
        </is>
      </c>
      <c r="B194" s="1" t="n">
        <v>44363</v>
      </c>
      <c r="C194" s="1" t="n">
        <v>45947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29871-2021</t>
        </is>
      </c>
      <c r="B195" s="1" t="n">
        <v>44362</v>
      </c>
      <c r="C195" s="1" t="n">
        <v>45947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Holmen skog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1687-2022</t>
        </is>
      </c>
      <c r="B196" s="1" t="n">
        <v>44574</v>
      </c>
      <c r="C196" s="1" t="n">
        <v>45947</v>
      </c>
      <c r="D196" t="inlineStr">
        <is>
          <t>ÖSTERGÖTLANDS LÄN</t>
        </is>
      </c>
      <c r="E196" t="inlineStr">
        <is>
          <t>NORRKÖPING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19785-2021</t>
        </is>
      </c>
      <c r="B197" s="1" t="n">
        <v>44313</v>
      </c>
      <c r="C197" s="1" t="n">
        <v>45947</v>
      </c>
      <c r="D197" t="inlineStr">
        <is>
          <t>ÖSTERGÖTLANDS LÄN</t>
        </is>
      </c>
      <c r="E197" t="inlineStr">
        <is>
          <t>NORRKÖPING</t>
        </is>
      </c>
      <c r="F197" t="inlineStr">
        <is>
          <t>Holmen skog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18454-2022</t>
        </is>
      </c>
      <c r="B198" s="1" t="n">
        <v>44686</v>
      </c>
      <c r="C198" s="1" t="n">
        <v>45947</v>
      </c>
      <c r="D198" t="inlineStr">
        <is>
          <t>ÖSTERGÖTLANDS LÄN</t>
        </is>
      </c>
      <c r="E198" t="inlineStr">
        <is>
          <t>NORRKÖPING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6868-2022</t>
        </is>
      </c>
      <c r="B199" s="1" t="n">
        <v>44602</v>
      </c>
      <c r="C199" s="1" t="n">
        <v>45947</v>
      </c>
      <c r="D199" t="inlineStr">
        <is>
          <t>ÖSTERGÖTLANDS LÄN</t>
        </is>
      </c>
      <c r="E199" t="inlineStr">
        <is>
          <t>NORRKÖPING</t>
        </is>
      </c>
      <c r="F199" t="inlineStr">
        <is>
          <t>Holmen skog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2169-2022</t>
        </is>
      </c>
      <c r="B200" s="1" t="n">
        <v>44578</v>
      </c>
      <c r="C200" s="1" t="n">
        <v>45947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BillerudKorsnäs AB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22489-2021</t>
        </is>
      </c>
      <c r="B201" s="1" t="n">
        <v>44326</v>
      </c>
      <c r="C201" s="1" t="n">
        <v>45947</v>
      </c>
      <c r="D201" t="inlineStr">
        <is>
          <t>ÖSTERGÖTLANDS LÄN</t>
        </is>
      </c>
      <c r="E201" t="inlineStr">
        <is>
          <t>NORRKÖPING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22492-2021</t>
        </is>
      </c>
      <c r="B202" s="1" t="n">
        <v>44326</v>
      </c>
      <c r="C202" s="1" t="n">
        <v>45947</v>
      </c>
      <c r="D202" t="inlineStr">
        <is>
          <t>ÖSTERGÖTLANDS LÄN</t>
        </is>
      </c>
      <c r="E202" t="inlineStr">
        <is>
          <t>NORRKÖPING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22493-2021</t>
        </is>
      </c>
      <c r="B203" s="1" t="n">
        <v>44326</v>
      </c>
      <c r="C203" s="1" t="n">
        <v>45947</v>
      </c>
      <c r="D203" t="inlineStr">
        <is>
          <t>ÖSTERGÖTLANDS LÄN</t>
        </is>
      </c>
      <c r="E203" t="inlineStr">
        <is>
          <t>NORRKÖPING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12685-2021</t>
        </is>
      </c>
      <c r="B204" s="1" t="n">
        <v>44270</v>
      </c>
      <c r="C204" s="1" t="n">
        <v>45947</v>
      </c>
      <c r="D204" t="inlineStr">
        <is>
          <t>ÖSTERGÖTLANDS LÄN</t>
        </is>
      </c>
      <c r="E204" t="inlineStr">
        <is>
          <t>NORRKÖPING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56032-2022</t>
        </is>
      </c>
      <c r="B205" s="1" t="n">
        <v>44889.55255787037</v>
      </c>
      <c r="C205" s="1" t="n">
        <v>45947</v>
      </c>
      <c r="D205" t="inlineStr">
        <is>
          <t>ÖSTERGÖTLANDS LÄN</t>
        </is>
      </c>
      <c r="E205" t="inlineStr">
        <is>
          <t>NORRKÖPING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22886-2021</t>
        </is>
      </c>
      <c r="B206" s="1" t="n">
        <v>44328</v>
      </c>
      <c r="C206" s="1" t="n">
        <v>45947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54958-2022</t>
        </is>
      </c>
      <c r="B207" s="1" t="n">
        <v>44886.47697916667</v>
      </c>
      <c r="C207" s="1" t="n">
        <v>45947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48492-2021</t>
        </is>
      </c>
      <c r="B208" s="1" t="n">
        <v>44452</v>
      </c>
      <c r="C208" s="1" t="n">
        <v>45947</v>
      </c>
      <c r="D208" t="inlineStr">
        <is>
          <t>ÖSTERGÖTLANDS LÄN</t>
        </is>
      </c>
      <c r="E208" t="inlineStr">
        <is>
          <t>NORRKÖPING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30232-2021</t>
        </is>
      </c>
      <c r="B209" s="1" t="n">
        <v>44363</v>
      </c>
      <c r="C209" s="1" t="n">
        <v>45947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48230-2021</t>
        </is>
      </c>
      <c r="B210" s="1" t="n">
        <v>44449</v>
      </c>
      <c r="C210" s="1" t="n">
        <v>45947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Allmännings- och besparingsskogar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40910-2022</t>
        </is>
      </c>
      <c r="B211" s="1" t="n">
        <v>44825</v>
      </c>
      <c r="C211" s="1" t="n">
        <v>45947</v>
      </c>
      <c r="D211" t="inlineStr">
        <is>
          <t>ÖSTERGÖTLANDS LÄN</t>
        </is>
      </c>
      <c r="E211" t="inlineStr">
        <is>
          <t>NORRKÖPING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24498-2022</t>
        </is>
      </c>
      <c r="B212" s="1" t="n">
        <v>44726</v>
      </c>
      <c r="C212" s="1" t="n">
        <v>45947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Allmännings- och besparingsskogar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29128-2021</t>
        </is>
      </c>
      <c r="B213" s="1" t="n">
        <v>44358</v>
      </c>
      <c r="C213" s="1" t="n">
        <v>45947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26497-2021</t>
        </is>
      </c>
      <c r="B214" s="1" t="n">
        <v>44348</v>
      </c>
      <c r="C214" s="1" t="n">
        <v>45947</v>
      </c>
      <c r="D214" t="inlineStr">
        <is>
          <t>ÖSTERGÖTLANDS LÄN</t>
        </is>
      </c>
      <c r="E214" t="inlineStr">
        <is>
          <t>NORRKÖPING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30056-2022</t>
        </is>
      </c>
      <c r="B215" s="1" t="n">
        <v>44756</v>
      </c>
      <c r="C215" s="1" t="n">
        <v>45947</v>
      </c>
      <c r="D215" t="inlineStr">
        <is>
          <t>ÖSTERGÖTLANDS LÄN</t>
        </is>
      </c>
      <c r="E215" t="inlineStr">
        <is>
          <t>NORRKÖPING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58093-2021</t>
        </is>
      </c>
      <c r="B216" s="1" t="n">
        <v>44487</v>
      </c>
      <c r="C216" s="1" t="n">
        <v>45947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53500-2022</t>
        </is>
      </c>
      <c r="B217" s="1" t="n">
        <v>44874</v>
      </c>
      <c r="C217" s="1" t="n">
        <v>45947</v>
      </c>
      <c r="D217" t="inlineStr">
        <is>
          <t>ÖSTERGÖTLANDS LÄN</t>
        </is>
      </c>
      <c r="E217" t="inlineStr">
        <is>
          <t>NORRKÖPING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3578-2021</t>
        </is>
      </c>
      <c r="B218" s="1" t="n">
        <v>44219</v>
      </c>
      <c r="C218" s="1" t="n">
        <v>45947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63102-2020</t>
        </is>
      </c>
      <c r="B219" s="1" t="n">
        <v>44162</v>
      </c>
      <c r="C219" s="1" t="n">
        <v>45947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5725-2022</t>
        </is>
      </c>
      <c r="B220" s="1" t="n">
        <v>44596</v>
      </c>
      <c r="C220" s="1" t="n">
        <v>45947</v>
      </c>
      <c r="D220" t="inlineStr">
        <is>
          <t>ÖSTERGÖTLANDS LÄN</t>
        </is>
      </c>
      <c r="E220" t="inlineStr">
        <is>
          <t>NORRKÖPING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53444-2021</t>
        </is>
      </c>
      <c r="B221" s="1" t="n">
        <v>44468</v>
      </c>
      <c r="C221" s="1" t="n">
        <v>45947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56528-2020</t>
        </is>
      </c>
      <c r="B222" s="1" t="n">
        <v>44137</v>
      </c>
      <c r="C222" s="1" t="n">
        <v>45947</v>
      </c>
      <c r="D222" t="inlineStr">
        <is>
          <t>ÖSTERGÖTLANDS LÄN</t>
        </is>
      </c>
      <c r="E222" t="inlineStr">
        <is>
          <t>NORRKÖPING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56530-2020</t>
        </is>
      </c>
      <c r="B223" s="1" t="n">
        <v>44137</v>
      </c>
      <c r="C223" s="1" t="n">
        <v>45947</v>
      </c>
      <c r="D223" t="inlineStr">
        <is>
          <t>ÖSTERGÖTLANDS LÄN</t>
        </is>
      </c>
      <c r="E223" t="inlineStr">
        <is>
          <t>NORRKÖPING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43270-2021</t>
        </is>
      </c>
      <c r="B224" s="1" t="n">
        <v>44432</v>
      </c>
      <c r="C224" s="1" t="n">
        <v>45947</v>
      </c>
      <c r="D224" t="inlineStr">
        <is>
          <t>ÖSTERGÖTLANDS LÄN</t>
        </is>
      </c>
      <c r="E224" t="inlineStr">
        <is>
          <t>NORRKÖPING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1217-2021</t>
        </is>
      </c>
      <c r="B225" s="1" t="n">
        <v>44208</v>
      </c>
      <c r="C225" s="1" t="n">
        <v>45947</v>
      </c>
      <c r="D225" t="inlineStr">
        <is>
          <t>ÖSTERGÖTLANDS LÄN</t>
        </is>
      </c>
      <c r="E225" t="inlineStr">
        <is>
          <t>NORRKÖPING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9764-2021</t>
        </is>
      </c>
      <c r="B226" s="1" t="n">
        <v>44252</v>
      </c>
      <c r="C226" s="1" t="n">
        <v>45947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Allmännings- och besparingsskogar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45947-2021</t>
        </is>
      </c>
      <c r="B227" s="1" t="n">
        <v>44441</v>
      </c>
      <c r="C227" s="1" t="n">
        <v>45947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3164-2022</t>
        </is>
      </c>
      <c r="B228" s="1" t="n">
        <v>44582</v>
      </c>
      <c r="C228" s="1" t="n">
        <v>45947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26929-2022</t>
        </is>
      </c>
      <c r="B229" s="1" t="n">
        <v>44740</v>
      </c>
      <c r="C229" s="1" t="n">
        <v>45947</v>
      </c>
      <c r="D229" t="inlineStr">
        <is>
          <t>ÖSTERGÖTLANDS LÄN</t>
        </is>
      </c>
      <c r="E229" t="inlineStr">
        <is>
          <t>NORRKÖPING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48591-2021</t>
        </is>
      </c>
      <c r="B230" s="1" t="n">
        <v>44452</v>
      </c>
      <c r="C230" s="1" t="n">
        <v>45947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11404-2022</t>
        </is>
      </c>
      <c r="B231" s="1" t="n">
        <v>44630</v>
      </c>
      <c r="C231" s="1" t="n">
        <v>45947</v>
      </c>
      <c r="D231" t="inlineStr">
        <is>
          <t>ÖSTERGÖTLANDS LÄN</t>
        </is>
      </c>
      <c r="E231" t="inlineStr">
        <is>
          <t>NORRKÖPING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40975-2022</t>
        </is>
      </c>
      <c r="B232" s="1" t="n">
        <v>44825</v>
      </c>
      <c r="C232" s="1" t="n">
        <v>45947</v>
      </c>
      <c r="D232" t="inlineStr">
        <is>
          <t>ÖSTERGÖTLANDS LÄN</t>
        </is>
      </c>
      <c r="E232" t="inlineStr">
        <is>
          <t>NORRKÖPING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13275-2021</t>
        </is>
      </c>
      <c r="B233" s="1" t="n">
        <v>44272</v>
      </c>
      <c r="C233" s="1" t="n">
        <v>45947</v>
      </c>
      <c r="D233" t="inlineStr">
        <is>
          <t>ÖSTERGÖTLANDS LÄN</t>
        </is>
      </c>
      <c r="E233" t="inlineStr">
        <is>
          <t>NORRKÖPING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27179-2022</t>
        </is>
      </c>
      <c r="B234" s="1" t="n">
        <v>44741.57063657408</v>
      </c>
      <c r="C234" s="1" t="n">
        <v>45947</v>
      </c>
      <c r="D234" t="inlineStr">
        <is>
          <t>ÖSTERGÖTLANDS LÄN</t>
        </is>
      </c>
      <c r="E234" t="inlineStr">
        <is>
          <t>NORRKÖPING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56331-2022</t>
        </is>
      </c>
      <c r="B235" s="1" t="n">
        <v>44890</v>
      </c>
      <c r="C235" s="1" t="n">
        <v>45947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14480-2021</t>
        </is>
      </c>
      <c r="B236" s="1" t="n">
        <v>44279</v>
      </c>
      <c r="C236" s="1" t="n">
        <v>45947</v>
      </c>
      <c r="D236" t="inlineStr">
        <is>
          <t>ÖSTERGÖTLANDS LÄN</t>
        </is>
      </c>
      <c r="E236" t="inlineStr">
        <is>
          <t>NORRKÖPING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45309-2023</t>
        </is>
      </c>
      <c r="B237" s="1" t="n">
        <v>45191</v>
      </c>
      <c r="C237" s="1" t="n">
        <v>45947</v>
      </c>
      <c r="D237" t="inlineStr">
        <is>
          <t>ÖSTERGÖTLANDS LÄN</t>
        </is>
      </c>
      <c r="E237" t="inlineStr">
        <is>
          <t>NORRKÖPING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64366-2020</t>
        </is>
      </c>
      <c r="B238" s="1" t="n">
        <v>44168</v>
      </c>
      <c r="C238" s="1" t="n">
        <v>45947</v>
      </c>
      <c r="D238" t="inlineStr">
        <is>
          <t>ÖSTERGÖTLANDS LÄN</t>
        </is>
      </c>
      <c r="E238" t="inlineStr">
        <is>
          <t>NORRKÖPING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16949-2023</t>
        </is>
      </c>
      <c r="B239" s="1" t="n">
        <v>45033</v>
      </c>
      <c r="C239" s="1" t="n">
        <v>45947</v>
      </c>
      <c r="D239" t="inlineStr">
        <is>
          <t>ÖSTERGÖTLANDS LÄN</t>
        </is>
      </c>
      <c r="E239" t="inlineStr">
        <is>
          <t>NORRKÖPING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70378-2021</t>
        </is>
      </c>
      <c r="B240" s="1" t="n">
        <v>44536</v>
      </c>
      <c r="C240" s="1" t="n">
        <v>45947</v>
      </c>
      <c r="D240" t="inlineStr">
        <is>
          <t>ÖSTERGÖTLANDS LÄN</t>
        </is>
      </c>
      <c r="E240" t="inlineStr">
        <is>
          <t>NORRKÖPING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46580-2021</t>
        </is>
      </c>
      <c r="B241" s="1" t="n">
        <v>44445</v>
      </c>
      <c r="C241" s="1" t="n">
        <v>45947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74113-2021</t>
        </is>
      </c>
      <c r="B242" s="1" t="n">
        <v>44557</v>
      </c>
      <c r="C242" s="1" t="n">
        <v>45947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5868-2022</t>
        </is>
      </c>
      <c r="B243" s="1" t="n">
        <v>44596</v>
      </c>
      <c r="C243" s="1" t="n">
        <v>45947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1506-2022</t>
        </is>
      </c>
      <c r="B244" s="1" t="n">
        <v>44573</v>
      </c>
      <c r="C244" s="1" t="n">
        <v>45947</v>
      </c>
      <c r="D244" t="inlineStr">
        <is>
          <t>ÖSTERGÖTLANDS LÄN</t>
        </is>
      </c>
      <c r="E244" t="inlineStr">
        <is>
          <t>NORRKÖPING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17327-2024</t>
        </is>
      </c>
      <c r="B245" s="1" t="n">
        <v>45414.5519212963</v>
      </c>
      <c r="C245" s="1" t="n">
        <v>45947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26398-2023</t>
        </is>
      </c>
      <c r="B246" s="1" t="n">
        <v>45092.36126157407</v>
      </c>
      <c r="C246" s="1" t="n">
        <v>45947</v>
      </c>
      <c r="D246" t="inlineStr">
        <is>
          <t>ÖSTERGÖTLANDS LÄN</t>
        </is>
      </c>
      <c r="E246" t="inlineStr">
        <is>
          <t>NORRKÖPING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51419-2022</t>
        </is>
      </c>
      <c r="B247" s="1" t="n">
        <v>44869.4575</v>
      </c>
      <c r="C247" s="1" t="n">
        <v>45947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Holmen skog AB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22307-2025</t>
        </is>
      </c>
      <c r="B248" s="1" t="n">
        <v>45786.36358796297</v>
      </c>
      <c r="C248" s="1" t="n">
        <v>45947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1884-2025</t>
        </is>
      </c>
      <c r="B249" s="1" t="n">
        <v>45671.62931712963</v>
      </c>
      <c r="C249" s="1" t="n">
        <v>45947</v>
      </c>
      <c r="D249" t="inlineStr">
        <is>
          <t>ÖSTERGÖTLANDS LÄN</t>
        </is>
      </c>
      <c r="E249" t="inlineStr">
        <is>
          <t>NORRKÖPING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11136-2025</t>
        </is>
      </c>
      <c r="B250" s="1" t="n">
        <v>45723.65960648148</v>
      </c>
      <c r="C250" s="1" t="n">
        <v>45947</v>
      </c>
      <c r="D250" t="inlineStr">
        <is>
          <t>ÖSTERGÖTLANDS LÄN</t>
        </is>
      </c>
      <c r="E250" t="inlineStr">
        <is>
          <t>NORRKÖPING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39232-2024</t>
        </is>
      </c>
      <c r="B251" s="1" t="n">
        <v>45550.68804398148</v>
      </c>
      <c r="C251" s="1" t="n">
        <v>45947</v>
      </c>
      <c r="D251" t="inlineStr">
        <is>
          <t>ÖSTERGÖTLANDS LÄN</t>
        </is>
      </c>
      <c r="E251" t="inlineStr">
        <is>
          <t>NORRKÖPING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47484-2024</t>
        </is>
      </c>
      <c r="B252" s="1" t="n">
        <v>45587.58498842592</v>
      </c>
      <c r="C252" s="1" t="n">
        <v>45947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8426-2025</t>
        </is>
      </c>
      <c r="B253" s="1" t="n">
        <v>45709.4119212963</v>
      </c>
      <c r="C253" s="1" t="n">
        <v>45947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Holmen skog AB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23366-2024</t>
        </is>
      </c>
      <c r="B254" s="1" t="n">
        <v>45453.54733796296</v>
      </c>
      <c r="C254" s="1" t="n">
        <v>45947</v>
      </c>
      <c r="D254" t="inlineStr">
        <is>
          <t>ÖSTERGÖTLANDS LÄN</t>
        </is>
      </c>
      <c r="E254" t="inlineStr">
        <is>
          <t>NORRKÖPING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23368-2024</t>
        </is>
      </c>
      <c r="B255" s="1" t="n">
        <v>45453.55123842593</v>
      </c>
      <c r="C255" s="1" t="n">
        <v>45947</v>
      </c>
      <c r="D255" t="inlineStr">
        <is>
          <t>ÖSTERGÖTLANDS LÄN</t>
        </is>
      </c>
      <c r="E255" t="inlineStr">
        <is>
          <t>NORRKÖPING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15869-2024</t>
        </is>
      </c>
      <c r="B256" s="1" t="n">
        <v>45405</v>
      </c>
      <c r="C256" s="1" t="n">
        <v>45947</v>
      </c>
      <c r="D256" t="inlineStr">
        <is>
          <t>ÖSTERGÖTLANDS LÄN</t>
        </is>
      </c>
      <c r="E256" t="inlineStr">
        <is>
          <t>NORRKÖPING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11767-2025</t>
        </is>
      </c>
      <c r="B257" s="1" t="n">
        <v>45727.6683449074</v>
      </c>
      <c r="C257" s="1" t="n">
        <v>45947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37700-2023</t>
        </is>
      </c>
      <c r="B258" s="1" t="n">
        <v>45159</v>
      </c>
      <c r="C258" s="1" t="n">
        <v>45947</v>
      </c>
      <c r="D258" t="inlineStr">
        <is>
          <t>ÖSTERGÖTLANDS LÄN</t>
        </is>
      </c>
      <c r="E258" t="inlineStr">
        <is>
          <t>NORRKÖPING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22439-2025</t>
        </is>
      </c>
      <c r="B259" s="1" t="n">
        <v>45786</v>
      </c>
      <c r="C259" s="1" t="n">
        <v>45947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Naturvårdsverket</t>
        </is>
      </c>
      <c r="G259" t="n">
        <v>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19702-2024</t>
        </is>
      </c>
      <c r="B260" s="1" t="n">
        <v>45432.54622685185</v>
      </c>
      <c r="C260" s="1" t="n">
        <v>45947</v>
      </c>
      <c r="D260" t="inlineStr">
        <is>
          <t>ÖSTERGÖTLANDS LÄN</t>
        </is>
      </c>
      <c r="E260" t="inlineStr">
        <is>
          <t>NORRKÖPING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22613-2025</t>
        </is>
      </c>
      <c r="B261" s="1" t="n">
        <v>45789.42597222222</v>
      </c>
      <c r="C261" s="1" t="n">
        <v>45947</v>
      </c>
      <c r="D261" t="inlineStr">
        <is>
          <t>ÖSTERGÖTLANDS LÄN</t>
        </is>
      </c>
      <c r="E261" t="inlineStr">
        <is>
          <t>NORRKÖPING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62475-2023</t>
        </is>
      </c>
      <c r="B262" s="1" t="n">
        <v>45268</v>
      </c>
      <c r="C262" s="1" t="n">
        <v>45947</v>
      </c>
      <c r="D262" t="inlineStr">
        <is>
          <t>ÖSTERGÖTLANDS LÄN</t>
        </is>
      </c>
      <c r="E262" t="inlineStr">
        <is>
          <t>NORRKÖPING</t>
        </is>
      </c>
      <c r="G262" t="n">
        <v>12.5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421-2022</t>
        </is>
      </c>
      <c r="B263" s="1" t="n">
        <v>44565</v>
      </c>
      <c r="C263" s="1" t="n">
        <v>45947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9.300000000000001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2288-2024</t>
        </is>
      </c>
      <c r="B264" s="1" t="n">
        <v>45310.41982638889</v>
      </c>
      <c r="C264" s="1" t="n">
        <v>45947</v>
      </c>
      <c r="D264" t="inlineStr">
        <is>
          <t>ÖSTERGÖTLANDS LÄN</t>
        </is>
      </c>
      <c r="E264" t="inlineStr">
        <is>
          <t>NORRKÖPING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3116-2022</t>
        </is>
      </c>
      <c r="B265" s="1" t="n">
        <v>44582</v>
      </c>
      <c r="C265" s="1" t="n">
        <v>45947</v>
      </c>
      <c r="D265" t="inlineStr">
        <is>
          <t>ÖSTERGÖTLANDS LÄN</t>
        </is>
      </c>
      <c r="E265" t="inlineStr">
        <is>
          <t>NORRKÖPING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18650-2023</t>
        </is>
      </c>
      <c r="B266" s="1" t="n">
        <v>45043.53597222222</v>
      </c>
      <c r="C266" s="1" t="n">
        <v>45947</v>
      </c>
      <c r="D266" t="inlineStr">
        <is>
          <t>ÖSTERGÖTLANDS LÄN</t>
        </is>
      </c>
      <c r="E266" t="inlineStr">
        <is>
          <t>NORRKÖPING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50117-2023</t>
        </is>
      </c>
      <c r="B267" s="1" t="n">
        <v>45215.63818287037</v>
      </c>
      <c r="C267" s="1" t="n">
        <v>45947</v>
      </c>
      <c r="D267" t="inlineStr">
        <is>
          <t>ÖSTERGÖTLANDS LÄN</t>
        </is>
      </c>
      <c r="E267" t="inlineStr">
        <is>
          <t>NORRKÖPING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41083-2022</t>
        </is>
      </c>
      <c r="B268" s="1" t="n">
        <v>44825</v>
      </c>
      <c r="C268" s="1" t="n">
        <v>45947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22881-2025</t>
        </is>
      </c>
      <c r="B269" s="1" t="n">
        <v>45790</v>
      </c>
      <c r="C269" s="1" t="n">
        <v>45947</v>
      </c>
      <c r="D269" t="inlineStr">
        <is>
          <t>ÖSTERGÖTLANDS LÄN</t>
        </is>
      </c>
      <c r="E269" t="inlineStr">
        <is>
          <t>NORRKÖPING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50157-2022</t>
        </is>
      </c>
      <c r="B270" s="1" t="n">
        <v>44865</v>
      </c>
      <c r="C270" s="1" t="n">
        <v>45947</v>
      </c>
      <c r="D270" t="inlineStr">
        <is>
          <t>ÖSTERGÖTLANDS LÄN</t>
        </is>
      </c>
      <c r="E270" t="inlineStr">
        <is>
          <t>NORRKÖPING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18705-2023</t>
        </is>
      </c>
      <c r="B271" s="1" t="n">
        <v>45043</v>
      </c>
      <c r="C271" s="1" t="n">
        <v>45947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22956-2023</t>
        </is>
      </c>
      <c r="B272" s="1" t="n">
        <v>45072</v>
      </c>
      <c r="C272" s="1" t="n">
        <v>45947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49799-2022</t>
        </is>
      </c>
      <c r="B273" s="1" t="n">
        <v>44862</v>
      </c>
      <c r="C273" s="1" t="n">
        <v>45947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18667-2023</t>
        </is>
      </c>
      <c r="B274" s="1" t="n">
        <v>45043</v>
      </c>
      <c r="C274" s="1" t="n">
        <v>45947</v>
      </c>
      <c r="D274" t="inlineStr">
        <is>
          <t>ÖSTERGÖTLANDS LÄN</t>
        </is>
      </c>
      <c r="E274" t="inlineStr">
        <is>
          <t>NORRKÖPING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47435-2023</t>
        </is>
      </c>
      <c r="B275" s="1" t="n">
        <v>45202</v>
      </c>
      <c r="C275" s="1" t="n">
        <v>45947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35701-2024</t>
        </is>
      </c>
      <c r="B276" s="1" t="n">
        <v>45532</v>
      </c>
      <c r="C276" s="1" t="n">
        <v>45947</v>
      </c>
      <c r="D276" t="inlineStr">
        <is>
          <t>ÖSTERGÖTLANDS LÄN</t>
        </is>
      </c>
      <c r="E276" t="inlineStr">
        <is>
          <t>NORRKÖPING</t>
        </is>
      </c>
      <c r="G276" t="n">
        <v>11.7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3011-2025</t>
        </is>
      </c>
      <c r="B277" s="1" t="n">
        <v>45678.57045138889</v>
      </c>
      <c r="C277" s="1" t="n">
        <v>45947</v>
      </c>
      <c r="D277" t="inlineStr">
        <is>
          <t>ÖSTERGÖTLANDS LÄN</t>
        </is>
      </c>
      <c r="E277" t="inlineStr">
        <is>
          <t>NORRKÖPING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23452-2025</t>
        </is>
      </c>
      <c r="B278" s="1" t="n">
        <v>45792.42109953704</v>
      </c>
      <c r="C278" s="1" t="n">
        <v>45947</v>
      </c>
      <c r="D278" t="inlineStr">
        <is>
          <t>ÖSTERGÖTLANDS LÄN</t>
        </is>
      </c>
      <c r="E278" t="inlineStr">
        <is>
          <t>NORRKÖPING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23456-2025</t>
        </is>
      </c>
      <c r="B279" s="1" t="n">
        <v>45792.42542824074</v>
      </c>
      <c r="C279" s="1" t="n">
        <v>45947</v>
      </c>
      <c r="D279" t="inlineStr">
        <is>
          <t>ÖSTERGÖTLANDS LÄN</t>
        </is>
      </c>
      <c r="E279" t="inlineStr">
        <is>
          <t>NORRKÖPING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47345-2023</t>
        </is>
      </c>
      <c r="B280" s="1" t="n">
        <v>45202.56994212963</v>
      </c>
      <c r="C280" s="1" t="n">
        <v>45947</v>
      </c>
      <c r="D280" t="inlineStr">
        <is>
          <t>ÖSTERGÖTLANDS LÄN</t>
        </is>
      </c>
      <c r="E280" t="inlineStr">
        <is>
          <t>NORRKÖPING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10393-2024</t>
        </is>
      </c>
      <c r="B281" s="1" t="n">
        <v>45365</v>
      </c>
      <c r="C281" s="1" t="n">
        <v>45947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Kommuner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12727-2022</t>
        </is>
      </c>
      <c r="B282" s="1" t="n">
        <v>44641.78332175926</v>
      </c>
      <c r="C282" s="1" t="n">
        <v>45947</v>
      </c>
      <c r="D282" t="inlineStr">
        <is>
          <t>ÖSTERGÖTLANDS LÄN</t>
        </is>
      </c>
      <c r="E282" t="inlineStr">
        <is>
          <t>NORRKÖPING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43344-2023</t>
        </is>
      </c>
      <c r="B283" s="1" t="n">
        <v>45183.65135416666</v>
      </c>
      <c r="C283" s="1" t="n">
        <v>45947</v>
      </c>
      <c r="D283" t="inlineStr">
        <is>
          <t>ÖSTERGÖTLANDS LÄN</t>
        </is>
      </c>
      <c r="E283" t="inlineStr">
        <is>
          <t>NORRKÖPING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43346-2023</t>
        </is>
      </c>
      <c r="B284" s="1" t="n">
        <v>45183.65233796297</v>
      </c>
      <c r="C284" s="1" t="n">
        <v>45947</v>
      </c>
      <c r="D284" t="inlineStr">
        <is>
          <t>ÖSTERGÖTLANDS LÄN</t>
        </is>
      </c>
      <c r="E284" t="inlineStr">
        <is>
          <t>NORRKÖPING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66381-2020</t>
        </is>
      </c>
      <c r="B285" s="1" t="n">
        <v>44176</v>
      </c>
      <c r="C285" s="1" t="n">
        <v>45947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9941-2024</t>
        </is>
      </c>
      <c r="B286" s="1" t="n">
        <v>45363.58979166667</v>
      </c>
      <c r="C286" s="1" t="n">
        <v>45947</v>
      </c>
      <c r="D286" t="inlineStr">
        <is>
          <t>ÖSTERGÖTLANDS LÄN</t>
        </is>
      </c>
      <c r="E286" t="inlineStr">
        <is>
          <t>NORRKÖPING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3018-2025</t>
        </is>
      </c>
      <c r="B287" s="1" t="n">
        <v>45678.57503472222</v>
      </c>
      <c r="C287" s="1" t="n">
        <v>45947</v>
      </c>
      <c r="D287" t="inlineStr">
        <is>
          <t>ÖSTERGÖTLANDS LÄN</t>
        </is>
      </c>
      <c r="E287" t="inlineStr">
        <is>
          <t>NORRKÖPING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23912-2025</t>
        </is>
      </c>
      <c r="B288" s="1" t="n">
        <v>45794.82583333334</v>
      </c>
      <c r="C288" s="1" t="n">
        <v>45947</v>
      </c>
      <c r="D288" t="inlineStr">
        <is>
          <t>ÖSTERGÖTLANDS LÄN</t>
        </is>
      </c>
      <c r="E288" t="inlineStr">
        <is>
          <t>NORRKÖPING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2287-2025</t>
        </is>
      </c>
      <c r="B289" s="1" t="n">
        <v>45673</v>
      </c>
      <c r="C289" s="1" t="n">
        <v>45947</v>
      </c>
      <c r="D289" t="inlineStr">
        <is>
          <t>ÖSTERGÖTLANDS LÄN</t>
        </is>
      </c>
      <c r="E289" t="inlineStr">
        <is>
          <t>NORRKÖPING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19844-2023</t>
        </is>
      </c>
      <c r="B290" s="1" t="n">
        <v>45053.36554398148</v>
      </c>
      <c r="C290" s="1" t="n">
        <v>45947</v>
      </c>
      <c r="D290" t="inlineStr">
        <is>
          <t>ÖSTERGÖTLANDS LÄN</t>
        </is>
      </c>
      <c r="E290" t="inlineStr">
        <is>
          <t>NORRKÖPING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50678-2023</t>
        </is>
      </c>
      <c r="B291" s="1" t="n">
        <v>45217.51479166667</v>
      </c>
      <c r="C291" s="1" t="n">
        <v>45947</v>
      </c>
      <c r="D291" t="inlineStr">
        <is>
          <t>ÖSTERGÖTLANDS LÄN</t>
        </is>
      </c>
      <c r="E291" t="inlineStr">
        <is>
          <t>NORRKÖPING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58901-2024</t>
        </is>
      </c>
      <c r="B292" s="1" t="n">
        <v>45636.4737962963</v>
      </c>
      <c r="C292" s="1" t="n">
        <v>45947</v>
      </c>
      <c r="D292" t="inlineStr">
        <is>
          <t>ÖSTERGÖTLANDS LÄN</t>
        </is>
      </c>
      <c r="E292" t="inlineStr">
        <is>
          <t>NORRKÖPING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23909-2025</t>
        </is>
      </c>
      <c r="B293" s="1" t="n">
        <v>45794.81975694445</v>
      </c>
      <c r="C293" s="1" t="n">
        <v>45947</v>
      </c>
      <c r="D293" t="inlineStr">
        <is>
          <t>ÖSTERGÖTLANDS LÄN</t>
        </is>
      </c>
      <c r="E293" t="inlineStr">
        <is>
          <t>NORRKÖPING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21767-2024</t>
        </is>
      </c>
      <c r="B294" s="1" t="n">
        <v>45442.6052199074</v>
      </c>
      <c r="C294" s="1" t="n">
        <v>45947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21770-2024</t>
        </is>
      </c>
      <c r="B295" s="1" t="n">
        <v>45442.60829861111</v>
      </c>
      <c r="C295" s="1" t="n">
        <v>45947</v>
      </c>
      <c r="D295" t="inlineStr">
        <is>
          <t>ÖSTERGÖTLANDS LÄN</t>
        </is>
      </c>
      <c r="E295" t="inlineStr">
        <is>
          <t>NORRKÖPING</t>
        </is>
      </c>
      <c r="F295" t="inlineStr">
        <is>
          <t>Holmen skog AB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24049-2025</t>
        </is>
      </c>
      <c r="B296" s="1" t="n">
        <v>45796.49842592593</v>
      </c>
      <c r="C296" s="1" t="n">
        <v>45947</v>
      </c>
      <c r="D296" t="inlineStr">
        <is>
          <t>ÖSTERGÖTLANDS LÄN</t>
        </is>
      </c>
      <c r="E296" t="inlineStr">
        <is>
          <t>NORRKÖPING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13656-2025</t>
        </is>
      </c>
      <c r="B297" s="1" t="n">
        <v>45736.72646990741</v>
      </c>
      <c r="C297" s="1" t="n">
        <v>45947</v>
      </c>
      <c r="D297" t="inlineStr">
        <is>
          <t>ÖSTERGÖTLANDS LÄN</t>
        </is>
      </c>
      <c r="E297" t="inlineStr">
        <is>
          <t>NORRKÖPING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1923-2023</t>
        </is>
      </c>
      <c r="B298" s="1" t="n">
        <v>44936</v>
      </c>
      <c r="C298" s="1" t="n">
        <v>45947</v>
      </c>
      <c r="D298" t="inlineStr">
        <is>
          <t>ÖSTERGÖTLANDS LÄN</t>
        </is>
      </c>
      <c r="E298" t="inlineStr">
        <is>
          <t>NORRKÖPING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2540-2024</t>
        </is>
      </c>
      <c r="B299" s="1" t="n">
        <v>45313</v>
      </c>
      <c r="C299" s="1" t="n">
        <v>45947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9722-2025</t>
        </is>
      </c>
      <c r="B300" s="1" t="n">
        <v>45716.40918981482</v>
      </c>
      <c r="C300" s="1" t="n">
        <v>45947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32648-2023</t>
        </is>
      </c>
      <c r="B301" s="1" t="n">
        <v>45121</v>
      </c>
      <c r="C301" s="1" t="n">
        <v>45947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23954-2025</t>
        </is>
      </c>
      <c r="B302" s="1" t="n">
        <v>45796.36326388889</v>
      </c>
      <c r="C302" s="1" t="n">
        <v>45947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42175-2023</t>
        </is>
      </c>
      <c r="B303" s="1" t="n">
        <v>45178.43909722222</v>
      </c>
      <c r="C303" s="1" t="n">
        <v>45947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36954-2022</t>
        </is>
      </c>
      <c r="B304" s="1" t="n">
        <v>44805</v>
      </c>
      <c r="C304" s="1" t="n">
        <v>45947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Allmännings- och besparingsskogar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60800-2023</t>
        </is>
      </c>
      <c r="B305" s="1" t="n">
        <v>45259</v>
      </c>
      <c r="C305" s="1" t="n">
        <v>45947</v>
      </c>
      <c r="D305" t="inlineStr">
        <is>
          <t>ÖSTERGÖTLANDS LÄN</t>
        </is>
      </c>
      <c r="E305" t="inlineStr">
        <is>
          <t>NORRKÖPING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31882-2023</t>
        </is>
      </c>
      <c r="B306" s="1" t="n">
        <v>45118</v>
      </c>
      <c r="C306" s="1" t="n">
        <v>45947</v>
      </c>
      <c r="D306" t="inlineStr">
        <is>
          <t>ÖSTERGÖTLANDS LÄN</t>
        </is>
      </c>
      <c r="E306" t="inlineStr">
        <is>
          <t>NORRKÖPING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10798-2024</t>
        </is>
      </c>
      <c r="B307" s="1" t="n">
        <v>45369.62108796297</v>
      </c>
      <c r="C307" s="1" t="n">
        <v>45947</v>
      </c>
      <c r="D307" t="inlineStr">
        <is>
          <t>ÖSTERGÖTLANDS LÄN</t>
        </is>
      </c>
      <c r="E307" t="inlineStr">
        <is>
          <t>NORRKÖPING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5938-2024</t>
        </is>
      </c>
      <c r="B308" s="1" t="n">
        <v>45336</v>
      </c>
      <c r="C308" s="1" t="n">
        <v>45947</v>
      </c>
      <c r="D308" t="inlineStr">
        <is>
          <t>ÖSTERGÖTLANDS LÄN</t>
        </is>
      </c>
      <c r="E308" t="inlineStr">
        <is>
          <t>NORRKÖPING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14509-2025</t>
        </is>
      </c>
      <c r="B309" s="1" t="n">
        <v>45741.63417824074</v>
      </c>
      <c r="C309" s="1" t="n">
        <v>45947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Allmännings- och besparingsskogar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26388-2023</t>
        </is>
      </c>
      <c r="B310" s="1" t="n">
        <v>45092</v>
      </c>
      <c r="C310" s="1" t="n">
        <v>45947</v>
      </c>
      <c r="D310" t="inlineStr">
        <is>
          <t>ÖSTERGÖTLANDS LÄN</t>
        </is>
      </c>
      <c r="E310" t="inlineStr">
        <is>
          <t>NORRKÖPING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17714-2023</t>
        </is>
      </c>
      <c r="B311" s="1" t="n">
        <v>45037</v>
      </c>
      <c r="C311" s="1" t="n">
        <v>45947</v>
      </c>
      <c r="D311" t="inlineStr">
        <is>
          <t>ÖSTERGÖTLANDS LÄN</t>
        </is>
      </c>
      <c r="E311" t="inlineStr">
        <is>
          <t>NORRKÖPING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16689-2023</t>
        </is>
      </c>
      <c r="B312" s="1" t="n">
        <v>45030</v>
      </c>
      <c r="C312" s="1" t="n">
        <v>45947</v>
      </c>
      <c r="D312" t="inlineStr">
        <is>
          <t>ÖSTERGÖTLANDS LÄN</t>
        </is>
      </c>
      <c r="E312" t="inlineStr">
        <is>
          <t>NORRKÖPING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55941-2022</t>
        </is>
      </c>
      <c r="B313" s="1" t="n">
        <v>44889</v>
      </c>
      <c r="C313" s="1" t="n">
        <v>45947</v>
      </c>
      <c r="D313" t="inlineStr">
        <is>
          <t>ÖSTERGÖTLANDS LÄN</t>
        </is>
      </c>
      <c r="E313" t="inlineStr">
        <is>
          <t>NORRKÖPING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17248-2024</t>
        </is>
      </c>
      <c r="B314" s="1" t="n">
        <v>45414.3944212963</v>
      </c>
      <c r="C314" s="1" t="n">
        <v>45947</v>
      </c>
      <c r="D314" t="inlineStr">
        <is>
          <t>ÖSTERGÖTLANDS LÄN</t>
        </is>
      </c>
      <c r="E314" t="inlineStr">
        <is>
          <t>NORRKÖPING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16253-2023</t>
        </is>
      </c>
      <c r="B315" s="1" t="n">
        <v>45028</v>
      </c>
      <c r="C315" s="1" t="n">
        <v>45947</v>
      </c>
      <c r="D315" t="inlineStr">
        <is>
          <t>ÖSTERGÖTLANDS LÄN</t>
        </is>
      </c>
      <c r="E315" t="inlineStr">
        <is>
          <t>NORRKÖPING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48091-2023</t>
        </is>
      </c>
      <c r="B316" s="1" t="n">
        <v>45205.3119212963</v>
      </c>
      <c r="C316" s="1" t="n">
        <v>45947</v>
      </c>
      <c r="D316" t="inlineStr">
        <is>
          <t>ÖSTERGÖTLANDS LÄN</t>
        </is>
      </c>
      <c r="E316" t="inlineStr">
        <is>
          <t>NORRKÖPING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48122-2023</t>
        </is>
      </c>
      <c r="B317" s="1" t="n">
        <v>45205.35753472222</v>
      </c>
      <c r="C317" s="1" t="n">
        <v>45947</v>
      </c>
      <c r="D317" t="inlineStr">
        <is>
          <t>ÖSTERGÖTLANDS LÄN</t>
        </is>
      </c>
      <c r="E317" t="inlineStr">
        <is>
          <t>NORRKÖPING</t>
        </is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3910-2025</t>
        </is>
      </c>
      <c r="B318" s="1" t="n">
        <v>45684.41622685185</v>
      </c>
      <c r="C318" s="1" t="n">
        <v>45947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Allmännings- och besparingsskogar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60233-2022</t>
        </is>
      </c>
      <c r="B319" s="1" t="n">
        <v>44910</v>
      </c>
      <c r="C319" s="1" t="n">
        <v>45947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24684-2025</t>
        </is>
      </c>
      <c r="B320" s="1" t="n">
        <v>45798.66228009259</v>
      </c>
      <c r="C320" s="1" t="n">
        <v>45947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67557-2020</t>
        </is>
      </c>
      <c r="B321" s="1" t="n">
        <v>44181</v>
      </c>
      <c r="C321" s="1" t="n">
        <v>45947</v>
      </c>
      <c r="D321" t="inlineStr">
        <is>
          <t>ÖSTERGÖTLANDS LÄN</t>
        </is>
      </c>
      <c r="E321" t="inlineStr">
        <is>
          <t>NORRKÖPING</t>
        </is>
      </c>
      <c r="G321" t="n">
        <v>10.1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17503-2022</t>
        </is>
      </c>
      <c r="B322" s="1" t="n">
        <v>44679</v>
      </c>
      <c r="C322" s="1" t="n">
        <v>45947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Allmännings- och besparingsskogar</t>
        </is>
      </c>
      <c r="G322" t="n">
        <v>6.3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11741-2024</t>
        </is>
      </c>
      <c r="B323" s="1" t="n">
        <v>45373.73894675926</v>
      </c>
      <c r="C323" s="1" t="n">
        <v>45947</v>
      </c>
      <c r="D323" t="inlineStr">
        <is>
          <t>ÖSTERGÖTLANDS LÄN</t>
        </is>
      </c>
      <c r="E323" t="inlineStr">
        <is>
          <t>NORRKÖPING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49617-2022</t>
        </is>
      </c>
      <c r="B324" s="1" t="n">
        <v>44862</v>
      </c>
      <c r="C324" s="1" t="n">
        <v>45947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55467-2020</t>
        </is>
      </c>
      <c r="B325" s="1" t="n">
        <v>44131</v>
      </c>
      <c r="C325" s="1" t="n">
        <v>45947</v>
      </c>
      <c r="D325" t="inlineStr">
        <is>
          <t>ÖSTERGÖTLANDS LÄN</t>
        </is>
      </c>
      <c r="E325" t="inlineStr">
        <is>
          <t>NORRKÖPING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31850-2023</t>
        </is>
      </c>
      <c r="B326" s="1" t="n">
        <v>45106</v>
      </c>
      <c r="C326" s="1" t="n">
        <v>45947</v>
      </c>
      <c r="D326" t="inlineStr">
        <is>
          <t>ÖSTERGÖTLANDS LÄN</t>
        </is>
      </c>
      <c r="E326" t="inlineStr">
        <is>
          <t>NORRKÖPING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24246-2025</t>
        </is>
      </c>
      <c r="B327" s="1" t="n">
        <v>45797.39876157408</v>
      </c>
      <c r="C327" s="1" t="n">
        <v>45947</v>
      </c>
      <c r="D327" t="inlineStr">
        <is>
          <t>ÖSTERGÖTLANDS LÄN</t>
        </is>
      </c>
      <c r="E327" t="inlineStr">
        <is>
          <t>NORRKÖPING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49062-2022</t>
        </is>
      </c>
      <c r="B328" s="1" t="n">
        <v>44860</v>
      </c>
      <c r="C328" s="1" t="n">
        <v>45947</v>
      </c>
      <c r="D328" t="inlineStr">
        <is>
          <t>ÖSTERGÖTLANDS LÄN</t>
        </is>
      </c>
      <c r="E328" t="inlineStr">
        <is>
          <t>NORRKÖPING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67559-2020</t>
        </is>
      </c>
      <c r="B329" s="1" t="n">
        <v>44181</v>
      </c>
      <c r="C329" s="1" t="n">
        <v>45947</v>
      </c>
      <c r="D329" t="inlineStr">
        <is>
          <t>ÖSTERGÖTLANDS LÄN</t>
        </is>
      </c>
      <c r="E329" t="inlineStr">
        <is>
          <t>NORRKÖPING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17849-2025</t>
        </is>
      </c>
      <c r="B330" s="1" t="n">
        <v>45758.60146990741</v>
      </c>
      <c r="C330" s="1" t="n">
        <v>45947</v>
      </c>
      <c r="D330" t="inlineStr">
        <is>
          <t>ÖSTERGÖTLANDS LÄN</t>
        </is>
      </c>
      <c r="E330" t="inlineStr">
        <is>
          <t>NORRKÖPING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18128-2025</t>
        </is>
      </c>
      <c r="B331" s="1" t="n">
        <v>45761.59716435185</v>
      </c>
      <c r="C331" s="1" t="n">
        <v>45947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Holmen skog AB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24555-2025</t>
        </is>
      </c>
      <c r="B332" s="1" t="n">
        <v>45798.45043981481</v>
      </c>
      <c r="C332" s="1" t="n">
        <v>45947</v>
      </c>
      <c r="D332" t="inlineStr">
        <is>
          <t>ÖSTERGÖTLANDS LÄN</t>
        </is>
      </c>
      <c r="E332" t="inlineStr">
        <is>
          <t>NORRKÖPING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11344-2022</t>
        </is>
      </c>
      <c r="B333" s="1" t="n">
        <v>44630</v>
      </c>
      <c r="C333" s="1" t="n">
        <v>45947</v>
      </c>
      <c r="D333" t="inlineStr">
        <is>
          <t>ÖSTERGÖTLANDS LÄN</t>
        </is>
      </c>
      <c r="E333" t="inlineStr">
        <is>
          <t>NORRKÖPING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49462-2023</t>
        </is>
      </c>
      <c r="B334" s="1" t="n">
        <v>45211.52641203703</v>
      </c>
      <c r="C334" s="1" t="n">
        <v>45947</v>
      </c>
      <c r="D334" t="inlineStr">
        <is>
          <t>ÖSTERGÖTLANDS LÄN</t>
        </is>
      </c>
      <c r="E334" t="inlineStr">
        <is>
          <t>NORRKÖPING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47090-2023</t>
        </is>
      </c>
      <c r="B335" s="1" t="n">
        <v>45201.63637731481</v>
      </c>
      <c r="C335" s="1" t="n">
        <v>45947</v>
      </c>
      <c r="D335" t="inlineStr">
        <is>
          <t>ÖSTERGÖTLANDS LÄN</t>
        </is>
      </c>
      <c r="E335" t="inlineStr">
        <is>
          <t>NORRKÖPING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39401-2021</t>
        </is>
      </c>
      <c r="B336" s="1" t="n">
        <v>44414</v>
      </c>
      <c r="C336" s="1" t="n">
        <v>45947</v>
      </c>
      <c r="D336" t="inlineStr">
        <is>
          <t>ÖSTERGÖTLANDS LÄN</t>
        </is>
      </c>
      <c r="E336" t="inlineStr">
        <is>
          <t>NORRKÖPING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13146-2024</t>
        </is>
      </c>
      <c r="B337" s="1" t="n">
        <v>45386</v>
      </c>
      <c r="C337" s="1" t="n">
        <v>45947</v>
      </c>
      <c r="D337" t="inlineStr">
        <is>
          <t>ÖSTERGÖTLANDS LÄN</t>
        </is>
      </c>
      <c r="E337" t="inlineStr">
        <is>
          <t>NORRKÖPING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42514-2024</t>
        </is>
      </c>
      <c r="B338" s="1" t="n">
        <v>45565.5381712963</v>
      </c>
      <c r="C338" s="1" t="n">
        <v>45947</v>
      </c>
      <c r="D338" t="inlineStr">
        <is>
          <t>ÖSTERGÖTLANDS LÄN</t>
        </is>
      </c>
      <c r="E338" t="inlineStr">
        <is>
          <t>NORRKÖPING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42390-2021</t>
        </is>
      </c>
      <c r="B339" s="1" t="n">
        <v>44427.49322916667</v>
      </c>
      <c r="C339" s="1" t="n">
        <v>45947</v>
      </c>
      <c r="D339" t="inlineStr">
        <is>
          <t>ÖSTERGÖTLANDS LÄN</t>
        </is>
      </c>
      <c r="E339" t="inlineStr">
        <is>
          <t>NORRKÖPING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16582-2024</t>
        </is>
      </c>
      <c r="B340" s="1" t="n">
        <v>45408</v>
      </c>
      <c r="C340" s="1" t="n">
        <v>45947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Holmen skog AB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51877-2021</t>
        </is>
      </c>
      <c r="B341" s="1" t="n">
        <v>44462</v>
      </c>
      <c r="C341" s="1" t="n">
        <v>45947</v>
      </c>
      <c r="D341" t="inlineStr">
        <is>
          <t>ÖSTERGÖTLANDS LÄN</t>
        </is>
      </c>
      <c r="E341" t="inlineStr">
        <is>
          <t>NORRKÖPING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40068-2024</t>
        </is>
      </c>
      <c r="B342" s="1" t="n">
        <v>45554.28857638889</v>
      </c>
      <c r="C342" s="1" t="n">
        <v>45947</v>
      </c>
      <c r="D342" t="inlineStr">
        <is>
          <t>ÖSTERGÖTLANDS LÄN</t>
        </is>
      </c>
      <c r="E342" t="inlineStr">
        <is>
          <t>NORRKÖPING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10796-2024</t>
        </is>
      </c>
      <c r="B343" s="1" t="n">
        <v>45369.61841435185</v>
      </c>
      <c r="C343" s="1" t="n">
        <v>45947</v>
      </c>
      <c r="D343" t="inlineStr">
        <is>
          <t>ÖSTERGÖTLANDS LÄN</t>
        </is>
      </c>
      <c r="E343" t="inlineStr">
        <is>
          <t>NORRKÖPING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50112-2023</t>
        </is>
      </c>
      <c r="B344" s="1" t="n">
        <v>45215</v>
      </c>
      <c r="C344" s="1" t="n">
        <v>45947</v>
      </c>
      <c r="D344" t="inlineStr">
        <is>
          <t>ÖSTERGÖTLANDS LÄN</t>
        </is>
      </c>
      <c r="E344" t="inlineStr">
        <is>
          <t>NORRKÖPING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14138-2022</t>
        </is>
      </c>
      <c r="B345" s="1" t="n">
        <v>44651.42819444444</v>
      </c>
      <c r="C345" s="1" t="n">
        <v>45947</v>
      </c>
      <c r="D345" t="inlineStr">
        <is>
          <t>ÖSTERGÖTLANDS LÄN</t>
        </is>
      </c>
      <c r="E345" t="inlineStr">
        <is>
          <t>NORRKÖPING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3020-2025</t>
        </is>
      </c>
      <c r="B346" s="1" t="n">
        <v>45678.57731481481</v>
      </c>
      <c r="C346" s="1" t="n">
        <v>45947</v>
      </c>
      <c r="D346" t="inlineStr">
        <is>
          <t>ÖSTERGÖTLANDS LÄN</t>
        </is>
      </c>
      <c r="E346" t="inlineStr">
        <is>
          <t>NORRKÖPING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1286-2023</t>
        </is>
      </c>
      <c r="B347" s="1" t="n">
        <v>44936.46326388889</v>
      </c>
      <c r="C347" s="1" t="n">
        <v>45947</v>
      </c>
      <c r="D347" t="inlineStr">
        <is>
          <t>ÖSTERGÖTLANDS LÄN</t>
        </is>
      </c>
      <c r="E347" t="inlineStr">
        <is>
          <t>NORRKÖPING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10770-2025</t>
        </is>
      </c>
      <c r="B348" s="1" t="n">
        <v>45722.46946759259</v>
      </c>
      <c r="C348" s="1" t="n">
        <v>45947</v>
      </c>
      <c r="D348" t="inlineStr">
        <is>
          <t>ÖSTERGÖTLANDS LÄN</t>
        </is>
      </c>
      <c r="E348" t="inlineStr">
        <is>
          <t>NORRKÖPING</t>
        </is>
      </c>
      <c r="G348" t="n">
        <v>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43773-2021</t>
        </is>
      </c>
      <c r="B349" s="1" t="n">
        <v>44433</v>
      </c>
      <c r="C349" s="1" t="n">
        <v>45947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8292-2023</t>
        </is>
      </c>
      <c r="B350" s="1" t="n">
        <v>44974.65918981482</v>
      </c>
      <c r="C350" s="1" t="n">
        <v>45947</v>
      </c>
      <c r="D350" t="inlineStr">
        <is>
          <t>ÖSTERGÖTLANDS LÄN</t>
        </is>
      </c>
      <c r="E350" t="inlineStr">
        <is>
          <t>NORRKÖPING</t>
        </is>
      </c>
      <c r="F350" t="inlineStr">
        <is>
          <t>Holmen skog AB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3329-2024</t>
        </is>
      </c>
      <c r="B351" s="1" t="n">
        <v>45317</v>
      </c>
      <c r="C351" s="1" t="n">
        <v>45947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9528-2024</t>
        </is>
      </c>
      <c r="B352" s="1" t="n">
        <v>45359.68173611111</v>
      </c>
      <c r="C352" s="1" t="n">
        <v>45947</v>
      </c>
      <c r="D352" t="inlineStr">
        <is>
          <t>ÖSTERGÖTLANDS LÄN</t>
        </is>
      </c>
      <c r="E352" t="inlineStr">
        <is>
          <t>NORRKÖPING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25546-2025</t>
        </is>
      </c>
      <c r="B353" s="1" t="n">
        <v>45803.43815972222</v>
      </c>
      <c r="C353" s="1" t="n">
        <v>45947</v>
      </c>
      <c r="D353" t="inlineStr">
        <is>
          <t>ÖSTERGÖTLANDS LÄN</t>
        </is>
      </c>
      <c r="E353" t="inlineStr">
        <is>
          <t>NORRKÖPING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5572-2024</t>
        </is>
      </c>
      <c r="B354" s="1" t="n">
        <v>45334</v>
      </c>
      <c r="C354" s="1" t="n">
        <v>45947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Kommuner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22319-2024</t>
        </is>
      </c>
      <c r="B355" s="1" t="n">
        <v>45446.57724537037</v>
      </c>
      <c r="C355" s="1" t="n">
        <v>45947</v>
      </c>
      <c r="D355" t="inlineStr">
        <is>
          <t>ÖSTERGÖTLANDS LÄN</t>
        </is>
      </c>
      <c r="E355" t="inlineStr">
        <is>
          <t>NORRKÖPING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25949-2025</t>
        </is>
      </c>
      <c r="B356" s="1" t="n">
        <v>45804.59579861111</v>
      </c>
      <c r="C356" s="1" t="n">
        <v>45947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Kommuner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22322-2024</t>
        </is>
      </c>
      <c r="B357" s="1" t="n">
        <v>45446.5790625</v>
      </c>
      <c r="C357" s="1" t="n">
        <v>45947</v>
      </c>
      <c r="D357" t="inlineStr">
        <is>
          <t>ÖSTERGÖTLANDS LÄN</t>
        </is>
      </c>
      <c r="E357" t="inlineStr">
        <is>
          <t>NORRKÖPING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33341-2023</t>
        </is>
      </c>
      <c r="B358" s="1" t="n">
        <v>45128</v>
      </c>
      <c r="C358" s="1" t="n">
        <v>45947</v>
      </c>
      <c r="D358" t="inlineStr">
        <is>
          <t>ÖSTERGÖTLANDS LÄN</t>
        </is>
      </c>
      <c r="E358" t="inlineStr">
        <is>
          <t>NORRKÖPING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49456-2022</t>
        </is>
      </c>
      <c r="B359" s="1" t="n">
        <v>44861</v>
      </c>
      <c r="C359" s="1" t="n">
        <v>45947</v>
      </c>
      <c r="D359" t="inlineStr">
        <is>
          <t>ÖSTERGÖTLANDS LÄN</t>
        </is>
      </c>
      <c r="E359" t="inlineStr">
        <is>
          <t>NORRKÖPING</t>
        </is>
      </c>
      <c r="G359" t="n">
        <v>10.1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19739-2024</t>
        </is>
      </c>
      <c r="B360" s="1" t="n">
        <v>45432.6291550926</v>
      </c>
      <c r="C360" s="1" t="n">
        <v>45947</v>
      </c>
      <c r="D360" t="inlineStr">
        <is>
          <t>ÖSTERGÖTLANDS LÄN</t>
        </is>
      </c>
      <c r="E360" t="inlineStr">
        <is>
          <t>NORRKÖPING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18592-2024</t>
        </is>
      </c>
      <c r="B361" s="1" t="n">
        <v>45425.89037037037</v>
      </c>
      <c r="C361" s="1" t="n">
        <v>45947</v>
      </c>
      <c r="D361" t="inlineStr">
        <is>
          <t>ÖSTERGÖTLANDS LÄN</t>
        </is>
      </c>
      <c r="E361" t="inlineStr">
        <is>
          <t>NORRKÖPING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2501-2023</t>
        </is>
      </c>
      <c r="B362" s="1" t="n">
        <v>44943.56112268518</v>
      </c>
      <c r="C362" s="1" t="n">
        <v>45947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61002-2023</t>
        </is>
      </c>
      <c r="B363" s="1" t="n">
        <v>45261.50924768519</v>
      </c>
      <c r="C363" s="1" t="n">
        <v>45947</v>
      </c>
      <c r="D363" t="inlineStr">
        <is>
          <t>ÖSTERGÖTLANDS LÄN</t>
        </is>
      </c>
      <c r="E363" t="inlineStr">
        <is>
          <t>NORRKÖPING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53747-2022</t>
        </is>
      </c>
      <c r="B364" s="1" t="n">
        <v>44880.44351851852</v>
      </c>
      <c r="C364" s="1" t="n">
        <v>45947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45699-2024</t>
        </is>
      </c>
      <c r="B365" s="1" t="n">
        <v>45579.56570601852</v>
      </c>
      <c r="C365" s="1" t="n">
        <v>45947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34904-2024</t>
        </is>
      </c>
      <c r="B366" s="1" t="n">
        <v>45527.40489583334</v>
      </c>
      <c r="C366" s="1" t="n">
        <v>45947</v>
      </c>
      <c r="D366" t="inlineStr">
        <is>
          <t>ÖSTERGÖTLANDS LÄN</t>
        </is>
      </c>
      <c r="E366" t="inlineStr">
        <is>
          <t>NORRKÖPING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3325-2024</t>
        </is>
      </c>
      <c r="B367" s="1" t="n">
        <v>45317</v>
      </c>
      <c r="C367" s="1" t="n">
        <v>45947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18474-2025</t>
        </is>
      </c>
      <c r="B368" s="1" t="n">
        <v>45762.76337962963</v>
      </c>
      <c r="C368" s="1" t="n">
        <v>45947</v>
      </c>
      <c r="D368" t="inlineStr">
        <is>
          <t>ÖSTERGÖTLANDS LÄN</t>
        </is>
      </c>
      <c r="E368" t="inlineStr">
        <is>
          <t>NORRKÖPING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59544-2023</t>
        </is>
      </c>
      <c r="B369" s="1" t="n">
        <v>45254.54892361111</v>
      </c>
      <c r="C369" s="1" t="n">
        <v>45947</v>
      </c>
      <c r="D369" t="inlineStr">
        <is>
          <t>ÖSTERGÖTLANDS LÄN</t>
        </is>
      </c>
      <c r="E369" t="inlineStr">
        <is>
          <t>NORRKÖPING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50092-2023</t>
        </is>
      </c>
      <c r="B370" s="1" t="n">
        <v>45215</v>
      </c>
      <c r="C370" s="1" t="n">
        <v>45947</v>
      </c>
      <c r="D370" t="inlineStr">
        <is>
          <t>ÖSTERGÖTLANDS LÄN</t>
        </is>
      </c>
      <c r="E370" t="inlineStr">
        <is>
          <t>NORRKÖPING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1914-2023</t>
        </is>
      </c>
      <c r="B371" s="1" t="n">
        <v>44939</v>
      </c>
      <c r="C371" s="1" t="n">
        <v>45947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Naturvårdsverket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63961-2023</t>
        </is>
      </c>
      <c r="B372" s="1" t="n">
        <v>45278</v>
      </c>
      <c r="C372" s="1" t="n">
        <v>45947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44197-2023</t>
        </is>
      </c>
      <c r="B373" s="1" t="n">
        <v>45188</v>
      </c>
      <c r="C373" s="1" t="n">
        <v>45947</v>
      </c>
      <c r="D373" t="inlineStr">
        <is>
          <t>ÖSTERGÖTLANDS LÄN</t>
        </is>
      </c>
      <c r="E373" t="inlineStr">
        <is>
          <t>NORRKÖPING</t>
        </is>
      </c>
      <c r="G373" t="n">
        <v>5.7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48462-2022</t>
        </is>
      </c>
      <c r="B374" s="1" t="n">
        <v>44858</v>
      </c>
      <c r="C374" s="1" t="n">
        <v>45947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41381-2023</t>
        </is>
      </c>
      <c r="B375" s="1" t="n">
        <v>45174</v>
      </c>
      <c r="C375" s="1" t="n">
        <v>45947</v>
      </c>
      <c r="D375" t="inlineStr">
        <is>
          <t>ÖSTERGÖTLANDS LÄN</t>
        </is>
      </c>
      <c r="E375" t="inlineStr">
        <is>
          <t>NORRKÖPING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41382-2023</t>
        </is>
      </c>
      <c r="B376" s="1" t="n">
        <v>45174</v>
      </c>
      <c r="C376" s="1" t="n">
        <v>45947</v>
      </c>
      <c r="D376" t="inlineStr">
        <is>
          <t>ÖSTERGÖTLANDS LÄN</t>
        </is>
      </c>
      <c r="E376" t="inlineStr">
        <is>
          <t>NORRKÖPING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9542-2025</t>
        </is>
      </c>
      <c r="B377" s="1" t="n">
        <v>45715.5837962963</v>
      </c>
      <c r="C377" s="1" t="n">
        <v>45947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11140-2025</t>
        </is>
      </c>
      <c r="B378" s="1" t="n">
        <v>45723.66629629629</v>
      </c>
      <c r="C378" s="1" t="n">
        <v>45947</v>
      </c>
      <c r="D378" t="inlineStr">
        <is>
          <t>ÖSTERGÖTLANDS LÄN</t>
        </is>
      </c>
      <c r="E378" t="inlineStr">
        <is>
          <t>NORRKÖPING</t>
        </is>
      </c>
      <c r="G378" t="n">
        <v>13.9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31582-2023</t>
        </is>
      </c>
      <c r="B379" s="1" t="n">
        <v>45117</v>
      </c>
      <c r="C379" s="1" t="n">
        <v>45947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47895-2021</t>
        </is>
      </c>
      <c r="B380" s="1" t="n">
        <v>44448</v>
      </c>
      <c r="C380" s="1" t="n">
        <v>45947</v>
      </c>
      <c r="D380" t="inlineStr">
        <is>
          <t>ÖSTERGÖTLANDS LÄN</t>
        </is>
      </c>
      <c r="E380" t="inlineStr">
        <is>
          <t>NORRKÖPING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6614-2021</t>
        </is>
      </c>
      <c r="B381" s="1" t="n">
        <v>44236</v>
      </c>
      <c r="C381" s="1" t="n">
        <v>45947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63208-2020</t>
        </is>
      </c>
      <c r="B382" s="1" t="n">
        <v>44163</v>
      </c>
      <c r="C382" s="1" t="n">
        <v>45947</v>
      </c>
      <c r="D382" t="inlineStr">
        <is>
          <t>ÖSTERGÖTLANDS LÄN</t>
        </is>
      </c>
      <c r="E382" t="inlineStr">
        <is>
          <t>NORRKÖPING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6568-2025</t>
        </is>
      </c>
      <c r="B383" s="1" t="n">
        <v>45699.75583333334</v>
      </c>
      <c r="C383" s="1" t="n">
        <v>45947</v>
      </c>
      <c r="D383" t="inlineStr">
        <is>
          <t>ÖSTERGÖTLANDS LÄN</t>
        </is>
      </c>
      <c r="E383" t="inlineStr">
        <is>
          <t>NORRKÖPING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14459-2024</t>
        </is>
      </c>
      <c r="B384" s="1" t="n">
        <v>45394</v>
      </c>
      <c r="C384" s="1" t="n">
        <v>45947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27579-2023</t>
        </is>
      </c>
      <c r="B385" s="1" t="n">
        <v>45093</v>
      </c>
      <c r="C385" s="1" t="n">
        <v>45947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Allmännings- och besparingsskogar</t>
        </is>
      </c>
      <c r="G385" t="n">
        <v>5.4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23349-2024</t>
        </is>
      </c>
      <c r="B386" s="1" t="n">
        <v>45453.52299768518</v>
      </c>
      <c r="C386" s="1" t="n">
        <v>45947</v>
      </c>
      <c r="D386" t="inlineStr">
        <is>
          <t>ÖSTERGÖTLANDS LÄN</t>
        </is>
      </c>
      <c r="E386" t="inlineStr">
        <is>
          <t>NORRKÖPING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55359-2023</t>
        </is>
      </c>
      <c r="B387" s="1" t="n">
        <v>45238.33091435185</v>
      </c>
      <c r="C387" s="1" t="n">
        <v>45947</v>
      </c>
      <c r="D387" t="inlineStr">
        <is>
          <t>ÖSTERGÖTLANDS LÄN</t>
        </is>
      </c>
      <c r="E387" t="inlineStr">
        <is>
          <t>NORRKÖPING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47846-2023</t>
        </is>
      </c>
      <c r="B388" s="1" t="n">
        <v>45204</v>
      </c>
      <c r="C388" s="1" t="n">
        <v>45947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Naturvårdsverket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26294-2024</t>
        </is>
      </c>
      <c r="B389" s="1" t="n">
        <v>45468.82832175926</v>
      </c>
      <c r="C389" s="1" t="n">
        <v>45947</v>
      </c>
      <c r="D389" t="inlineStr">
        <is>
          <t>ÖSTERGÖTLANDS LÄN</t>
        </is>
      </c>
      <c r="E389" t="inlineStr">
        <is>
          <t>NORRKÖPING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15459-2024</t>
        </is>
      </c>
      <c r="B390" s="1" t="n">
        <v>45401.46640046296</v>
      </c>
      <c r="C390" s="1" t="n">
        <v>45947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10834-2024</t>
        </is>
      </c>
      <c r="B391" s="1" t="n">
        <v>45369</v>
      </c>
      <c r="C391" s="1" t="n">
        <v>45947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29485-2021</t>
        </is>
      </c>
      <c r="B392" s="1" t="n">
        <v>44361</v>
      </c>
      <c r="C392" s="1" t="n">
        <v>45947</v>
      </c>
      <c r="D392" t="inlineStr">
        <is>
          <t>ÖSTERGÖTLANDS LÄN</t>
        </is>
      </c>
      <c r="E392" t="inlineStr">
        <is>
          <t>NORRKÖPING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58525-2021</t>
        </is>
      </c>
      <c r="B393" s="1" t="n">
        <v>44488</v>
      </c>
      <c r="C393" s="1" t="n">
        <v>45947</v>
      </c>
      <c r="D393" t="inlineStr">
        <is>
          <t>ÖSTERGÖTLANDS LÄN</t>
        </is>
      </c>
      <c r="E393" t="inlineStr">
        <is>
          <t>NORRKÖPING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27288-2023</t>
        </is>
      </c>
      <c r="B394" s="1" t="n">
        <v>45096</v>
      </c>
      <c r="C394" s="1" t="n">
        <v>45947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Holmen skog AB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63417-2023</t>
        </is>
      </c>
      <c r="B395" s="1" t="n">
        <v>45274</v>
      </c>
      <c r="C395" s="1" t="n">
        <v>45947</v>
      </c>
      <c r="D395" t="inlineStr">
        <is>
          <t>ÖSTERGÖTLANDS LÄN</t>
        </is>
      </c>
      <c r="E395" t="inlineStr">
        <is>
          <t>NORRKÖPING</t>
        </is>
      </c>
      <c r="G395" t="n">
        <v>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58936-2023</t>
        </is>
      </c>
      <c r="B396" s="1" t="n">
        <v>45252</v>
      </c>
      <c r="C396" s="1" t="n">
        <v>45947</v>
      </c>
      <c r="D396" t="inlineStr">
        <is>
          <t>ÖSTERGÖTLANDS LÄN</t>
        </is>
      </c>
      <c r="E396" t="inlineStr">
        <is>
          <t>NORRKÖPING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49869-2021</t>
        </is>
      </c>
      <c r="B397" s="1" t="n">
        <v>44455</v>
      </c>
      <c r="C397" s="1" t="n">
        <v>45947</v>
      </c>
      <c r="D397" t="inlineStr">
        <is>
          <t>ÖSTERGÖTLANDS LÄN</t>
        </is>
      </c>
      <c r="E397" t="inlineStr">
        <is>
          <t>NORRKÖPING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45075-2023</t>
        </is>
      </c>
      <c r="B398" s="1" t="n">
        <v>45191.39708333334</v>
      </c>
      <c r="C398" s="1" t="n">
        <v>45947</v>
      </c>
      <c r="D398" t="inlineStr">
        <is>
          <t>ÖSTERGÖTLANDS LÄN</t>
        </is>
      </c>
      <c r="E398" t="inlineStr">
        <is>
          <t>NORRKÖPING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17821-2025</t>
        </is>
      </c>
      <c r="B399" s="1" t="n">
        <v>45758.56946759259</v>
      </c>
      <c r="C399" s="1" t="n">
        <v>45947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59964-2023</t>
        </is>
      </c>
      <c r="B400" s="1" t="n">
        <v>45254</v>
      </c>
      <c r="C400" s="1" t="n">
        <v>45947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Allmännings- och besparingsskogar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19334-2023</t>
        </is>
      </c>
      <c r="B401" s="1" t="n">
        <v>45049</v>
      </c>
      <c r="C401" s="1" t="n">
        <v>45947</v>
      </c>
      <c r="D401" t="inlineStr">
        <is>
          <t>ÖSTERGÖTLANDS LÄN</t>
        </is>
      </c>
      <c r="E401" t="inlineStr">
        <is>
          <t>NORRKÖPING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2545-2023</t>
        </is>
      </c>
      <c r="B402" s="1" t="n">
        <v>44943</v>
      </c>
      <c r="C402" s="1" t="n">
        <v>45947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62028-2023</t>
        </is>
      </c>
      <c r="B403" s="1" t="n">
        <v>45266</v>
      </c>
      <c r="C403" s="1" t="n">
        <v>45947</v>
      </c>
      <c r="D403" t="inlineStr">
        <is>
          <t>ÖSTERGÖTLANDS LÄN</t>
        </is>
      </c>
      <c r="E403" t="inlineStr">
        <is>
          <t>NORRKÖPING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57492-2023</t>
        </is>
      </c>
      <c r="B404" s="1" t="n">
        <v>45246.41627314815</v>
      </c>
      <c r="C404" s="1" t="n">
        <v>45947</v>
      </c>
      <c r="D404" t="inlineStr">
        <is>
          <t>ÖSTERGÖTLANDS LÄN</t>
        </is>
      </c>
      <c r="E404" t="inlineStr">
        <is>
          <t>NORRKÖPING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57496-2023</t>
        </is>
      </c>
      <c r="B405" s="1" t="n">
        <v>45246</v>
      </c>
      <c r="C405" s="1" t="n">
        <v>45947</v>
      </c>
      <c r="D405" t="inlineStr">
        <is>
          <t>ÖSTERGÖTLANDS LÄN</t>
        </is>
      </c>
      <c r="E405" t="inlineStr">
        <is>
          <t>NORRKÖPING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30315-2024</t>
        </is>
      </c>
      <c r="B406" s="1" t="n">
        <v>45490.72372685185</v>
      </c>
      <c r="C406" s="1" t="n">
        <v>45947</v>
      </c>
      <c r="D406" t="inlineStr">
        <is>
          <t>ÖSTERGÖTLANDS LÄN</t>
        </is>
      </c>
      <c r="E406" t="inlineStr">
        <is>
          <t>NORRKÖPING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1018-2023</t>
        </is>
      </c>
      <c r="B407" s="1" t="n">
        <v>44930</v>
      </c>
      <c r="C407" s="1" t="n">
        <v>45947</v>
      </c>
      <c r="D407" t="inlineStr">
        <is>
          <t>ÖSTERGÖTLANDS LÄN</t>
        </is>
      </c>
      <c r="E407" t="inlineStr">
        <is>
          <t>NORRKÖPING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49882-2021</t>
        </is>
      </c>
      <c r="B408" s="1" t="n">
        <v>44455.68550925926</v>
      </c>
      <c r="C408" s="1" t="n">
        <v>45947</v>
      </c>
      <c r="D408" t="inlineStr">
        <is>
          <t>ÖSTERGÖTLANDS LÄN</t>
        </is>
      </c>
      <c r="E408" t="inlineStr">
        <is>
          <t>NORRKÖPING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18867-2025</t>
        </is>
      </c>
      <c r="B409" s="1" t="n">
        <v>45764.43002314815</v>
      </c>
      <c r="C409" s="1" t="n">
        <v>45947</v>
      </c>
      <c r="D409" t="inlineStr">
        <is>
          <t>ÖSTERGÖTLANDS LÄN</t>
        </is>
      </c>
      <c r="E409" t="inlineStr">
        <is>
          <t>NORRKÖPING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4460-2023</t>
        </is>
      </c>
      <c r="B410" s="1" t="n">
        <v>44956</v>
      </c>
      <c r="C410" s="1" t="n">
        <v>45947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10003-2025</t>
        </is>
      </c>
      <c r="B411" s="1" t="n">
        <v>45719.4522337963</v>
      </c>
      <c r="C411" s="1" t="n">
        <v>45947</v>
      </c>
      <c r="D411" t="inlineStr">
        <is>
          <t>ÖSTERGÖTLANDS LÄN</t>
        </is>
      </c>
      <c r="E411" t="inlineStr">
        <is>
          <t>NORRKÖPING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4546-2023</t>
        </is>
      </c>
      <c r="B412" s="1" t="n">
        <v>44956</v>
      </c>
      <c r="C412" s="1" t="n">
        <v>45947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9746-2025</t>
        </is>
      </c>
      <c r="B413" s="1" t="n">
        <v>45716.45121527778</v>
      </c>
      <c r="C413" s="1" t="n">
        <v>45947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Holmen skog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26977-2023</t>
        </is>
      </c>
      <c r="B414" s="1" t="n">
        <v>45091</v>
      </c>
      <c r="C414" s="1" t="n">
        <v>45947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59077-2023</t>
        </is>
      </c>
      <c r="B415" s="1" t="n">
        <v>45252.91344907408</v>
      </c>
      <c r="C415" s="1" t="n">
        <v>45947</v>
      </c>
      <c r="D415" t="inlineStr">
        <is>
          <t>ÖSTERGÖTLANDS LÄN</t>
        </is>
      </c>
      <c r="E415" t="inlineStr">
        <is>
          <t>NORRKÖPING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62875-2023</t>
        </is>
      </c>
      <c r="B416" s="1" t="n">
        <v>45272</v>
      </c>
      <c r="C416" s="1" t="n">
        <v>45947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Holmen skog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19182-2025</t>
        </is>
      </c>
      <c r="B417" s="1" t="n">
        <v>45769.40231481481</v>
      </c>
      <c r="C417" s="1" t="n">
        <v>45947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1835-2023</t>
        </is>
      </c>
      <c r="B418" s="1" t="n">
        <v>44936</v>
      </c>
      <c r="C418" s="1" t="n">
        <v>45947</v>
      </c>
      <c r="D418" t="inlineStr">
        <is>
          <t>ÖSTERGÖTLANDS LÄN</t>
        </is>
      </c>
      <c r="E418" t="inlineStr">
        <is>
          <t>NORRKÖPING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8245-2023</t>
        </is>
      </c>
      <c r="B419" s="1" t="n">
        <v>44974</v>
      </c>
      <c r="C419" s="1" t="n">
        <v>45947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40812-2024</t>
        </is>
      </c>
      <c r="B420" s="1" t="n">
        <v>45558.54422453704</v>
      </c>
      <c r="C420" s="1" t="n">
        <v>45947</v>
      </c>
      <c r="D420" t="inlineStr">
        <is>
          <t>ÖSTERGÖTLANDS LÄN</t>
        </is>
      </c>
      <c r="E420" t="inlineStr">
        <is>
          <t>NORRKÖPING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30784-2023</t>
        </is>
      </c>
      <c r="B421" s="1" t="n">
        <v>45112</v>
      </c>
      <c r="C421" s="1" t="n">
        <v>45947</v>
      </c>
      <c r="D421" t="inlineStr">
        <is>
          <t>ÖSTERGÖTLANDS LÄN</t>
        </is>
      </c>
      <c r="E421" t="inlineStr">
        <is>
          <t>NORRKÖPING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17138-2022</t>
        </is>
      </c>
      <c r="B422" s="1" t="n">
        <v>44677</v>
      </c>
      <c r="C422" s="1" t="n">
        <v>45947</v>
      </c>
      <c r="D422" t="inlineStr">
        <is>
          <t>ÖSTERGÖTLANDS LÄN</t>
        </is>
      </c>
      <c r="E422" t="inlineStr">
        <is>
          <t>NORRKÖPING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28497-2025</t>
        </is>
      </c>
      <c r="B423" s="1" t="n">
        <v>45817</v>
      </c>
      <c r="C423" s="1" t="n">
        <v>45947</v>
      </c>
      <c r="D423" t="inlineStr">
        <is>
          <t>ÖSTERGÖTLANDS LÄN</t>
        </is>
      </c>
      <c r="E423" t="inlineStr">
        <is>
          <t>NORRKÖPING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62176-2024</t>
        </is>
      </c>
      <c r="B424" s="1" t="n">
        <v>45657.94784722223</v>
      </c>
      <c r="C424" s="1" t="n">
        <v>45947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28507-2025</t>
        </is>
      </c>
      <c r="B425" s="1" t="n">
        <v>45817</v>
      </c>
      <c r="C425" s="1" t="n">
        <v>45947</v>
      </c>
      <c r="D425" t="inlineStr">
        <is>
          <t>ÖSTERGÖTLANDS LÄN</t>
        </is>
      </c>
      <c r="E425" t="inlineStr">
        <is>
          <t>NORRKÖPING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15082-2024</t>
        </is>
      </c>
      <c r="B426" s="1" t="n">
        <v>45399.62587962963</v>
      </c>
      <c r="C426" s="1" t="n">
        <v>45947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28039-2025</t>
        </is>
      </c>
      <c r="B427" s="1" t="n">
        <v>45817.64487268519</v>
      </c>
      <c r="C427" s="1" t="n">
        <v>45947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27912-2025</t>
        </is>
      </c>
      <c r="B428" s="1" t="n">
        <v>45817.47909722223</v>
      </c>
      <c r="C428" s="1" t="n">
        <v>45947</v>
      </c>
      <c r="D428" t="inlineStr">
        <is>
          <t>ÖSTERGÖTLANDS LÄN</t>
        </is>
      </c>
      <c r="E428" t="inlineStr">
        <is>
          <t>NORRKÖPING</t>
        </is>
      </c>
      <c r="F428" t="inlineStr">
        <is>
          <t>Holmen skog AB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28734-2025</t>
        </is>
      </c>
      <c r="B429" s="1" t="n">
        <v>45820.37113425926</v>
      </c>
      <c r="C429" s="1" t="n">
        <v>45947</v>
      </c>
      <c r="D429" t="inlineStr">
        <is>
          <t>ÖSTERGÖTLANDS LÄN</t>
        </is>
      </c>
      <c r="E429" t="inlineStr">
        <is>
          <t>NORRKÖPING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3263-2024</t>
        </is>
      </c>
      <c r="B430" s="1" t="n">
        <v>45317</v>
      </c>
      <c r="C430" s="1" t="n">
        <v>45947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43322-2022</t>
        </is>
      </c>
      <c r="B431" s="1" t="n">
        <v>44834</v>
      </c>
      <c r="C431" s="1" t="n">
        <v>45947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3247-2024</t>
        </is>
      </c>
      <c r="B432" s="1" t="n">
        <v>45317</v>
      </c>
      <c r="C432" s="1" t="n">
        <v>45947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9281-2021</t>
        </is>
      </c>
      <c r="B433" s="1" t="n">
        <v>44249</v>
      </c>
      <c r="C433" s="1" t="n">
        <v>45947</v>
      </c>
      <c r="D433" t="inlineStr">
        <is>
          <t>ÖSTERGÖTLANDS LÄN</t>
        </is>
      </c>
      <c r="E433" t="inlineStr">
        <is>
          <t>NORRKÖPING</t>
        </is>
      </c>
      <c r="G433" t="n">
        <v>7.7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27040-2022</t>
        </is>
      </c>
      <c r="B434" s="1" t="n">
        <v>44741</v>
      </c>
      <c r="C434" s="1" t="n">
        <v>45947</v>
      </c>
      <c r="D434" t="inlineStr">
        <is>
          <t>ÖSTERGÖTLANDS LÄN</t>
        </is>
      </c>
      <c r="E434" t="inlineStr">
        <is>
          <t>NORRKÖPING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14044-2023</t>
        </is>
      </c>
      <c r="B435" s="1" t="n">
        <v>45008.66204861111</v>
      </c>
      <c r="C435" s="1" t="n">
        <v>45947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Holmen skog AB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28750-2025</t>
        </is>
      </c>
      <c r="B436" s="1" t="n">
        <v>45820.39863425926</v>
      </c>
      <c r="C436" s="1" t="n">
        <v>45947</v>
      </c>
      <c r="D436" t="inlineStr">
        <is>
          <t>ÖSTERGÖTLANDS LÄN</t>
        </is>
      </c>
      <c r="E436" t="inlineStr">
        <is>
          <t>NORRKÖPING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49778-2022</t>
        </is>
      </c>
      <c r="B437" s="1" t="n">
        <v>44862</v>
      </c>
      <c r="C437" s="1" t="n">
        <v>45947</v>
      </c>
      <c r="D437" t="inlineStr">
        <is>
          <t>ÖSTERGÖTLANDS LÄN</t>
        </is>
      </c>
      <c r="E437" t="inlineStr">
        <is>
          <t>NORRKÖPING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6261-2023</t>
        </is>
      </c>
      <c r="B438" s="1" t="n">
        <v>44965</v>
      </c>
      <c r="C438" s="1" t="n">
        <v>45947</v>
      </c>
      <c r="D438" t="inlineStr">
        <is>
          <t>ÖSTERGÖTLANDS LÄN</t>
        </is>
      </c>
      <c r="E438" t="inlineStr">
        <is>
          <t>NORRKÖPING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29220-2025</t>
        </is>
      </c>
      <c r="B439" s="1" t="n">
        <v>45824.32293981482</v>
      </c>
      <c r="C439" s="1" t="n">
        <v>45947</v>
      </c>
      <c r="D439" t="inlineStr">
        <is>
          <t>ÖSTERGÖTLANDS LÄN</t>
        </is>
      </c>
      <c r="E439" t="inlineStr">
        <is>
          <t>NORRKÖPING</t>
        </is>
      </c>
      <c r="F439" t="inlineStr">
        <is>
          <t>Holmen skog AB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9696-2025</t>
        </is>
      </c>
      <c r="B440" s="1" t="n">
        <v>45716.37259259259</v>
      </c>
      <c r="C440" s="1" t="n">
        <v>45947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Holmen skog AB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14899-2023</t>
        </is>
      </c>
      <c r="B441" s="1" t="n">
        <v>45014</v>
      </c>
      <c r="C441" s="1" t="n">
        <v>45947</v>
      </c>
      <c r="D441" t="inlineStr">
        <is>
          <t>ÖSTERGÖTLANDS LÄN</t>
        </is>
      </c>
      <c r="E441" t="inlineStr">
        <is>
          <t>NORRKÖPING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62033-2023</t>
        </is>
      </c>
      <c r="B442" s="1" t="n">
        <v>45266.66998842593</v>
      </c>
      <c r="C442" s="1" t="n">
        <v>45947</v>
      </c>
      <c r="D442" t="inlineStr">
        <is>
          <t>ÖSTERGÖTLANDS LÄN</t>
        </is>
      </c>
      <c r="E442" t="inlineStr">
        <is>
          <t>NORRKÖPING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29298-2025</t>
        </is>
      </c>
      <c r="B443" s="1" t="n">
        <v>45824.45221064815</v>
      </c>
      <c r="C443" s="1" t="n">
        <v>45947</v>
      </c>
      <c r="D443" t="inlineStr">
        <is>
          <t>ÖSTERGÖTLANDS LÄN</t>
        </is>
      </c>
      <c r="E443" t="inlineStr">
        <is>
          <t>NORRKÖPING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4494-2023</t>
        </is>
      </c>
      <c r="B444" s="1" t="n">
        <v>44956.54967592593</v>
      </c>
      <c r="C444" s="1" t="n">
        <v>45947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46806-2024</t>
        </is>
      </c>
      <c r="B445" s="1" t="n">
        <v>45583.55850694444</v>
      </c>
      <c r="C445" s="1" t="n">
        <v>45947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8805-2024</t>
        </is>
      </c>
      <c r="B446" s="1" t="n">
        <v>45356.64724537037</v>
      </c>
      <c r="C446" s="1" t="n">
        <v>45947</v>
      </c>
      <c r="D446" t="inlineStr">
        <is>
          <t>ÖSTERGÖTLANDS LÄN</t>
        </is>
      </c>
      <c r="E446" t="inlineStr">
        <is>
          <t>NORRKÖPING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48786-2022</t>
        </is>
      </c>
      <c r="B447" s="1" t="n">
        <v>44859</v>
      </c>
      <c r="C447" s="1" t="n">
        <v>45947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53899-2021</t>
        </is>
      </c>
      <c r="B448" s="1" t="n">
        <v>44469</v>
      </c>
      <c r="C448" s="1" t="n">
        <v>45947</v>
      </c>
      <c r="D448" t="inlineStr">
        <is>
          <t>ÖSTERGÖTLANDS LÄN</t>
        </is>
      </c>
      <c r="E448" t="inlineStr">
        <is>
          <t>NORRKÖPING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17660-2025</t>
        </is>
      </c>
      <c r="B449" s="1" t="n">
        <v>45758.35732638889</v>
      </c>
      <c r="C449" s="1" t="n">
        <v>45947</v>
      </c>
      <c r="D449" t="inlineStr">
        <is>
          <t>ÖSTERGÖTLANDS LÄN</t>
        </is>
      </c>
      <c r="E449" t="inlineStr">
        <is>
          <t>NORRKÖPING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29216-2025</t>
        </is>
      </c>
      <c r="B450" s="1" t="n">
        <v>45824.31493055556</v>
      </c>
      <c r="C450" s="1" t="n">
        <v>45947</v>
      </c>
      <c r="D450" t="inlineStr">
        <is>
          <t>ÖSTERGÖTLANDS LÄN</t>
        </is>
      </c>
      <c r="E450" t="inlineStr">
        <is>
          <t>NORRKÖPING</t>
        </is>
      </c>
      <c r="F450" t="inlineStr">
        <is>
          <t>Holmen skog AB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5118-2024</t>
        </is>
      </c>
      <c r="B451" s="1" t="n">
        <v>45330</v>
      </c>
      <c r="C451" s="1" t="n">
        <v>45947</v>
      </c>
      <c r="D451" t="inlineStr">
        <is>
          <t>ÖSTERGÖTLANDS LÄN</t>
        </is>
      </c>
      <c r="E451" t="inlineStr">
        <is>
          <t>NORRKÖPING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62061-2023</t>
        </is>
      </c>
      <c r="B452" s="1" t="n">
        <v>45266</v>
      </c>
      <c r="C452" s="1" t="n">
        <v>45947</v>
      </c>
      <c r="D452" t="inlineStr">
        <is>
          <t>ÖSTERGÖTLANDS LÄN</t>
        </is>
      </c>
      <c r="E452" t="inlineStr">
        <is>
          <t>NORRKÖPING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46738-2022</t>
        </is>
      </c>
      <c r="B453" s="1" t="n">
        <v>44851</v>
      </c>
      <c r="C453" s="1" t="n">
        <v>45947</v>
      </c>
      <c r="D453" t="inlineStr">
        <is>
          <t>ÖSTERGÖTLANDS LÄN</t>
        </is>
      </c>
      <c r="E453" t="inlineStr">
        <is>
          <t>NORRKÖPING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7918-2021</t>
        </is>
      </c>
      <c r="B454" s="1" t="n">
        <v>44243</v>
      </c>
      <c r="C454" s="1" t="n">
        <v>45947</v>
      </c>
      <c r="D454" t="inlineStr">
        <is>
          <t>ÖSTERGÖTLANDS LÄN</t>
        </is>
      </c>
      <c r="E454" t="inlineStr">
        <is>
          <t>NORRKÖPING</t>
        </is>
      </c>
      <c r="G454" t="n">
        <v>5.9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58889-2024</t>
        </is>
      </c>
      <c r="B455" s="1" t="n">
        <v>45636.45989583333</v>
      </c>
      <c r="C455" s="1" t="n">
        <v>45947</v>
      </c>
      <c r="D455" t="inlineStr">
        <is>
          <t>ÖSTERGÖTLANDS LÄN</t>
        </is>
      </c>
      <c r="E455" t="inlineStr">
        <is>
          <t>NORRKÖPING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31844-2023</t>
        </is>
      </c>
      <c r="B456" s="1" t="n">
        <v>45106</v>
      </c>
      <c r="C456" s="1" t="n">
        <v>45947</v>
      </c>
      <c r="D456" t="inlineStr">
        <is>
          <t>ÖSTERGÖTLANDS LÄN</t>
        </is>
      </c>
      <c r="E456" t="inlineStr">
        <is>
          <t>NORRKÖPING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18537-2025</t>
        </is>
      </c>
      <c r="B457" s="1" t="n">
        <v>45763.41083333334</v>
      </c>
      <c r="C457" s="1" t="n">
        <v>45947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Holmen skog AB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53363-2024</t>
        </is>
      </c>
      <c r="B458" s="1" t="n">
        <v>45614.46292824074</v>
      </c>
      <c r="C458" s="1" t="n">
        <v>45947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Naturvårdsverket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14484-2021</t>
        </is>
      </c>
      <c r="B459" s="1" t="n">
        <v>44279</v>
      </c>
      <c r="C459" s="1" t="n">
        <v>45947</v>
      </c>
      <c r="D459" t="inlineStr">
        <is>
          <t>ÖSTERGÖTLANDS LÄN</t>
        </is>
      </c>
      <c r="E459" t="inlineStr">
        <is>
          <t>NORRKÖPING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18686-2023</t>
        </is>
      </c>
      <c r="B460" s="1" t="n">
        <v>45043</v>
      </c>
      <c r="C460" s="1" t="n">
        <v>45947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23051-2022</t>
        </is>
      </c>
      <c r="B461" s="1" t="n">
        <v>44719.43200231482</v>
      </c>
      <c r="C461" s="1" t="n">
        <v>45947</v>
      </c>
      <c r="D461" t="inlineStr">
        <is>
          <t>ÖSTERGÖTLANDS LÄN</t>
        </is>
      </c>
      <c r="E461" t="inlineStr">
        <is>
          <t>NORRKÖPING</t>
        </is>
      </c>
      <c r="G461" t="n">
        <v>5.2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46270-2024</t>
        </is>
      </c>
      <c r="B462" s="1" t="n">
        <v>45581.62796296296</v>
      </c>
      <c r="C462" s="1" t="n">
        <v>45947</v>
      </c>
      <c r="D462" t="inlineStr">
        <is>
          <t>ÖSTERGÖTLANDS LÄN</t>
        </is>
      </c>
      <c r="E462" t="inlineStr">
        <is>
          <t>NORRKÖPING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38455-2025</t>
        </is>
      </c>
      <c r="B463" s="1" t="n">
        <v>45883.69113425926</v>
      </c>
      <c r="C463" s="1" t="n">
        <v>45947</v>
      </c>
      <c r="D463" t="inlineStr">
        <is>
          <t>ÖSTERGÖTLANDS LÄN</t>
        </is>
      </c>
      <c r="E463" t="inlineStr">
        <is>
          <t>NORRKÖPING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38644-2025</t>
        </is>
      </c>
      <c r="B464" s="1" t="n">
        <v>45884.57759259259</v>
      </c>
      <c r="C464" s="1" t="n">
        <v>45947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38657-2025</t>
        </is>
      </c>
      <c r="B465" s="1" t="n">
        <v>45884.60458333333</v>
      </c>
      <c r="C465" s="1" t="n">
        <v>45947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38571-2025</t>
        </is>
      </c>
      <c r="B466" s="1" t="n">
        <v>45884.45916666667</v>
      </c>
      <c r="C466" s="1" t="n">
        <v>45947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33131-2025</t>
        </is>
      </c>
      <c r="B467" s="1" t="n">
        <v>45832</v>
      </c>
      <c r="C467" s="1" t="n">
        <v>45947</v>
      </c>
      <c r="D467" t="inlineStr">
        <is>
          <t>ÖSTERGÖTLANDS LÄN</t>
        </is>
      </c>
      <c r="E467" t="inlineStr">
        <is>
          <t>NORRKÖPING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38692-2025</t>
        </is>
      </c>
      <c r="B468" s="1" t="n">
        <v>45884.68263888889</v>
      </c>
      <c r="C468" s="1" t="n">
        <v>45947</v>
      </c>
      <c r="D468" t="inlineStr">
        <is>
          <t>ÖSTERGÖTLANDS LÄN</t>
        </is>
      </c>
      <c r="E468" t="inlineStr">
        <is>
          <t>NORRKÖPING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35293-2021</t>
        </is>
      </c>
      <c r="B469" s="1" t="n">
        <v>44384</v>
      </c>
      <c r="C469" s="1" t="n">
        <v>45947</v>
      </c>
      <c r="D469" t="inlineStr">
        <is>
          <t>ÖSTERGÖTLANDS LÄN</t>
        </is>
      </c>
      <c r="E469" t="inlineStr">
        <is>
          <t>NORRKÖPING</t>
        </is>
      </c>
      <c r="F469" t="inlineStr">
        <is>
          <t>Kyrkan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30834-2022</t>
        </is>
      </c>
      <c r="B470" s="1" t="n">
        <v>44767</v>
      </c>
      <c r="C470" s="1" t="n">
        <v>45947</v>
      </c>
      <c r="D470" t="inlineStr">
        <is>
          <t>ÖSTERGÖTLANDS LÄN</t>
        </is>
      </c>
      <c r="E470" t="inlineStr">
        <is>
          <t>NORRKÖPING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15183-2023</t>
        </is>
      </c>
      <c r="B471" s="1" t="n">
        <v>45016.67141203704</v>
      </c>
      <c r="C471" s="1" t="n">
        <v>45947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1383-2022</t>
        </is>
      </c>
      <c r="B472" s="1" t="n">
        <v>44573.38521990741</v>
      </c>
      <c r="C472" s="1" t="n">
        <v>45947</v>
      </c>
      <c r="D472" t="inlineStr">
        <is>
          <t>ÖSTERGÖTLANDS LÄN</t>
        </is>
      </c>
      <c r="E472" t="inlineStr">
        <is>
          <t>NORRKÖPING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38431-2025</t>
        </is>
      </c>
      <c r="B473" s="1" t="n">
        <v>45883.63648148148</v>
      </c>
      <c r="C473" s="1" t="n">
        <v>45947</v>
      </c>
      <c r="D473" t="inlineStr">
        <is>
          <t>ÖSTERGÖTLANDS LÄN</t>
        </is>
      </c>
      <c r="E473" t="inlineStr">
        <is>
          <t>NORRKÖPING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17249-2024</t>
        </is>
      </c>
      <c r="B474" s="1" t="n">
        <v>45414.39614583334</v>
      </c>
      <c r="C474" s="1" t="n">
        <v>45947</v>
      </c>
      <c r="D474" t="inlineStr">
        <is>
          <t>ÖSTERGÖTLANDS LÄN</t>
        </is>
      </c>
      <c r="E474" t="inlineStr">
        <is>
          <t>NORRKÖPING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33126-2025</t>
        </is>
      </c>
      <c r="B475" s="1" t="n">
        <v>45832</v>
      </c>
      <c r="C475" s="1" t="n">
        <v>45947</v>
      </c>
      <c r="D475" t="inlineStr">
        <is>
          <t>ÖSTERGÖTLANDS LÄN</t>
        </is>
      </c>
      <c r="E475" t="inlineStr">
        <is>
          <t>NORRKÖPING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33138-2025</t>
        </is>
      </c>
      <c r="B476" s="1" t="n">
        <v>45832</v>
      </c>
      <c r="C476" s="1" t="n">
        <v>45947</v>
      </c>
      <c r="D476" t="inlineStr">
        <is>
          <t>ÖSTERGÖTLANDS LÄN</t>
        </is>
      </c>
      <c r="E476" t="inlineStr">
        <is>
          <t>NORRKÖPING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31364-2025</t>
        </is>
      </c>
      <c r="B477" s="1" t="n">
        <v>45833.4374537037</v>
      </c>
      <c r="C477" s="1" t="n">
        <v>45947</v>
      </c>
      <c r="D477" t="inlineStr">
        <is>
          <t>ÖSTERGÖTLANDS LÄN</t>
        </is>
      </c>
      <c r="E477" t="inlineStr">
        <is>
          <t>NORRKÖPING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31320-2025</t>
        </is>
      </c>
      <c r="B478" s="1" t="n">
        <v>45833.40451388889</v>
      </c>
      <c r="C478" s="1" t="n">
        <v>45947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62529-2023</t>
        </is>
      </c>
      <c r="B479" s="1" t="n">
        <v>45268</v>
      </c>
      <c r="C479" s="1" t="n">
        <v>45947</v>
      </c>
      <c r="D479" t="inlineStr">
        <is>
          <t>ÖSTERGÖTLANDS LÄN</t>
        </is>
      </c>
      <c r="E479" t="inlineStr">
        <is>
          <t>NORRKÖPING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31564-2025</t>
        </is>
      </c>
      <c r="B480" s="1" t="n">
        <v>45833.65659722222</v>
      </c>
      <c r="C480" s="1" t="n">
        <v>45947</v>
      </c>
      <c r="D480" t="inlineStr">
        <is>
          <t>ÖSTERGÖTLANDS LÄN</t>
        </is>
      </c>
      <c r="E480" t="inlineStr">
        <is>
          <t>NORRKÖPING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6067-2022</t>
        </is>
      </c>
      <c r="B481" s="1" t="n">
        <v>44599</v>
      </c>
      <c r="C481" s="1" t="n">
        <v>45947</v>
      </c>
      <c r="D481" t="inlineStr">
        <is>
          <t>ÖSTERGÖTLANDS LÄN</t>
        </is>
      </c>
      <c r="E481" t="inlineStr">
        <is>
          <t>NORRKÖPING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32664-2025</t>
        </is>
      </c>
      <c r="B482" s="1" t="n">
        <v>45838.683125</v>
      </c>
      <c r="C482" s="1" t="n">
        <v>45947</v>
      </c>
      <c r="D482" t="inlineStr">
        <is>
          <t>ÖSTERGÖTLANDS LÄN</t>
        </is>
      </c>
      <c r="E482" t="inlineStr">
        <is>
          <t>NORRKÖPING</t>
        </is>
      </c>
      <c r="G482" t="n">
        <v>4.5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5976-2022</t>
        </is>
      </c>
      <c r="B483" s="1" t="n">
        <v>44597</v>
      </c>
      <c r="C483" s="1" t="n">
        <v>45947</v>
      </c>
      <c r="D483" t="inlineStr">
        <is>
          <t>ÖSTERGÖTLANDS LÄN</t>
        </is>
      </c>
      <c r="E483" t="inlineStr">
        <is>
          <t>NORRKÖPING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4852-2021</t>
        </is>
      </c>
      <c r="B484" s="1" t="n">
        <v>44225</v>
      </c>
      <c r="C484" s="1" t="n">
        <v>45947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60899-2024</t>
        </is>
      </c>
      <c r="B485" s="1" t="n">
        <v>45645.27707175926</v>
      </c>
      <c r="C485" s="1" t="n">
        <v>45947</v>
      </c>
      <c r="D485" t="inlineStr">
        <is>
          <t>ÖSTERGÖTLANDS LÄN</t>
        </is>
      </c>
      <c r="E485" t="inlineStr">
        <is>
          <t>NORRKÖPING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32681-2025</t>
        </is>
      </c>
      <c r="B486" s="1" t="n">
        <v>45836</v>
      </c>
      <c r="C486" s="1" t="n">
        <v>45947</v>
      </c>
      <c r="D486" t="inlineStr">
        <is>
          <t>ÖSTERGÖTLANDS LÄN</t>
        </is>
      </c>
      <c r="E486" t="inlineStr">
        <is>
          <t>NORRKÖPING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12191-2023</t>
        </is>
      </c>
      <c r="B487" s="1" t="n">
        <v>44998</v>
      </c>
      <c r="C487" s="1" t="n">
        <v>45947</v>
      </c>
      <c r="D487" t="inlineStr">
        <is>
          <t>ÖSTERGÖTLANDS LÄN</t>
        </is>
      </c>
      <c r="E487" t="inlineStr">
        <is>
          <t>NORRKÖPING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3035-2025</t>
        </is>
      </c>
      <c r="B488" s="1" t="n">
        <v>45678.59783564815</v>
      </c>
      <c r="C488" s="1" t="n">
        <v>45947</v>
      </c>
      <c r="D488" t="inlineStr">
        <is>
          <t>ÖSTERGÖTLANDS LÄN</t>
        </is>
      </c>
      <c r="E488" t="inlineStr">
        <is>
          <t>NORRKÖPING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29622-2022</t>
        </is>
      </c>
      <c r="B489" s="1" t="n">
        <v>44754.57658564814</v>
      </c>
      <c r="C489" s="1" t="n">
        <v>45947</v>
      </c>
      <c r="D489" t="inlineStr">
        <is>
          <t>ÖSTERGÖTLANDS LÄN</t>
        </is>
      </c>
      <c r="E489" t="inlineStr">
        <is>
          <t>NORRKÖPING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64898-2021</t>
        </is>
      </c>
      <c r="B490" s="1" t="n">
        <v>44512</v>
      </c>
      <c r="C490" s="1" t="n">
        <v>45947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Holmen skog AB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26583-2022</t>
        </is>
      </c>
      <c r="B491" s="1" t="n">
        <v>44739.52209490741</v>
      </c>
      <c r="C491" s="1" t="n">
        <v>45947</v>
      </c>
      <c r="D491" t="inlineStr">
        <is>
          <t>ÖSTERGÖTLANDS LÄN</t>
        </is>
      </c>
      <c r="E491" t="inlineStr">
        <is>
          <t>NORRKÖPING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7275-2023</t>
        </is>
      </c>
      <c r="B492" s="1" t="n">
        <v>44970.65930555556</v>
      </c>
      <c r="C492" s="1" t="n">
        <v>45947</v>
      </c>
      <c r="D492" t="inlineStr">
        <is>
          <t>ÖSTERGÖTLANDS LÄN</t>
        </is>
      </c>
      <c r="E492" t="inlineStr">
        <is>
          <t>NORRKÖPING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62973-2021</t>
        </is>
      </c>
      <c r="B493" s="1" t="n">
        <v>44504</v>
      </c>
      <c r="C493" s="1" t="n">
        <v>45947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Allmännings- och besparingsskogar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7141-2023</t>
        </is>
      </c>
      <c r="B494" s="1" t="n">
        <v>44970.44197916667</v>
      </c>
      <c r="C494" s="1" t="n">
        <v>45947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Holmen skog AB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11490-2023</t>
        </is>
      </c>
      <c r="B495" s="1" t="n">
        <v>44993</v>
      </c>
      <c r="C495" s="1" t="n">
        <v>45947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9174-2023</t>
        </is>
      </c>
      <c r="B496" s="1" t="n">
        <v>44980</v>
      </c>
      <c r="C496" s="1" t="n">
        <v>45947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16659-2023</t>
        </is>
      </c>
      <c r="B497" s="1" t="n">
        <v>45030</v>
      </c>
      <c r="C497" s="1" t="n">
        <v>45947</v>
      </c>
      <c r="D497" t="inlineStr">
        <is>
          <t>ÖSTERGÖTLANDS LÄN</t>
        </is>
      </c>
      <c r="E497" t="inlineStr">
        <is>
          <t>NORRKÖPING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19631-2021</t>
        </is>
      </c>
      <c r="B498" s="1" t="n">
        <v>44312</v>
      </c>
      <c r="C498" s="1" t="n">
        <v>45947</v>
      </c>
      <c r="D498" t="inlineStr">
        <is>
          <t>ÖSTERGÖTLANDS LÄN</t>
        </is>
      </c>
      <c r="E498" t="inlineStr">
        <is>
          <t>NORRKÖPING</t>
        </is>
      </c>
      <c r="F498" t="inlineStr">
        <is>
          <t>Holmen skog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50119-2023</t>
        </is>
      </c>
      <c r="B499" s="1" t="n">
        <v>45215.63990740741</v>
      </c>
      <c r="C499" s="1" t="n">
        <v>45947</v>
      </c>
      <c r="D499" t="inlineStr">
        <is>
          <t>ÖSTERGÖTLANDS LÄN</t>
        </is>
      </c>
      <c r="E499" t="inlineStr">
        <is>
          <t>NORRKÖPING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31834-2023</t>
        </is>
      </c>
      <c r="B500" s="1" t="n">
        <v>45106</v>
      </c>
      <c r="C500" s="1" t="n">
        <v>45947</v>
      </c>
      <c r="D500" t="inlineStr">
        <is>
          <t>ÖSTERGÖTLANDS LÄN</t>
        </is>
      </c>
      <c r="E500" t="inlineStr">
        <is>
          <t>NORRKÖPING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13152-2024</t>
        </is>
      </c>
      <c r="B501" s="1" t="n">
        <v>45386.35986111111</v>
      </c>
      <c r="C501" s="1" t="n">
        <v>45947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33246-2025</t>
        </is>
      </c>
      <c r="B502" s="1" t="n">
        <v>45840.65592592592</v>
      </c>
      <c r="C502" s="1" t="n">
        <v>45947</v>
      </c>
      <c r="D502" t="inlineStr">
        <is>
          <t>ÖSTERGÖTLANDS LÄN</t>
        </is>
      </c>
      <c r="E502" t="inlineStr">
        <is>
          <t>NORRKÖPING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38383-2025</t>
        </is>
      </c>
      <c r="B503" s="1" t="n">
        <v>45883.5738425926</v>
      </c>
      <c r="C503" s="1" t="n">
        <v>45947</v>
      </c>
      <c r="D503" t="inlineStr">
        <is>
          <t>ÖSTERGÖTLANDS LÄN</t>
        </is>
      </c>
      <c r="E503" t="inlineStr">
        <is>
          <t>NORRKÖPING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59859-2024</t>
        </is>
      </c>
      <c r="B504" s="1" t="n">
        <v>45638</v>
      </c>
      <c r="C504" s="1" t="n">
        <v>45947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Allmännings- och besparingsskogar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33255-2025</t>
        </is>
      </c>
      <c r="B505" s="1" t="n">
        <v>45840.66780092593</v>
      </c>
      <c r="C505" s="1" t="n">
        <v>45947</v>
      </c>
      <c r="D505" t="inlineStr">
        <is>
          <t>ÖSTERGÖTLANDS LÄN</t>
        </is>
      </c>
      <c r="E505" t="inlineStr">
        <is>
          <t>NORRKÖPING</t>
        </is>
      </c>
      <c r="G505" t="n">
        <v>20.3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38411-2025</t>
        </is>
      </c>
      <c r="B506" s="1" t="n">
        <v>45883.59934027777</v>
      </c>
      <c r="C506" s="1" t="n">
        <v>45947</v>
      </c>
      <c r="D506" t="inlineStr">
        <is>
          <t>ÖSTERGÖTLANDS LÄN</t>
        </is>
      </c>
      <c r="E506" t="inlineStr">
        <is>
          <t>NORRKÖPING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19318-2025</t>
        </is>
      </c>
      <c r="B507" s="1" t="n">
        <v>45769.57802083333</v>
      </c>
      <c r="C507" s="1" t="n">
        <v>45947</v>
      </c>
      <c r="D507" t="inlineStr">
        <is>
          <t>ÖSTERGÖTLANDS LÄN</t>
        </is>
      </c>
      <c r="E507" t="inlineStr">
        <is>
          <t>NORRKÖPING</t>
        </is>
      </c>
      <c r="G507" t="n">
        <v>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33256-2025</t>
        </is>
      </c>
      <c r="B508" s="1" t="n">
        <v>45840.66978009259</v>
      </c>
      <c r="C508" s="1" t="n">
        <v>45947</v>
      </c>
      <c r="D508" t="inlineStr">
        <is>
          <t>ÖSTERGÖTLANDS LÄN</t>
        </is>
      </c>
      <c r="E508" t="inlineStr">
        <is>
          <t>NORRKÖPING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19853-2023</t>
        </is>
      </c>
      <c r="B509" s="1" t="n">
        <v>45053.82055555555</v>
      </c>
      <c r="C509" s="1" t="n">
        <v>45947</v>
      </c>
      <c r="D509" t="inlineStr">
        <is>
          <t>ÖSTERGÖTLANDS LÄN</t>
        </is>
      </c>
      <c r="E509" t="inlineStr">
        <is>
          <t>NORRKÖPING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23783-2022</t>
        </is>
      </c>
      <c r="B510" s="1" t="n">
        <v>44721</v>
      </c>
      <c r="C510" s="1" t="n">
        <v>45947</v>
      </c>
      <c r="D510" t="inlineStr">
        <is>
          <t>ÖSTERGÖTLANDS LÄN</t>
        </is>
      </c>
      <c r="E510" t="inlineStr">
        <is>
          <t>NORRKÖPING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67358-2020</t>
        </is>
      </c>
      <c r="B511" s="1" t="n">
        <v>44181</v>
      </c>
      <c r="C511" s="1" t="n">
        <v>45947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Holmen skog AB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31362-2023</t>
        </is>
      </c>
      <c r="B512" s="1" t="n">
        <v>45114</v>
      </c>
      <c r="C512" s="1" t="n">
        <v>45947</v>
      </c>
      <c r="D512" t="inlineStr">
        <is>
          <t>ÖSTERGÖTLANDS LÄN</t>
        </is>
      </c>
      <c r="E512" t="inlineStr">
        <is>
          <t>NORRKÖPING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4271-2021</t>
        </is>
      </c>
      <c r="B513" s="1" t="n">
        <v>44221</v>
      </c>
      <c r="C513" s="1" t="n">
        <v>45947</v>
      </c>
      <c r="D513" t="inlineStr">
        <is>
          <t>ÖSTERGÖTLANDS LÄN</t>
        </is>
      </c>
      <c r="E513" t="inlineStr">
        <is>
          <t>NORRKÖPING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18636-2023</t>
        </is>
      </c>
      <c r="B514" s="1" t="n">
        <v>45043.49425925926</v>
      </c>
      <c r="C514" s="1" t="n">
        <v>45947</v>
      </c>
      <c r="D514" t="inlineStr">
        <is>
          <t>ÖSTERGÖTLANDS LÄN</t>
        </is>
      </c>
      <c r="E514" t="inlineStr">
        <is>
          <t>NORRKÖPING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59887-2022</t>
        </is>
      </c>
      <c r="B515" s="1" t="n">
        <v>44908</v>
      </c>
      <c r="C515" s="1" t="n">
        <v>45947</v>
      </c>
      <c r="D515" t="inlineStr">
        <is>
          <t>ÖSTERGÖTLANDS LÄN</t>
        </is>
      </c>
      <c r="E515" t="inlineStr">
        <is>
          <t>NORRKÖPING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42173-2023</t>
        </is>
      </c>
      <c r="B516" s="1" t="n">
        <v>45178.4275</v>
      </c>
      <c r="C516" s="1" t="n">
        <v>45947</v>
      </c>
      <c r="D516" t="inlineStr">
        <is>
          <t>ÖSTERGÖTLANDS LÄN</t>
        </is>
      </c>
      <c r="E516" t="inlineStr">
        <is>
          <t>NORRKÖPING</t>
        </is>
      </c>
      <c r="F516" t="inlineStr">
        <is>
          <t>Holmen skog AB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57772-2022</t>
        </is>
      </c>
      <c r="B517" s="1" t="n">
        <v>44897</v>
      </c>
      <c r="C517" s="1" t="n">
        <v>45947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Holmen skog AB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2955-2025</t>
        </is>
      </c>
      <c r="B518" s="1" t="n">
        <v>45678.44092592593</v>
      </c>
      <c r="C518" s="1" t="n">
        <v>45947</v>
      </c>
      <c r="D518" t="inlineStr">
        <is>
          <t>ÖSTERGÖTLANDS LÄN</t>
        </is>
      </c>
      <c r="E518" t="inlineStr">
        <is>
          <t>NORRKÖPING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60639-2024</t>
        </is>
      </c>
      <c r="B519" s="1" t="n">
        <v>45642</v>
      </c>
      <c r="C519" s="1" t="n">
        <v>45947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12.7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12814-2025</t>
        </is>
      </c>
      <c r="B520" s="1" t="n">
        <v>45733.62203703704</v>
      </c>
      <c r="C520" s="1" t="n">
        <v>45947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57376-2024</t>
        </is>
      </c>
      <c r="B521" s="1" t="n">
        <v>45629.67508101852</v>
      </c>
      <c r="C521" s="1" t="n">
        <v>45947</v>
      </c>
      <c r="D521" t="inlineStr">
        <is>
          <t>ÖSTERGÖTLANDS LÄN</t>
        </is>
      </c>
      <c r="E521" t="inlineStr">
        <is>
          <t>NORRKÖPING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57380-2024</t>
        </is>
      </c>
      <c r="B522" s="1" t="n">
        <v>45629.67931712963</v>
      </c>
      <c r="C522" s="1" t="n">
        <v>45947</v>
      </c>
      <c r="D522" t="inlineStr">
        <is>
          <t>ÖSTERGÖTLANDS LÄN</t>
        </is>
      </c>
      <c r="E522" t="inlineStr">
        <is>
          <t>NORRKÖPING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27735-2023</t>
        </is>
      </c>
      <c r="B523" s="1" t="n">
        <v>45098.37322916667</v>
      </c>
      <c r="C523" s="1" t="n">
        <v>45947</v>
      </c>
      <c r="D523" t="inlineStr">
        <is>
          <t>ÖSTERGÖTLANDS LÄN</t>
        </is>
      </c>
      <c r="E523" t="inlineStr">
        <is>
          <t>NORRKÖPING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36887-2022</t>
        </is>
      </c>
      <c r="B524" s="1" t="n">
        <v>44805</v>
      </c>
      <c r="C524" s="1" t="n">
        <v>45947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Allmännings- och besparingsskogar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27236-2023</t>
        </is>
      </c>
      <c r="B525" s="1" t="n">
        <v>45096</v>
      </c>
      <c r="C525" s="1" t="n">
        <v>45947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31653-2023</t>
        </is>
      </c>
      <c r="B526" s="1" t="n">
        <v>45117</v>
      </c>
      <c r="C526" s="1" t="n">
        <v>45947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46610-2024</t>
        </is>
      </c>
      <c r="B527" s="1" t="n">
        <v>45582.98494212963</v>
      </c>
      <c r="C527" s="1" t="n">
        <v>45947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Allmännings- och besparingsskogar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46720-2025</t>
        </is>
      </c>
      <c r="B528" s="1" t="n">
        <v>45926.58292824074</v>
      </c>
      <c r="C528" s="1" t="n">
        <v>45947</v>
      </c>
      <c r="D528" t="inlineStr">
        <is>
          <t>ÖSTERGÖTLANDS LÄN</t>
        </is>
      </c>
      <c r="E528" t="inlineStr">
        <is>
          <t>NORRKÖPING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4471-2025</t>
        </is>
      </c>
      <c r="B529" s="1" t="n">
        <v>45686.61590277778</v>
      </c>
      <c r="C529" s="1" t="n">
        <v>45947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Allmännings- och besparingsskogar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34078-2025</t>
        </is>
      </c>
      <c r="B530" s="1" t="n">
        <v>45845.45563657407</v>
      </c>
      <c r="C530" s="1" t="n">
        <v>45947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49818-2024</t>
        </is>
      </c>
      <c r="B531" s="1" t="n">
        <v>45597.40140046296</v>
      </c>
      <c r="C531" s="1" t="n">
        <v>45947</v>
      </c>
      <c r="D531" t="inlineStr">
        <is>
          <t>ÖSTERGÖTLANDS LÄN</t>
        </is>
      </c>
      <c r="E531" t="inlineStr">
        <is>
          <t>NORRKÖPING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26390-2024</t>
        </is>
      </c>
      <c r="B532" s="1" t="n">
        <v>45469.43265046296</v>
      </c>
      <c r="C532" s="1" t="n">
        <v>45947</v>
      </c>
      <c r="D532" t="inlineStr">
        <is>
          <t>ÖSTERGÖTLANDS LÄN</t>
        </is>
      </c>
      <c r="E532" t="inlineStr">
        <is>
          <t>NORRKÖPING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34231-2025</t>
        </is>
      </c>
      <c r="B533" s="1" t="n">
        <v>45845.65797453704</v>
      </c>
      <c r="C533" s="1" t="n">
        <v>45947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11519-2025</t>
        </is>
      </c>
      <c r="B534" s="1" t="n">
        <v>45726.90959490741</v>
      </c>
      <c r="C534" s="1" t="n">
        <v>45947</v>
      </c>
      <c r="D534" t="inlineStr">
        <is>
          <t>ÖSTERGÖTLANDS LÄN</t>
        </is>
      </c>
      <c r="E534" t="inlineStr">
        <is>
          <t>NORRKÖPING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22470-2022</t>
        </is>
      </c>
      <c r="B535" s="1" t="n">
        <v>44713.58678240741</v>
      </c>
      <c r="C535" s="1" t="n">
        <v>45947</v>
      </c>
      <c r="D535" t="inlineStr">
        <is>
          <t>ÖSTERGÖTLANDS LÄN</t>
        </is>
      </c>
      <c r="E535" t="inlineStr">
        <is>
          <t>NORRKÖPING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38400-2025</t>
        </is>
      </c>
      <c r="B536" s="1" t="n">
        <v>45883.58756944445</v>
      </c>
      <c r="C536" s="1" t="n">
        <v>45947</v>
      </c>
      <c r="D536" t="inlineStr">
        <is>
          <t>ÖSTERGÖTLANDS LÄN</t>
        </is>
      </c>
      <c r="E536" t="inlineStr">
        <is>
          <t>NORRKÖPING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50960-2022</t>
        </is>
      </c>
      <c r="B537" s="1" t="n">
        <v>44867</v>
      </c>
      <c r="C537" s="1" t="n">
        <v>45947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Allmännings- och besparingsskogar</t>
        </is>
      </c>
      <c r="G537" t="n">
        <v>10.3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32511-2023</t>
        </is>
      </c>
      <c r="B538" s="1" t="n">
        <v>45121</v>
      </c>
      <c r="C538" s="1" t="n">
        <v>45947</v>
      </c>
      <c r="D538" t="inlineStr">
        <is>
          <t>ÖSTERGÖTLANDS LÄN</t>
        </is>
      </c>
      <c r="E538" t="inlineStr">
        <is>
          <t>NORRKÖPING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38719-2025</t>
        </is>
      </c>
      <c r="B539" s="1" t="n">
        <v>45886.65516203704</v>
      </c>
      <c r="C539" s="1" t="n">
        <v>45947</v>
      </c>
      <c r="D539" t="inlineStr">
        <is>
          <t>ÖSTERGÖTLANDS LÄN</t>
        </is>
      </c>
      <c r="E539" t="inlineStr">
        <is>
          <t>NORRKÖPING</t>
        </is>
      </c>
      <c r="G539" t="n">
        <v>14.3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13419-2025</t>
        </is>
      </c>
      <c r="B540" s="1" t="n">
        <v>45736.31508101852</v>
      </c>
      <c r="C540" s="1" t="n">
        <v>45947</v>
      </c>
      <c r="D540" t="inlineStr">
        <is>
          <t>ÖSTERGÖTLANDS LÄN</t>
        </is>
      </c>
      <c r="E540" t="inlineStr">
        <is>
          <t>NORRKÖPING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21813-2024</t>
        </is>
      </c>
      <c r="B541" s="1" t="n">
        <v>45442.68033564815</v>
      </c>
      <c r="C541" s="1" t="n">
        <v>45947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4826-2023</t>
        </is>
      </c>
      <c r="B542" s="1" t="n">
        <v>44957</v>
      </c>
      <c r="C542" s="1" t="n">
        <v>45947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5.1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27865-2025</t>
        </is>
      </c>
      <c r="B543" s="1" t="n">
        <v>45817.42607638889</v>
      </c>
      <c r="C543" s="1" t="n">
        <v>45947</v>
      </c>
      <c r="D543" t="inlineStr">
        <is>
          <t>ÖSTERGÖTLANDS LÄN</t>
        </is>
      </c>
      <c r="E543" t="inlineStr">
        <is>
          <t>NORRKÖPING</t>
        </is>
      </c>
      <c r="G543" t="n">
        <v>5.1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18661-2023</t>
        </is>
      </c>
      <c r="B544" s="1" t="n">
        <v>45043</v>
      </c>
      <c r="C544" s="1" t="n">
        <v>45947</v>
      </c>
      <c r="D544" t="inlineStr">
        <is>
          <t>ÖSTERGÖTLANDS LÄN</t>
        </is>
      </c>
      <c r="E544" t="inlineStr">
        <is>
          <t>NORRKÖPING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23438-2021</t>
        </is>
      </c>
      <c r="B545" s="1" t="n">
        <v>44333</v>
      </c>
      <c r="C545" s="1" t="n">
        <v>45947</v>
      </c>
      <c r="D545" t="inlineStr">
        <is>
          <t>ÖSTERGÖTLANDS LÄN</t>
        </is>
      </c>
      <c r="E545" t="inlineStr">
        <is>
          <t>NORRKÖPING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39155-2025</t>
        </is>
      </c>
      <c r="B546" s="1" t="n">
        <v>45888.61847222222</v>
      </c>
      <c r="C546" s="1" t="n">
        <v>45947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Holmen skog AB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47202-2025</t>
        </is>
      </c>
      <c r="B547" s="1" t="n">
        <v>45930.36192129629</v>
      </c>
      <c r="C547" s="1" t="n">
        <v>45947</v>
      </c>
      <c r="D547" t="inlineStr">
        <is>
          <t>ÖSTERGÖTLANDS LÄN</t>
        </is>
      </c>
      <c r="E547" t="inlineStr">
        <is>
          <t>NORRKÖPING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49487-2022</t>
        </is>
      </c>
      <c r="B548" s="1" t="n">
        <v>44861</v>
      </c>
      <c r="C548" s="1" t="n">
        <v>45947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64573-2020</t>
        </is>
      </c>
      <c r="B549" s="1" t="n">
        <v>44166</v>
      </c>
      <c r="C549" s="1" t="n">
        <v>45947</v>
      </c>
      <c r="D549" t="inlineStr">
        <is>
          <t>ÖSTERGÖTLANDS LÄN</t>
        </is>
      </c>
      <c r="E549" t="inlineStr">
        <is>
          <t>NORRKÖPING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13918-2023</t>
        </is>
      </c>
      <c r="B550" s="1" t="n">
        <v>45008</v>
      </c>
      <c r="C550" s="1" t="n">
        <v>45947</v>
      </c>
      <c r="D550" t="inlineStr">
        <is>
          <t>ÖSTERGÖTLANDS LÄN</t>
        </is>
      </c>
      <c r="E550" t="inlineStr">
        <is>
          <t>NORRKÖPING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46835-2025</t>
        </is>
      </c>
      <c r="B551" s="1" t="n">
        <v>45927.83253472222</v>
      </c>
      <c r="C551" s="1" t="n">
        <v>45947</v>
      </c>
      <c r="D551" t="inlineStr">
        <is>
          <t>ÖSTERGÖTLANDS LÄN</t>
        </is>
      </c>
      <c r="E551" t="inlineStr">
        <is>
          <t>NORRKÖPING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1277-2023</t>
        </is>
      </c>
      <c r="B552" s="1" t="n">
        <v>44936</v>
      </c>
      <c r="C552" s="1" t="n">
        <v>45947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Holmen skog AB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1281-2023</t>
        </is>
      </c>
      <c r="B553" s="1" t="n">
        <v>44936</v>
      </c>
      <c r="C553" s="1" t="n">
        <v>45947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16700-2023</t>
        </is>
      </c>
      <c r="B554" s="1" t="n">
        <v>45030</v>
      </c>
      <c r="C554" s="1" t="n">
        <v>45947</v>
      </c>
      <c r="D554" t="inlineStr">
        <is>
          <t>ÖSTERGÖTLANDS LÄN</t>
        </is>
      </c>
      <c r="E554" t="inlineStr">
        <is>
          <t>NORRKÖPING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38913-2025</t>
        </is>
      </c>
      <c r="B555" s="1" t="n">
        <v>45887</v>
      </c>
      <c r="C555" s="1" t="n">
        <v>45947</v>
      </c>
      <c r="D555" t="inlineStr">
        <is>
          <t>ÖSTERGÖTLANDS LÄN</t>
        </is>
      </c>
      <c r="E555" t="inlineStr">
        <is>
          <t>NORRKÖPING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39071-2025</t>
        </is>
      </c>
      <c r="B556" s="1" t="n">
        <v>45888.46922453704</v>
      </c>
      <c r="C556" s="1" t="n">
        <v>45947</v>
      </c>
      <c r="D556" t="inlineStr">
        <is>
          <t>ÖSTERGÖTLANDS LÄN</t>
        </is>
      </c>
      <c r="E556" t="inlineStr">
        <is>
          <t>NORRKÖPING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39072-2025</t>
        </is>
      </c>
      <c r="B557" s="1" t="n">
        <v>45888.4712037037</v>
      </c>
      <c r="C557" s="1" t="n">
        <v>45947</v>
      </c>
      <c r="D557" t="inlineStr">
        <is>
          <t>ÖSTERGÖTLANDS LÄN</t>
        </is>
      </c>
      <c r="E557" t="inlineStr">
        <is>
          <t>NORRKÖPING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66476-2020</t>
        </is>
      </c>
      <c r="B558" s="1" t="n">
        <v>44177</v>
      </c>
      <c r="C558" s="1" t="n">
        <v>45947</v>
      </c>
      <c r="D558" t="inlineStr">
        <is>
          <t>ÖSTERGÖTLANDS LÄN</t>
        </is>
      </c>
      <c r="E558" t="inlineStr">
        <is>
          <t>NORRKÖPING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66478-2020</t>
        </is>
      </c>
      <c r="B559" s="1" t="n">
        <v>44177</v>
      </c>
      <c r="C559" s="1" t="n">
        <v>45947</v>
      </c>
      <c r="D559" t="inlineStr">
        <is>
          <t>ÖSTERGÖTLANDS LÄN</t>
        </is>
      </c>
      <c r="E559" t="inlineStr">
        <is>
          <t>NORRKÖPING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23911-2025</t>
        </is>
      </c>
      <c r="B560" s="1" t="n">
        <v>45794.82371527778</v>
      </c>
      <c r="C560" s="1" t="n">
        <v>45947</v>
      </c>
      <c r="D560" t="inlineStr">
        <is>
          <t>ÖSTERGÖTLANDS LÄN</t>
        </is>
      </c>
      <c r="E560" t="inlineStr">
        <is>
          <t>NORRKÖPING</t>
        </is>
      </c>
      <c r="G560" t="n">
        <v>8.800000000000001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39067-2025</t>
        </is>
      </c>
      <c r="B561" s="1" t="n">
        <v>45888.4658449074</v>
      </c>
      <c r="C561" s="1" t="n">
        <v>45947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15402-2025</t>
        </is>
      </c>
      <c r="B562" s="1" t="n">
        <v>45747.44502314815</v>
      </c>
      <c r="C562" s="1" t="n">
        <v>45947</v>
      </c>
      <c r="D562" t="inlineStr">
        <is>
          <t>ÖSTERGÖTLANDS LÄN</t>
        </is>
      </c>
      <c r="E562" t="inlineStr">
        <is>
          <t>NORRKÖPING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29079-2021</t>
        </is>
      </c>
      <c r="B563" s="1" t="n">
        <v>44358</v>
      </c>
      <c r="C563" s="1" t="n">
        <v>45947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38717-2025</t>
        </is>
      </c>
      <c r="B564" s="1" t="n">
        <v>45886</v>
      </c>
      <c r="C564" s="1" t="n">
        <v>45947</v>
      </c>
      <c r="D564" t="inlineStr">
        <is>
          <t>ÖSTERGÖTLANDS LÄN</t>
        </is>
      </c>
      <c r="E564" t="inlineStr">
        <is>
          <t>NORRKÖPING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47051-2023</t>
        </is>
      </c>
      <c r="B565" s="1" t="n">
        <v>45201.56556712963</v>
      </c>
      <c r="C565" s="1" t="n">
        <v>45947</v>
      </c>
      <c r="D565" t="inlineStr">
        <is>
          <t>ÖSTERGÖTLANDS LÄN</t>
        </is>
      </c>
      <c r="E565" t="inlineStr">
        <is>
          <t>NORRKÖPING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16696-2023</t>
        </is>
      </c>
      <c r="B566" s="1" t="n">
        <v>45030.61489583334</v>
      </c>
      <c r="C566" s="1" t="n">
        <v>45947</v>
      </c>
      <c r="D566" t="inlineStr">
        <is>
          <t>ÖSTERGÖTLANDS LÄN</t>
        </is>
      </c>
      <c r="E566" t="inlineStr">
        <is>
          <t>NORRKÖPING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16698-2023</t>
        </is>
      </c>
      <c r="B567" s="1" t="n">
        <v>45030.61744212963</v>
      </c>
      <c r="C567" s="1" t="n">
        <v>45947</v>
      </c>
      <c r="D567" t="inlineStr">
        <is>
          <t>ÖSTERGÖTLANDS LÄN</t>
        </is>
      </c>
      <c r="E567" t="inlineStr">
        <is>
          <t>NORRKÖPING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47477-2022</t>
        </is>
      </c>
      <c r="B568" s="1" t="n">
        <v>44853.64244212963</v>
      </c>
      <c r="C568" s="1" t="n">
        <v>45947</v>
      </c>
      <c r="D568" t="inlineStr">
        <is>
          <t>ÖSTERGÖTLANDS LÄN</t>
        </is>
      </c>
      <c r="E568" t="inlineStr">
        <is>
          <t>NORRKÖPING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23910-2025</t>
        </is>
      </c>
      <c r="B569" s="1" t="n">
        <v>45794.82150462963</v>
      </c>
      <c r="C569" s="1" t="n">
        <v>45947</v>
      </c>
      <c r="D569" t="inlineStr">
        <is>
          <t>ÖSTERGÖTLANDS LÄN</t>
        </is>
      </c>
      <c r="E569" t="inlineStr">
        <is>
          <t>NORRKÖPING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38740-2025</t>
        </is>
      </c>
      <c r="B570" s="1" t="n">
        <v>45887</v>
      </c>
      <c r="C570" s="1" t="n">
        <v>45947</v>
      </c>
      <c r="D570" t="inlineStr">
        <is>
          <t>ÖSTERGÖTLANDS LÄN</t>
        </is>
      </c>
      <c r="E570" t="inlineStr">
        <is>
          <t>NORRKÖPING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27503-2022</t>
        </is>
      </c>
      <c r="B571" s="1" t="n">
        <v>44742</v>
      </c>
      <c r="C571" s="1" t="n">
        <v>45947</v>
      </c>
      <c r="D571" t="inlineStr">
        <is>
          <t>ÖSTERGÖTLANDS LÄN</t>
        </is>
      </c>
      <c r="E571" t="inlineStr">
        <is>
          <t>NORRKÖPING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12511-2023</t>
        </is>
      </c>
      <c r="B572" s="1" t="n">
        <v>44999</v>
      </c>
      <c r="C572" s="1" t="n">
        <v>45947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Allmännings- och besparingsskogar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41367-2023</t>
        </is>
      </c>
      <c r="B573" s="1" t="n">
        <v>45174</v>
      </c>
      <c r="C573" s="1" t="n">
        <v>45947</v>
      </c>
      <c r="D573" t="inlineStr">
        <is>
          <t>ÖSTERGÖTLANDS LÄN</t>
        </is>
      </c>
      <c r="E573" t="inlineStr">
        <is>
          <t>NORRKÖPING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41375-2023</t>
        </is>
      </c>
      <c r="B574" s="1" t="n">
        <v>45174.87439814815</v>
      </c>
      <c r="C574" s="1" t="n">
        <v>45947</v>
      </c>
      <c r="D574" t="inlineStr">
        <is>
          <t>ÖSTERGÖTLANDS LÄN</t>
        </is>
      </c>
      <c r="E574" t="inlineStr">
        <is>
          <t>NORRKÖPING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11261-2023</t>
        </is>
      </c>
      <c r="B575" s="1" t="n">
        <v>44992</v>
      </c>
      <c r="C575" s="1" t="n">
        <v>45947</v>
      </c>
      <c r="D575" t="inlineStr">
        <is>
          <t>ÖSTERGÖTLANDS LÄN</t>
        </is>
      </c>
      <c r="E575" t="inlineStr">
        <is>
          <t>NORRKÖPING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35736-2025</t>
        </is>
      </c>
      <c r="B576" s="1" t="n">
        <v>45860</v>
      </c>
      <c r="C576" s="1" t="n">
        <v>45947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Allmännings- och besparingsskogar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61188-2020</t>
        </is>
      </c>
      <c r="B577" s="1" t="n">
        <v>44155</v>
      </c>
      <c r="C577" s="1" t="n">
        <v>45947</v>
      </c>
      <c r="D577" t="inlineStr">
        <is>
          <t>ÖSTERGÖTLANDS LÄN</t>
        </is>
      </c>
      <c r="E577" t="inlineStr">
        <is>
          <t>NORRKÖPING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30095-2023</t>
        </is>
      </c>
      <c r="B578" s="1" t="n">
        <v>45110</v>
      </c>
      <c r="C578" s="1" t="n">
        <v>45947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41223-2022</t>
        </is>
      </c>
      <c r="B579" s="1" t="n">
        <v>44826</v>
      </c>
      <c r="C579" s="1" t="n">
        <v>45947</v>
      </c>
      <c r="D579" t="inlineStr">
        <is>
          <t>ÖSTERGÖTLANDS LÄN</t>
        </is>
      </c>
      <c r="E579" t="inlineStr">
        <is>
          <t>NORRKÖPING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14901-2023</t>
        </is>
      </c>
      <c r="B580" s="1" t="n">
        <v>45014</v>
      </c>
      <c r="C580" s="1" t="n">
        <v>45947</v>
      </c>
      <c r="D580" t="inlineStr">
        <is>
          <t>ÖSTERGÖTLANDS LÄN</t>
        </is>
      </c>
      <c r="E580" t="inlineStr">
        <is>
          <t>NORRKÖPING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21664-2024</t>
        </is>
      </c>
      <c r="B581" s="1" t="n">
        <v>45442.38490740741</v>
      </c>
      <c r="C581" s="1" t="n">
        <v>45947</v>
      </c>
      <c r="D581" t="inlineStr">
        <is>
          <t>ÖSTERGÖTLANDS LÄN</t>
        </is>
      </c>
      <c r="E581" t="inlineStr">
        <is>
          <t>NORRKÖPING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24629-2025</t>
        </is>
      </c>
      <c r="B582" s="1" t="n">
        <v>45798.59671296296</v>
      </c>
      <c r="C582" s="1" t="n">
        <v>45947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23907-2025</t>
        </is>
      </c>
      <c r="B583" s="1" t="n">
        <v>45794.81583333333</v>
      </c>
      <c r="C583" s="1" t="n">
        <v>45947</v>
      </c>
      <c r="D583" t="inlineStr">
        <is>
          <t>ÖSTERGÖTLANDS LÄN</t>
        </is>
      </c>
      <c r="E583" t="inlineStr">
        <is>
          <t>NORRKÖPING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39224-2025</t>
        </is>
      </c>
      <c r="B584" s="1" t="n">
        <v>45889</v>
      </c>
      <c r="C584" s="1" t="n">
        <v>45947</v>
      </c>
      <c r="D584" t="inlineStr">
        <is>
          <t>ÖSTERGÖTLANDS LÄN</t>
        </is>
      </c>
      <c r="E584" t="inlineStr">
        <is>
          <t>NORRKÖPING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57495-2023</t>
        </is>
      </c>
      <c r="B585" s="1" t="n">
        <v>45246.41783564815</v>
      </c>
      <c r="C585" s="1" t="n">
        <v>45947</v>
      </c>
      <c r="D585" t="inlineStr">
        <is>
          <t>ÖSTERGÖTLANDS LÄN</t>
        </is>
      </c>
      <c r="E585" t="inlineStr">
        <is>
          <t>NORRKÖPING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3484-2021</t>
        </is>
      </c>
      <c r="B586" s="1" t="n">
        <v>44218</v>
      </c>
      <c r="C586" s="1" t="n">
        <v>45947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23373-2024</t>
        </is>
      </c>
      <c r="B587" s="1" t="n">
        <v>45453.55534722222</v>
      </c>
      <c r="C587" s="1" t="n">
        <v>45947</v>
      </c>
      <c r="D587" t="inlineStr">
        <is>
          <t>ÖSTERGÖTLANDS LÄN</t>
        </is>
      </c>
      <c r="E587" t="inlineStr">
        <is>
          <t>NORRKÖPING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15843-2023</t>
        </is>
      </c>
      <c r="B588" s="1" t="n">
        <v>45022.34695601852</v>
      </c>
      <c r="C588" s="1" t="n">
        <v>45947</v>
      </c>
      <c r="D588" t="inlineStr">
        <is>
          <t>ÖSTERGÖTLANDS LÄN</t>
        </is>
      </c>
      <c r="E588" t="inlineStr">
        <is>
          <t>NORRKÖPING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42758-2025</t>
        </is>
      </c>
      <c r="B589" s="1" t="n">
        <v>45908.46045138889</v>
      </c>
      <c r="C589" s="1" t="n">
        <v>45947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10427-2023</t>
        </is>
      </c>
      <c r="B590" s="1" t="n">
        <v>44987.5428587963</v>
      </c>
      <c r="C590" s="1" t="n">
        <v>45947</v>
      </c>
      <c r="D590" t="inlineStr">
        <is>
          <t>ÖSTERGÖTLANDS LÄN</t>
        </is>
      </c>
      <c r="E590" t="inlineStr">
        <is>
          <t>NORRKÖPING</t>
        </is>
      </c>
      <c r="G590" t="n">
        <v>5.3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39223-2025</t>
        </is>
      </c>
      <c r="B591" s="1" t="n">
        <v>45889</v>
      </c>
      <c r="C591" s="1" t="n">
        <v>45947</v>
      </c>
      <c r="D591" t="inlineStr">
        <is>
          <t>ÖSTERGÖTLANDS LÄN</t>
        </is>
      </c>
      <c r="E591" t="inlineStr">
        <is>
          <t>NORRKÖPING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21772-2024</t>
        </is>
      </c>
      <c r="B592" s="1" t="n">
        <v>45442.61221064815</v>
      </c>
      <c r="C592" s="1" t="n">
        <v>45947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7762-2025</t>
        </is>
      </c>
      <c r="B593" s="1" t="n">
        <v>45706.54385416667</v>
      </c>
      <c r="C593" s="1" t="n">
        <v>45947</v>
      </c>
      <c r="D593" t="inlineStr">
        <is>
          <t>ÖSTERGÖTLANDS LÄN</t>
        </is>
      </c>
      <c r="E593" t="inlineStr">
        <is>
          <t>NORRKÖPING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42766-2025</t>
        </is>
      </c>
      <c r="B594" s="1" t="n">
        <v>45908.47244212963</v>
      </c>
      <c r="C594" s="1" t="n">
        <v>45947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14031-2023</t>
        </is>
      </c>
      <c r="B595" s="1" t="n">
        <v>45008.62458333333</v>
      </c>
      <c r="C595" s="1" t="n">
        <v>45947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15872-2021</t>
        </is>
      </c>
      <c r="B596" s="1" t="n">
        <v>44286.88952546296</v>
      </c>
      <c r="C596" s="1" t="n">
        <v>45947</v>
      </c>
      <c r="D596" t="inlineStr">
        <is>
          <t>ÖSTERGÖTLANDS LÄN</t>
        </is>
      </c>
      <c r="E596" t="inlineStr">
        <is>
          <t>NORRKÖPING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9233-2023</t>
        </is>
      </c>
      <c r="B597" s="1" t="n">
        <v>44980</v>
      </c>
      <c r="C597" s="1" t="n">
        <v>45947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19681-2025</t>
        </is>
      </c>
      <c r="B598" s="1" t="n">
        <v>45770.84420138889</v>
      </c>
      <c r="C598" s="1" t="n">
        <v>45947</v>
      </c>
      <c r="D598" t="inlineStr">
        <is>
          <t>ÖSTERGÖTLANDS LÄN</t>
        </is>
      </c>
      <c r="E598" t="inlineStr">
        <is>
          <t>NORRKÖPING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7317-2025</t>
        </is>
      </c>
      <c r="B599" s="1" t="n">
        <v>45702.76590277778</v>
      </c>
      <c r="C599" s="1" t="n">
        <v>45947</v>
      </c>
      <c r="D599" t="inlineStr">
        <is>
          <t>ÖSTERGÖTLANDS LÄN</t>
        </is>
      </c>
      <c r="E599" t="inlineStr">
        <is>
          <t>NORRKÖPING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14611-2023</t>
        </is>
      </c>
      <c r="B600" s="1" t="n">
        <v>45013.63658564815</v>
      </c>
      <c r="C600" s="1" t="n">
        <v>45947</v>
      </c>
      <c r="D600" t="inlineStr">
        <is>
          <t>ÖSTERGÖTLANDS LÄN</t>
        </is>
      </c>
      <c r="E600" t="inlineStr">
        <is>
          <t>NORRKÖPING</t>
        </is>
      </c>
      <c r="G600" t="n">
        <v>3.1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25981-2023</t>
        </is>
      </c>
      <c r="B601" s="1" t="n">
        <v>45090.90752314815</v>
      </c>
      <c r="C601" s="1" t="n">
        <v>45947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48355-2025</t>
        </is>
      </c>
      <c r="B602" s="1" t="n">
        <v>45933.65831018519</v>
      </c>
      <c r="C602" s="1" t="n">
        <v>45947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Allmännings- och besparingsskogar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27632-2025</t>
        </is>
      </c>
      <c r="B603" s="1" t="n">
        <v>45813.56320601852</v>
      </c>
      <c r="C603" s="1" t="n">
        <v>45947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39861-2025</t>
        </is>
      </c>
      <c r="B604" s="1" t="n">
        <v>45891.59726851852</v>
      </c>
      <c r="C604" s="1" t="n">
        <v>45947</v>
      </c>
      <c r="D604" t="inlineStr">
        <is>
          <t>ÖSTERGÖTLANDS LÄN</t>
        </is>
      </c>
      <c r="E604" t="inlineStr">
        <is>
          <t>NORRKÖPING</t>
        </is>
      </c>
      <c r="G604" t="n">
        <v>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39862-2025</t>
        </is>
      </c>
      <c r="B605" s="1" t="n">
        <v>45891.59938657407</v>
      </c>
      <c r="C605" s="1" t="n">
        <v>45947</v>
      </c>
      <c r="D605" t="inlineStr">
        <is>
          <t>ÖSTERGÖTLANDS LÄN</t>
        </is>
      </c>
      <c r="E605" t="inlineStr">
        <is>
          <t>NORRKÖPING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24634-2025</t>
        </is>
      </c>
      <c r="B606" s="1" t="n">
        <v>45798</v>
      </c>
      <c r="C606" s="1" t="n">
        <v>45947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24018-2025</t>
        </is>
      </c>
      <c r="B607" s="1" t="n">
        <v>45796</v>
      </c>
      <c r="C607" s="1" t="n">
        <v>45947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8.6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32574-2022</t>
        </is>
      </c>
      <c r="B608" s="1" t="n">
        <v>44783</v>
      </c>
      <c r="C608" s="1" t="n">
        <v>45947</v>
      </c>
      <c r="D608" t="inlineStr">
        <is>
          <t>ÖSTERGÖTLANDS LÄN</t>
        </is>
      </c>
      <c r="E608" t="inlineStr">
        <is>
          <t>NORRKÖPING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48361-2025</t>
        </is>
      </c>
      <c r="B609" s="1" t="n">
        <v>45933.66274305555</v>
      </c>
      <c r="C609" s="1" t="n">
        <v>45947</v>
      </c>
      <c r="D609" t="inlineStr">
        <is>
          <t>ÖSTERGÖTLANDS LÄN</t>
        </is>
      </c>
      <c r="E609" t="inlineStr">
        <is>
          <t>NORRKÖPING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24233-2025</t>
        </is>
      </c>
      <c r="B610" s="1" t="n">
        <v>45797</v>
      </c>
      <c r="C610" s="1" t="n">
        <v>45947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5.4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40053-2025</t>
        </is>
      </c>
      <c r="B611" s="1" t="n">
        <v>45894.41133101852</v>
      </c>
      <c r="C611" s="1" t="n">
        <v>45947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Allmännings- och besparingsskogar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53278-2023</t>
        </is>
      </c>
      <c r="B612" s="1" t="n">
        <v>45229</v>
      </c>
      <c r="C612" s="1" t="n">
        <v>45947</v>
      </c>
      <c r="D612" t="inlineStr">
        <is>
          <t>ÖSTERGÖTLANDS LÄN</t>
        </is>
      </c>
      <c r="E612" t="inlineStr">
        <is>
          <t>NORRKÖPING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19113-2023</t>
        </is>
      </c>
      <c r="B613" s="1" t="n">
        <v>45048</v>
      </c>
      <c r="C613" s="1" t="n">
        <v>45947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36302-2025</t>
        </is>
      </c>
      <c r="B614" s="1" t="n">
        <v>45867.7115625</v>
      </c>
      <c r="C614" s="1" t="n">
        <v>45947</v>
      </c>
      <c r="D614" t="inlineStr">
        <is>
          <t>ÖSTERGÖTLANDS LÄN</t>
        </is>
      </c>
      <c r="E614" t="inlineStr">
        <is>
          <t>NORRKÖPING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40132-2025</t>
        </is>
      </c>
      <c r="B615" s="1" t="n">
        <v>45894.55216435185</v>
      </c>
      <c r="C615" s="1" t="n">
        <v>45947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12223-2025</t>
        </is>
      </c>
      <c r="B616" s="1" t="n">
        <v>45729</v>
      </c>
      <c r="C616" s="1" t="n">
        <v>45947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Allmännings- och besparingsskogar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48500-2025</t>
        </is>
      </c>
      <c r="B617" s="1" t="n">
        <v>45936.3762037037</v>
      </c>
      <c r="C617" s="1" t="n">
        <v>45947</v>
      </c>
      <c r="D617" t="inlineStr">
        <is>
          <t>ÖSTERGÖTLANDS LÄN</t>
        </is>
      </c>
      <c r="E617" t="inlineStr">
        <is>
          <t>NORRKÖPING</t>
        </is>
      </c>
      <c r="F617" t="inlineStr">
        <is>
          <t>Holmen skog AB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39865-2025</t>
        </is>
      </c>
      <c r="B618" s="1" t="n">
        <v>45891.60346064815</v>
      </c>
      <c r="C618" s="1" t="n">
        <v>45947</v>
      </c>
      <c r="D618" t="inlineStr">
        <is>
          <t>ÖSTERGÖTLANDS LÄN</t>
        </is>
      </c>
      <c r="E618" t="inlineStr">
        <is>
          <t>NORRKÖPING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18886-2025</t>
        </is>
      </c>
      <c r="B619" s="1" t="n">
        <v>45764.44263888889</v>
      </c>
      <c r="C619" s="1" t="n">
        <v>45947</v>
      </c>
      <c r="D619" t="inlineStr">
        <is>
          <t>ÖSTERGÖTLANDS LÄN</t>
        </is>
      </c>
      <c r="E619" t="inlineStr">
        <is>
          <t>NORRKÖPING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8815-2024</t>
        </is>
      </c>
      <c r="B620" s="1" t="n">
        <v>45356.66037037037</v>
      </c>
      <c r="C620" s="1" t="n">
        <v>45947</v>
      </c>
      <c r="D620" t="inlineStr">
        <is>
          <t>ÖSTERGÖTLANDS LÄN</t>
        </is>
      </c>
      <c r="E620" t="inlineStr">
        <is>
          <t>NORRKÖPING</t>
        </is>
      </c>
      <c r="G620" t="n">
        <v>6.7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9822-2025</t>
        </is>
      </c>
      <c r="B621" s="1" t="n">
        <v>45716.57158564815</v>
      </c>
      <c r="C621" s="1" t="n">
        <v>45947</v>
      </c>
      <c r="D621" t="inlineStr">
        <is>
          <t>ÖSTERGÖTLANDS LÄN</t>
        </is>
      </c>
      <c r="E621" t="inlineStr">
        <is>
          <t>NORRKÖPING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30564-2021</t>
        </is>
      </c>
      <c r="B622" s="1" t="n">
        <v>44364.78170138889</v>
      </c>
      <c r="C622" s="1" t="n">
        <v>45947</v>
      </c>
      <c r="D622" t="inlineStr">
        <is>
          <t>ÖSTERGÖTLANDS LÄN</t>
        </is>
      </c>
      <c r="E622" t="inlineStr">
        <is>
          <t>NORRKÖPING</t>
        </is>
      </c>
      <c r="G622" t="n">
        <v>4.4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18664-2023</t>
        </is>
      </c>
      <c r="B623" s="1" t="n">
        <v>45043</v>
      </c>
      <c r="C623" s="1" t="n">
        <v>45947</v>
      </c>
      <c r="D623" t="inlineStr">
        <is>
          <t>ÖSTERGÖTLANDS LÄN</t>
        </is>
      </c>
      <c r="E623" t="inlineStr">
        <is>
          <t>NORRKÖPING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40095-2025</t>
        </is>
      </c>
      <c r="B624" s="1" t="n">
        <v>45894.4825</v>
      </c>
      <c r="C624" s="1" t="n">
        <v>45947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40134-2025</t>
        </is>
      </c>
      <c r="B625" s="1" t="n">
        <v>45894.55337962963</v>
      </c>
      <c r="C625" s="1" t="n">
        <v>45947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9532-2025</t>
        </is>
      </c>
      <c r="B626" s="1" t="n">
        <v>45715.56964120371</v>
      </c>
      <c r="C626" s="1" t="n">
        <v>45947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39863-2025</t>
        </is>
      </c>
      <c r="B627" s="1" t="n">
        <v>45891.60103009259</v>
      </c>
      <c r="C627" s="1" t="n">
        <v>45947</v>
      </c>
      <c r="D627" t="inlineStr">
        <is>
          <t>ÖSTERGÖTLANDS LÄN</t>
        </is>
      </c>
      <c r="E627" t="inlineStr">
        <is>
          <t>NORRKÖPING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28062-2022</t>
        </is>
      </c>
      <c r="B628" s="1" t="n">
        <v>44746</v>
      </c>
      <c r="C628" s="1" t="n">
        <v>45947</v>
      </c>
      <c r="D628" t="inlineStr">
        <is>
          <t>ÖSTERGÖTLANDS LÄN</t>
        </is>
      </c>
      <c r="E628" t="inlineStr">
        <is>
          <t>NORRKÖPING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22698-2023</t>
        </is>
      </c>
      <c r="B629" s="1" t="n">
        <v>45071</v>
      </c>
      <c r="C629" s="1" t="n">
        <v>45947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40669-2025</t>
        </is>
      </c>
      <c r="B630" s="1" t="n">
        <v>45896.66505787037</v>
      </c>
      <c r="C630" s="1" t="n">
        <v>45947</v>
      </c>
      <c r="D630" t="inlineStr">
        <is>
          <t>ÖSTERGÖTLANDS LÄN</t>
        </is>
      </c>
      <c r="E630" t="inlineStr">
        <is>
          <t>NORRKÖPING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40670-2025</t>
        </is>
      </c>
      <c r="B631" s="1" t="n">
        <v>45896.66944444444</v>
      </c>
      <c r="C631" s="1" t="n">
        <v>45947</v>
      </c>
      <c r="D631" t="inlineStr">
        <is>
          <t>ÖSTERGÖTLANDS LÄN</t>
        </is>
      </c>
      <c r="E631" t="inlineStr">
        <is>
          <t>NORRKÖPING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53852-2022</t>
        </is>
      </c>
      <c r="B632" s="1" t="n">
        <v>44880</v>
      </c>
      <c r="C632" s="1" t="n">
        <v>45947</v>
      </c>
      <c r="D632" t="inlineStr">
        <is>
          <t>ÖSTERGÖTLANDS LÄN</t>
        </is>
      </c>
      <c r="E632" t="inlineStr">
        <is>
          <t>NORRKÖPING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40284-2025</t>
        </is>
      </c>
      <c r="B633" s="1" t="n">
        <v>45895.373125</v>
      </c>
      <c r="C633" s="1" t="n">
        <v>45947</v>
      </c>
      <c r="D633" t="inlineStr">
        <is>
          <t>ÖSTERGÖTLANDS LÄN</t>
        </is>
      </c>
      <c r="E633" t="inlineStr">
        <is>
          <t>NORRKÖPING</t>
        </is>
      </c>
      <c r="F633" t="inlineStr">
        <is>
          <t>Holmen skog AB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11587-2023</t>
        </is>
      </c>
      <c r="B634" s="1" t="n">
        <v>44992</v>
      </c>
      <c r="C634" s="1" t="n">
        <v>45947</v>
      </c>
      <c r="D634" t="inlineStr">
        <is>
          <t>ÖSTERGÖTLANDS LÄN</t>
        </is>
      </c>
      <c r="E634" t="inlineStr">
        <is>
          <t>NORRKÖPING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1935-2022</t>
        </is>
      </c>
      <c r="B635" s="1" t="n">
        <v>44575</v>
      </c>
      <c r="C635" s="1" t="n">
        <v>45947</v>
      </c>
      <c r="D635" t="inlineStr">
        <is>
          <t>ÖSTERGÖTLANDS LÄN</t>
        </is>
      </c>
      <c r="E635" t="inlineStr">
        <is>
          <t>NORRKÖPING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4770-2023</t>
        </is>
      </c>
      <c r="B636" s="1" t="n">
        <v>44957</v>
      </c>
      <c r="C636" s="1" t="n">
        <v>45947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Holmen skog AB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2923-2023</t>
        </is>
      </c>
      <c r="B637" s="1" t="n">
        <v>44945.58030092593</v>
      </c>
      <c r="C637" s="1" t="n">
        <v>45947</v>
      </c>
      <c r="D637" t="inlineStr">
        <is>
          <t>ÖSTERGÖTLANDS LÄN</t>
        </is>
      </c>
      <c r="E637" t="inlineStr">
        <is>
          <t>NORRKÖPING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26834-2023</t>
        </is>
      </c>
      <c r="B638" s="1" t="n">
        <v>45093.54811342592</v>
      </c>
      <c r="C638" s="1" t="n">
        <v>45947</v>
      </c>
      <c r="D638" t="inlineStr">
        <is>
          <t>ÖSTERGÖTLANDS LÄN</t>
        </is>
      </c>
      <c r="E638" t="inlineStr">
        <is>
          <t>NORRKÖPING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30062-2023</t>
        </is>
      </c>
      <c r="B639" s="1" t="n">
        <v>45110</v>
      </c>
      <c r="C639" s="1" t="n">
        <v>45947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63349-2023</t>
        </is>
      </c>
      <c r="B640" s="1" t="n">
        <v>45274.43547453704</v>
      </c>
      <c r="C640" s="1" t="n">
        <v>45947</v>
      </c>
      <c r="D640" t="inlineStr">
        <is>
          <t>ÖSTERGÖTLANDS LÄN</t>
        </is>
      </c>
      <c r="E640" t="inlineStr">
        <is>
          <t>NORRKÖPING</t>
        </is>
      </c>
      <c r="G640" t="n">
        <v>6.2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6566-2025</t>
        </is>
      </c>
      <c r="B641" s="1" t="n">
        <v>45699</v>
      </c>
      <c r="C641" s="1" t="n">
        <v>45947</v>
      </c>
      <c r="D641" t="inlineStr">
        <is>
          <t>ÖSTERGÖTLANDS LÄN</t>
        </is>
      </c>
      <c r="E641" t="inlineStr">
        <is>
          <t>NORRKÖPING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48734-2025</t>
        </is>
      </c>
      <c r="B642" s="1" t="n">
        <v>45936</v>
      </c>
      <c r="C642" s="1" t="n">
        <v>45947</v>
      </c>
      <c r="D642" t="inlineStr">
        <is>
          <t>ÖSTERGÖTLANDS LÄN</t>
        </is>
      </c>
      <c r="E642" t="inlineStr">
        <is>
          <t>NORRKÖPING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48735-2025</t>
        </is>
      </c>
      <c r="B643" s="1" t="n">
        <v>45936</v>
      </c>
      <c r="C643" s="1" t="n">
        <v>45947</v>
      </c>
      <c r="D643" t="inlineStr">
        <is>
          <t>ÖSTERGÖTLANDS LÄN</t>
        </is>
      </c>
      <c r="E643" t="inlineStr">
        <is>
          <t>NORRKÖPING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40315-2025</t>
        </is>
      </c>
      <c r="B644" s="1" t="n">
        <v>45895.42582175926</v>
      </c>
      <c r="C644" s="1" t="n">
        <v>45947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Holmen skog AB</t>
        </is>
      </c>
      <c r="G644" t="n">
        <v>8.699999999999999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40278-2025</t>
        </is>
      </c>
      <c r="B645" s="1" t="n">
        <v>45895.3627662037</v>
      </c>
      <c r="C645" s="1" t="n">
        <v>45947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Holmen skog AB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12682-2025</t>
        </is>
      </c>
      <c r="B646" s="1" t="n">
        <v>45733.44431712963</v>
      </c>
      <c r="C646" s="1" t="n">
        <v>45947</v>
      </c>
      <c r="D646" t="inlineStr">
        <is>
          <t>ÖSTERGÖTLANDS LÄN</t>
        </is>
      </c>
      <c r="E646" t="inlineStr">
        <is>
          <t>NORRKÖPING</t>
        </is>
      </c>
      <c r="F646" t="inlineStr">
        <is>
          <t>Holmen skog AB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HYPERLINK("https://klasma.github.io/Logging_0581/knärot/A 12682-2025 karta knärot.png", "A 12682-2025")</f>
        <v/>
      </c>
      <c r="V646">
        <f>HYPERLINK("https://klasma.github.io/Logging_0581/klagomål/A 12682-2025 FSC-klagomål.docx", "A 12682-2025")</f>
        <v/>
      </c>
      <c r="W646">
        <f>HYPERLINK("https://klasma.github.io/Logging_0581/klagomålsmail/A 12682-2025 FSC-klagomål mail.docx", "A 12682-2025")</f>
        <v/>
      </c>
      <c r="X646">
        <f>HYPERLINK("https://klasma.github.io/Logging_0581/tillsyn/A 12682-2025 tillsynsbegäran.docx", "A 12682-2025")</f>
        <v/>
      </c>
      <c r="Y646">
        <f>HYPERLINK("https://klasma.github.io/Logging_0581/tillsynsmail/A 12682-2025 tillsynsbegäran mail.docx", "A 12682-2025")</f>
        <v/>
      </c>
    </row>
    <row r="647" ht="15" customHeight="1">
      <c r="A647" t="inlineStr">
        <is>
          <t>A 20356-2024</t>
        </is>
      </c>
      <c r="B647" s="1" t="n">
        <v>45435</v>
      </c>
      <c r="C647" s="1" t="n">
        <v>45947</v>
      </c>
      <c r="D647" t="inlineStr">
        <is>
          <t>ÖSTERGÖTLANDS LÄN</t>
        </is>
      </c>
      <c r="E647" t="inlineStr">
        <is>
          <t>NORRKÖPING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60210-2020</t>
        </is>
      </c>
      <c r="B648" s="1" t="n">
        <v>44152</v>
      </c>
      <c r="C648" s="1" t="n">
        <v>45947</v>
      </c>
      <c r="D648" t="inlineStr">
        <is>
          <t>ÖSTERGÖTLANDS LÄN</t>
        </is>
      </c>
      <c r="E648" t="inlineStr">
        <is>
          <t>NORRKÖPING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38874-2024</t>
        </is>
      </c>
      <c r="B649" s="1" t="n">
        <v>45547.64484953704</v>
      </c>
      <c r="C649" s="1" t="n">
        <v>45947</v>
      </c>
      <c r="D649" t="inlineStr">
        <is>
          <t>ÖSTERGÖTLANDS LÄN</t>
        </is>
      </c>
      <c r="E649" t="inlineStr">
        <is>
          <t>NORRKÖPING</t>
        </is>
      </c>
      <c r="F649" t="inlineStr">
        <is>
          <t>Allmännings- och besparingsskogar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62177-2024</t>
        </is>
      </c>
      <c r="B650" s="1" t="n">
        <v>45657.95927083334</v>
      </c>
      <c r="C650" s="1" t="n">
        <v>45947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7.1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2975-2025</t>
        </is>
      </c>
      <c r="B651" s="1" t="n">
        <v>45678.47236111111</v>
      </c>
      <c r="C651" s="1" t="n">
        <v>45947</v>
      </c>
      <c r="D651" t="inlineStr">
        <is>
          <t>ÖSTERGÖTLANDS LÄN</t>
        </is>
      </c>
      <c r="E651" t="inlineStr">
        <is>
          <t>NORRKÖPING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25287-2023</t>
        </is>
      </c>
      <c r="B652" s="1" t="n">
        <v>45086.71662037037</v>
      </c>
      <c r="C652" s="1" t="n">
        <v>45947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Allmännings- och besparingsskogar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58884-2024</t>
        </is>
      </c>
      <c r="B653" s="1" t="n">
        <v>45636.45025462963</v>
      </c>
      <c r="C653" s="1" t="n">
        <v>45947</v>
      </c>
      <c r="D653" t="inlineStr">
        <is>
          <t>ÖSTERGÖTLANDS LÄN</t>
        </is>
      </c>
      <c r="E653" t="inlineStr">
        <is>
          <t>NORRKÖPING</t>
        </is>
      </c>
      <c r="G653" t="n">
        <v>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20227-2025</t>
        </is>
      </c>
      <c r="B654" s="1" t="n">
        <v>45772.6652662037</v>
      </c>
      <c r="C654" s="1" t="n">
        <v>45947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46633-2024</t>
        </is>
      </c>
      <c r="B655" s="1" t="n">
        <v>45583.34371527778</v>
      </c>
      <c r="C655" s="1" t="n">
        <v>45947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59460-2023</t>
        </is>
      </c>
      <c r="B656" s="1" t="n">
        <v>45254</v>
      </c>
      <c r="C656" s="1" t="n">
        <v>45947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22651-2023</t>
        </is>
      </c>
      <c r="B657" s="1" t="n">
        <v>45071</v>
      </c>
      <c r="C657" s="1" t="n">
        <v>45947</v>
      </c>
      <c r="D657" t="inlineStr">
        <is>
          <t>ÖSTERGÖTLANDS LÄN</t>
        </is>
      </c>
      <c r="E657" t="inlineStr">
        <is>
          <t>NORRKÖPING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23630-2023</t>
        </is>
      </c>
      <c r="B658" s="1" t="n">
        <v>45077</v>
      </c>
      <c r="C658" s="1" t="n">
        <v>45947</v>
      </c>
      <c r="D658" t="inlineStr">
        <is>
          <t>ÖSTERGÖTLANDS LÄN</t>
        </is>
      </c>
      <c r="E658" t="inlineStr">
        <is>
          <t>NORRKÖPING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31801-2024</t>
        </is>
      </c>
      <c r="B659" s="1" t="n">
        <v>45509.57052083333</v>
      </c>
      <c r="C659" s="1" t="n">
        <v>45947</v>
      </c>
      <c r="D659" t="inlineStr">
        <is>
          <t>ÖSTERGÖTLANDS LÄN</t>
        </is>
      </c>
      <c r="E659" t="inlineStr">
        <is>
          <t>NORRKÖPING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18658-2023</t>
        </is>
      </c>
      <c r="B660" s="1" t="n">
        <v>45043</v>
      </c>
      <c r="C660" s="1" t="n">
        <v>45947</v>
      </c>
      <c r="D660" t="inlineStr">
        <is>
          <t>ÖSTERGÖTLANDS LÄN</t>
        </is>
      </c>
      <c r="E660" t="inlineStr">
        <is>
          <t>NORRKÖPING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29010-2023</t>
        </is>
      </c>
      <c r="B661" s="1" t="n">
        <v>45096</v>
      </c>
      <c r="C661" s="1" t="n">
        <v>45947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Allmännings- och besparingsskogar</t>
        </is>
      </c>
      <c r="G661" t="n">
        <v>12.3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49785-2025</t>
        </is>
      </c>
      <c r="B662" s="1" t="n">
        <v>45940.39841435185</v>
      </c>
      <c r="C662" s="1" t="n">
        <v>45947</v>
      </c>
      <c r="D662" t="inlineStr">
        <is>
          <t>ÖSTERGÖTLANDS LÄN</t>
        </is>
      </c>
      <c r="E662" t="inlineStr">
        <is>
          <t>NORRKÖPING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40679-2025</t>
        </is>
      </c>
      <c r="B663" s="1" t="n">
        <v>45896.81087962963</v>
      </c>
      <c r="C663" s="1" t="n">
        <v>45947</v>
      </c>
      <c r="D663" t="inlineStr">
        <is>
          <t>ÖSTERGÖTLANDS LÄN</t>
        </is>
      </c>
      <c r="E663" t="inlineStr">
        <is>
          <t>NORRKÖPING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49781-2025</t>
        </is>
      </c>
      <c r="B664" s="1" t="n">
        <v>45940.39386574074</v>
      </c>
      <c r="C664" s="1" t="n">
        <v>45947</v>
      </c>
      <c r="D664" t="inlineStr">
        <is>
          <t>ÖSTERGÖTLANDS LÄN</t>
        </is>
      </c>
      <c r="E664" t="inlineStr">
        <is>
          <t>NORRKÖPING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43277-2023</t>
        </is>
      </c>
      <c r="B665" s="1" t="n">
        <v>45183</v>
      </c>
      <c r="C665" s="1" t="n">
        <v>45947</v>
      </c>
      <c r="D665" t="inlineStr">
        <is>
          <t>ÖSTERGÖTLANDS LÄN</t>
        </is>
      </c>
      <c r="E665" t="inlineStr">
        <is>
          <t>NORRKÖPING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41215-2025</t>
        </is>
      </c>
      <c r="B666" s="1" t="n">
        <v>45898.58202546297</v>
      </c>
      <c r="C666" s="1" t="n">
        <v>45947</v>
      </c>
      <c r="D666" t="inlineStr">
        <is>
          <t>ÖSTERGÖTLANDS LÄN</t>
        </is>
      </c>
      <c r="E666" t="inlineStr">
        <is>
          <t>NORRKÖPING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19995-2025</t>
        </is>
      </c>
      <c r="B667" s="1" t="n">
        <v>45771.76943287037</v>
      </c>
      <c r="C667" s="1" t="n">
        <v>45947</v>
      </c>
      <c r="D667" t="inlineStr">
        <is>
          <t>ÖSTERGÖTLANDS LÄN</t>
        </is>
      </c>
      <c r="E667" t="inlineStr">
        <is>
          <t>NORRKÖPING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44688-2025</t>
        </is>
      </c>
      <c r="B668" s="1" t="n">
        <v>45917.58798611111</v>
      </c>
      <c r="C668" s="1" t="n">
        <v>45947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19259-2023</t>
        </is>
      </c>
      <c r="B669" s="1" t="n">
        <v>45049.34974537037</v>
      </c>
      <c r="C669" s="1" t="n">
        <v>45947</v>
      </c>
      <c r="D669" t="inlineStr">
        <is>
          <t>ÖSTERGÖTLANDS LÄN</t>
        </is>
      </c>
      <c r="E669" t="inlineStr">
        <is>
          <t>NORRKÖPING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19260-2023</t>
        </is>
      </c>
      <c r="B670" s="1" t="n">
        <v>45049.35048611111</v>
      </c>
      <c r="C670" s="1" t="n">
        <v>45947</v>
      </c>
      <c r="D670" t="inlineStr">
        <is>
          <t>ÖSTERGÖTLANDS LÄN</t>
        </is>
      </c>
      <c r="E670" t="inlineStr">
        <is>
          <t>NORRKÖPING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44620-2025</t>
        </is>
      </c>
      <c r="B671" s="1" t="n">
        <v>45917.46651620371</v>
      </c>
      <c r="C671" s="1" t="n">
        <v>45947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34907-2024</t>
        </is>
      </c>
      <c r="B672" s="1" t="n">
        <v>45527.41597222222</v>
      </c>
      <c r="C672" s="1" t="n">
        <v>45947</v>
      </c>
      <c r="D672" t="inlineStr">
        <is>
          <t>ÖSTERGÖTLANDS LÄN</t>
        </is>
      </c>
      <c r="E672" t="inlineStr">
        <is>
          <t>NORRKÖPING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44560-2025</t>
        </is>
      </c>
      <c r="B673" s="1" t="n">
        <v>45917.34472222222</v>
      </c>
      <c r="C673" s="1" t="n">
        <v>45947</v>
      </c>
      <c r="D673" t="inlineStr">
        <is>
          <t>ÖSTERGÖTLANDS LÄN</t>
        </is>
      </c>
      <c r="E673" t="inlineStr">
        <is>
          <t>NORRKÖPING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2021-2023</t>
        </is>
      </c>
      <c r="B674" s="1" t="n">
        <v>44939</v>
      </c>
      <c r="C674" s="1" t="n">
        <v>45947</v>
      </c>
      <c r="D674" t="inlineStr">
        <is>
          <t>ÖSTERGÖTLANDS LÄN</t>
        </is>
      </c>
      <c r="E674" t="inlineStr">
        <is>
          <t>NORRKÖPING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14503-2023</t>
        </is>
      </c>
      <c r="B675" s="1" t="n">
        <v>45012.79270833333</v>
      </c>
      <c r="C675" s="1" t="n">
        <v>45947</v>
      </c>
      <c r="D675" t="inlineStr">
        <is>
          <t>ÖSTERGÖTLANDS LÄN</t>
        </is>
      </c>
      <c r="E675" t="inlineStr">
        <is>
          <t>NORRKÖPING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26494-2025</t>
        </is>
      </c>
      <c r="B676" s="1" t="n">
        <v>45807</v>
      </c>
      <c r="C676" s="1" t="n">
        <v>45947</v>
      </c>
      <c r="D676" t="inlineStr">
        <is>
          <t>ÖSTERGÖTLANDS LÄN</t>
        </is>
      </c>
      <c r="E676" t="inlineStr">
        <is>
          <t>NORRKÖPING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44554-2025</t>
        </is>
      </c>
      <c r="B677" s="1" t="n">
        <v>45917.34253472222</v>
      </c>
      <c r="C677" s="1" t="n">
        <v>45947</v>
      </c>
      <c r="D677" t="inlineStr">
        <is>
          <t>ÖSTERGÖTLANDS LÄN</t>
        </is>
      </c>
      <c r="E677" t="inlineStr">
        <is>
          <t>NORRKÖPING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36542-2023</t>
        </is>
      </c>
      <c r="B678" s="1" t="n">
        <v>45153.36402777778</v>
      </c>
      <c r="C678" s="1" t="n">
        <v>45947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31668-2023</t>
        </is>
      </c>
      <c r="B679" s="1" t="n">
        <v>45117</v>
      </c>
      <c r="C679" s="1" t="n">
        <v>45947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Holmen skog AB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17582-2025</t>
        </is>
      </c>
      <c r="B680" s="1" t="n">
        <v>45757.66474537037</v>
      </c>
      <c r="C680" s="1" t="n">
        <v>45947</v>
      </c>
      <c r="D680" t="inlineStr">
        <is>
          <t>ÖSTERGÖTLANDS LÄN</t>
        </is>
      </c>
      <c r="E680" t="inlineStr">
        <is>
          <t>NORRKÖPING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55063-2023</t>
        </is>
      </c>
      <c r="B681" s="1" t="n">
        <v>45237</v>
      </c>
      <c r="C681" s="1" t="n">
        <v>45947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Kyrkan</t>
        </is>
      </c>
      <c r="G681" t="n">
        <v>9.699999999999999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19230-2025</t>
        </is>
      </c>
      <c r="B682" s="1" t="n">
        <v>45769.45751157407</v>
      </c>
      <c r="C682" s="1" t="n">
        <v>45947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9262-2023</t>
        </is>
      </c>
      <c r="B683" s="1" t="n">
        <v>44980</v>
      </c>
      <c r="C683" s="1" t="n">
        <v>45947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6.4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44700-2025</t>
        </is>
      </c>
      <c r="B684" s="1" t="n">
        <v>45917.60378472223</v>
      </c>
      <c r="C684" s="1" t="n">
        <v>45947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26832-2023</t>
        </is>
      </c>
      <c r="B685" s="1" t="n">
        <v>45093</v>
      </c>
      <c r="C685" s="1" t="n">
        <v>45947</v>
      </c>
      <c r="D685" t="inlineStr">
        <is>
          <t>ÖSTERGÖTLANDS LÄN</t>
        </is>
      </c>
      <c r="E685" t="inlineStr">
        <is>
          <t>NORRKÖPING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8987-2023</t>
        </is>
      </c>
      <c r="B686" s="1" t="n">
        <v>44974</v>
      </c>
      <c r="C686" s="1" t="n">
        <v>45947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Allmännings- och besparingsskogar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19287-2025</t>
        </is>
      </c>
      <c r="B687" s="1" t="n">
        <v>45769</v>
      </c>
      <c r="C687" s="1" t="n">
        <v>45947</v>
      </c>
      <c r="D687" t="inlineStr">
        <is>
          <t>ÖSTERGÖTLANDS LÄN</t>
        </is>
      </c>
      <c r="E687" t="inlineStr">
        <is>
          <t>NORRKÖPING</t>
        </is>
      </c>
      <c r="G687" t="n">
        <v>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19298-2025</t>
        </is>
      </c>
      <c r="B688" s="1" t="n">
        <v>45769</v>
      </c>
      <c r="C688" s="1" t="n">
        <v>45947</v>
      </c>
      <c r="D688" t="inlineStr">
        <is>
          <t>ÖSTERGÖTLANDS LÄN</t>
        </is>
      </c>
      <c r="E688" t="inlineStr">
        <is>
          <t>NORRKÖPING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9206-2023</t>
        </is>
      </c>
      <c r="B689" s="1" t="n">
        <v>44980.48200231481</v>
      </c>
      <c r="C689" s="1" t="n">
        <v>45947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9512-2023</t>
        </is>
      </c>
      <c r="B690" s="1" t="n">
        <v>44981</v>
      </c>
      <c r="C690" s="1" t="n">
        <v>45947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6636-2023</t>
        </is>
      </c>
      <c r="B691" s="1" t="n">
        <v>44966.57550925926</v>
      </c>
      <c r="C691" s="1" t="n">
        <v>45947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16705-2023</t>
        </is>
      </c>
      <c r="B692" s="1" t="n">
        <v>45030.62916666667</v>
      </c>
      <c r="C692" s="1" t="n">
        <v>45947</v>
      </c>
      <c r="D692" t="inlineStr">
        <is>
          <t>ÖSTERGÖTLANDS LÄN</t>
        </is>
      </c>
      <c r="E692" t="inlineStr">
        <is>
          <t>NORRKÖPING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41321-2025</t>
        </is>
      </c>
      <c r="B693" s="1" t="n">
        <v>45898.86685185185</v>
      </c>
      <c r="C693" s="1" t="n">
        <v>45947</v>
      </c>
      <c r="D693" t="inlineStr">
        <is>
          <t>ÖSTERGÖTLANDS LÄN</t>
        </is>
      </c>
      <c r="E693" t="inlineStr">
        <is>
          <t>NORRKÖPING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49452-2021</t>
        </is>
      </c>
      <c r="B694" s="1" t="n">
        <v>44454</v>
      </c>
      <c r="C694" s="1" t="n">
        <v>45947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50152-2025</t>
        </is>
      </c>
      <c r="B695" s="1" t="n">
        <v>45943.57453703704</v>
      </c>
      <c r="C695" s="1" t="n">
        <v>45947</v>
      </c>
      <c r="D695" t="inlineStr">
        <is>
          <t>ÖSTERGÖTLANDS LÄN</t>
        </is>
      </c>
      <c r="E695" t="inlineStr">
        <is>
          <t>NORRKÖPING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28601-2024</t>
        </is>
      </c>
      <c r="B696" s="1" t="n">
        <v>45478.42675925926</v>
      </c>
      <c r="C696" s="1" t="n">
        <v>45947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12674-2025</t>
        </is>
      </c>
      <c r="B697" s="1" t="n">
        <v>45733.43347222222</v>
      </c>
      <c r="C697" s="1" t="n">
        <v>45947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8517-2023</t>
        </is>
      </c>
      <c r="B698" s="1" t="n">
        <v>44977.57584490741</v>
      </c>
      <c r="C698" s="1" t="n">
        <v>45947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50143-2025</t>
        </is>
      </c>
      <c r="B699" s="1" t="n">
        <v>45943.57040509259</v>
      </c>
      <c r="C699" s="1" t="n">
        <v>45947</v>
      </c>
      <c r="D699" t="inlineStr">
        <is>
          <t>ÖSTERGÖTLANDS LÄN</t>
        </is>
      </c>
      <c r="E699" t="inlineStr">
        <is>
          <t>NORRKÖPING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50144-2025</t>
        </is>
      </c>
      <c r="B700" s="1" t="n">
        <v>45943.57129629629</v>
      </c>
      <c r="C700" s="1" t="n">
        <v>45947</v>
      </c>
      <c r="D700" t="inlineStr">
        <is>
          <t>ÖSTERGÖTLANDS LÄN</t>
        </is>
      </c>
      <c r="E700" t="inlineStr">
        <is>
          <t>NORRKÖPING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50146-2025</t>
        </is>
      </c>
      <c r="B701" s="1" t="n">
        <v>45943.57232638889</v>
      </c>
      <c r="C701" s="1" t="n">
        <v>45947</v>
      </c>
      <c r="D701" t="inlineStr">
        <is>
          <t>ÖSTERGÖTLANDS LÄN</t>
        </is>
      </c>
      <c r="E701" t="inlineStr">
        <is>
          <t>NORRKÖPING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37528-2025</t>
        </is>
      </c>
      <c r="B702" s="1" t="n">
        <v>45877</v>
      </c>
      <c r="C702" s="1" t="n">
        <v>45947</v>
      </c>
      <c r="D702" t="inlineStr">
        <is>
          <t>ÖSTERGÖTLANDS LÄN</t>
        </is>
      </c>
      <c r="E702" t="inlineStr">
        <is>
          <t>NORRKÖPING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45534-2025</t>
        </is>
      </c>
      <c r="B703" s="1" t="n">
        <v>45922.60783564814</v>
      </c>
      <c r="C703" s="1" t="n">
        <v>45947</v>
      </c>
      <c r="D703" t="inlineStr">
        <is>
          <t>ÖSTERGÖTLANDS LÄN</t>
        </is>
      </c>
      <c r="E703" t="inlineStr">
        <is>
          <t>NORRKÖPING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49060-2022</t>
        </is>
      </c>
      <c r="B704" s="1" t="n">
        <v>44860</v>
      </c>
      <c r="C704" s="1" t="n">
        <v>45947</v>
      </c>
      <c r="D704" t="inlineStr">
        <is>
          <t>ÖSTERGÖTLANDS LÄN</t>
        </is>
      </c>
      <c r="E704" t="inlineStr">
        <is>
          <t>NORRKÖPING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23946-2025</t>
        </is>
      </c>
      <c r="B705" s="1" t="n">
        <v>45796</v>
      </c>
      <c r="C705" s="1" t="n">
        <v>45947</v>
      </c>
      <c r="D705" t="inlineStr">
        <is>
          <t>ÖSTERGÖTLANDS LÄN</t>
        </is>
      </c>
      <c r="E705" t="inlineStr">
        <is>
          <t>NORRKÖPING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56465-2020</t>
        </is>
      </c>
      <c r="B706" s="1" t="n">
        <v>44137</v>
      </c>
      <c r="C706" s="1" t="n">
        <v>45947</v>
      </c>
      <c r="D706" t="inlineStr">
        <is>
          <t>ÖSTERGÖTLANDS LÄN</t>
        </is>
      </c>
      <c r="E706" t="inlineStr">
        <is>
          <t>NORRKÖPING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61707-2020</t>
        </is>
      </c>
      <c r="B707" s="1" t="n">
        <v>44158</v>
      </c>
      <c r="C707" s="1" t="n">
        <v>45947</v>
      </c>
      <c r="D707" t="inlineStr">
        <is>
          <t>ÖSTERGÖTLANDS LÄN</t>
        </is>
      </c>
      <c r="E707" t="inlineStr">
        <is>
          <t>NORRKÖPING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14441-2025</t>
        </is>
      </c>
      <c r="B708" s="1" t="n">
        <v>45741.51940972222</v>
      </c>
      <c r="C708" s="1" t="n">
        <v>45947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Allmännings- och besparingsskogar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45362-2021</t>
        </is>
      </c>
      <c r="B709" s="1" t="n">
        <v>44439.97621527778</v>
      </c>
      <c r="C709" s="1" t="n">
        <v>45947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59023-2020</t>
        </is>
      </c>
      <c r="B710" s="1" t="n">
        <v>44147</v>
      </c>
      <c r="C710" s="1" t="n">
        <v>45947</v>
      </c>
      <c r="D710" t="inlineStr">
        <is>
          <t>ÖSTERGÖTLANDS LÄN</t>
        </is>
      </c>
      <c r="E710" t="inlineStr">
        <is>
          <t>NORRKÖPING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43559-2021</t>
        </is>
      </c>
      <c r="B711" s="1" t="n">
        <v>44433</v>
      </c>
      <c r="C711" s="1" t="n">
        <v>45947</v>
      </c>
      <c r="D711" t="inlineStr">
        <is>
          <t>ÖSTERGÖTLANDS LÄN</t>
        </is>
      </c>
      <c r="E711" t="inlineStr">
        <is>
          <t>NORRKÖPING</t>
        </is>
      </c>
      <c r="G711" t="n">
        <v>11.1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7714-2025</t>
        </is>
      </c>
      <c r="B712" s="1" t="n">
        <v>45706.42958333333</v>
      </c>
      <c r="C712" s="1" t="n">
        <v>45947</v>
      </c>
      <c r="D712" t="inlineStr">
        <is>
          <t>ÖSTERGÖTLANDS LÄN</t>
        </is>
      </c>
      <c r="E712" t="inlineStr">
        <is>
          <t>NORRKÖPING</t>
        </is>
      </c>
      <c r="G712" t="n">
        <v>13.8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23941-2025</t>
        </is>
      </c>
      <c r="B713" s="1" t="n">
        <v>45796</v>
      </c>
      <c r="C713" s="1" t="n">
        <v>45947</v>
      </c>
      <c r="D713" t="inlineStr">
        <is>
          <t>ÖSTERGÖTLANDS LÄN</t>
        </is>
      </c>
      <c r="E713" t="inlineStr">
        <is>
          <t>NORRKÖPING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50154-2025</t>
        </is>
      </c>
      <c r="B714" s="1" t="n">
        <v>45943.57618055555</v>
      </c>
      <c r="C714" s="1" t="n">
        <v>45947</v>
      </c>
      <c r="D714" t="inlineStr">
        <is>
          <t>ÖSTERGÖTLANDS LÄN</t>
        </is>
      </c>
      <c r="E714" t="inlineStr">
        <is>
          <t>NORRKÖPING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25982-2023</t>
        </is>
      </c>
      <c r="B715" s="1" t="n">
        <v>45090</v>
      </c>
      <c r="C715" s="1" t="n">
        <v>45947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Allmännings- och besparingsskogar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27857-2025</t>
        </is>
      </c>
      <c r="B716" s="1" t="n">
        <v>45817.41037037037</v>
      </c>
      <c r="C716" s="1" t="n">
        <v>45947</v>
      </c>
      <c r="D716" t="inlineStr">
        <is>
          <t>ÖSTERGÖTLANDS LÄN</t>
        </is>
      </c>
      <c r="E716" t="inlineStr">
        <is>
          <t>NORRKÖPING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45538-2025</t>
        </is>
      </c>
      <c r="B717" s="1" t="n">
        <v>45922.61070601852</v>
      </c>
      <c r="C717" s="1" t="n">
        <v>45947</v>
      </c>
      <c r="D717" t="inlineStr">
        <is>
          <t>ÖSTERGÖTLANDS LÄN</t>
        </is>
      </c>
      <c r="E717" t="inlineStr">
        <is>
          <t>NORRKÖPING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57413-2022</t>
        </is>
      </c>
      <c r="B718" s="1" t="n">
        <v>44896</v>
      </c>
      <c r="C718" s="1" t="n">
        <v>45947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Holmen skog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10553-2025</t>
        </is>
      </c>
      <c r="B719" s="1" t="n">
        <v>45721.51255787037</v>
      </c>
      <c r="C719" s="1" t="n">
        <v>45947</v>
      </c>
      <c r="D719" t="inlineStr">
        <is>
          <t>ÖSTERGÖTLANDS LÄN</t>
        </is>
      </c>
      <c r="E719" t="inlineStr">
        <is>
          <t>NORRKÖPING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10554-2025</t>
        </is>
      </c>
      <c r="B720" s="1" t="n">
        <v>45721.51346064815</v>
      </c>
      <c r="C720" s="1" t="n">
        <v>45947</v>
      </c>
      <c r="D720" t="inlineStr">
        <is>
          <t>ÖSTERGÖTLANDS LÄN</t>
        </is>
      </c>
      <c r="E720" t="inlineStr">
        <is>
          <t>NORRKÖPING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44677-2025</t>
        </is>
      </c>
      <c r="B721" s="1" t="n">
        <v>45917.5712037037</v>
      </c>
      <c r="C721" s="1" t="n">
        <v>45947</v>
      </c>
      <c r="D721" t="inlineStr">
        <is>
          <t>ÖSTERGÖTLANDS LÄN</t>
        </is>
      </c>
      <c r="E721" t="inlineStr">
        <is>
          <t>NORRKÖPING</t>
        </is>
      </c>
      <c r="F721" t="inlineStr">
        <is>
          <t>Holmen skog AB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45526-2025</t>
        </is>
      </c>
      <c r="B722" s="1" t="n">
        <v>45922.59829861111</v>
      </c>
      <c r="C722" s="1" t="n">
        <v>45947</v>
      </c>
      <c r="D722" t="inlineStr">
        <is>
          <t>ÖSTERGÖTLANDS LÄN</t>
        </is>
      </c>
      <c r="E722" t="inlineStr">
        <is>
          <t>NORRKÖPING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13173-2022</t>
        </is>
      </c>
      <c r="B723" s="1" t="n">
        <v>44644</v>
      </c>
      <c r="C723" s="1" t="n">
        <v>45947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Allmännings- och besparingsskogar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14485-2023</t>
        </is>
      </c>
      <c r="B724" s="1" t="n">
        <v>45012</v>
      </c>
      <c r="C724" s="1" t="n">
        <v>45947</v>
      </c>
      <c r="D724" t="inlineStr">
        <is>
          <t>ÖSTERGÖTLANDS LÄN</t>
        </is>
      </c>
      <c r="E724" t="inlineStr">
        <is>
          <t>NORRKÖPING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42233-2025</t>
        </is>
      </c>
      <c r="B725" s="1" t="n">
        <v>45904.55924768518</v>
      </c>
      <c r="C725" s="1" t="n">
        <v>45947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57979-2022</t>
        </is>
      </c>
      <c r="B726" s="1" t="n">
        <v>44900</v>
      </c>
      <c r="C726" s="1" t="n">
        <v>45947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33703-2024</t>
        </is>
      </c>
      <c r="B727" s="1" t="n">
        <v>45520.52375</v>
      </c>
      <c r="C727" s="1" t="n">
        <v>45947</v>
      </c>
      <c r="D727" t="inlineStr">
        <is>
          <t>ÖSTERGÖTLANDS LÄN</t>
        </is>
      </c>
      <c r="E727" t="inlineStr">
        <is>
          <t>NORRKÖPING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46154-2025</t>
        </is>
      </c>
      <c r="B728" s="1" t="n">
        <v>45924.61788194445</v>
      </c>
      <c r="C728" s="1" t="n">
        <v>45947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41952-2025</t>
        </is>
      </c>
      <c r="B729" s="1" t="n">
        <v>45903.45952546296</v>
      </c>
      <c r="C729" s="1" t="n">
        <v>45947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46148-2025</t>
        </is>
      </c>
      <c r="B730" s="1" t="n">
        <v>45924.61070601852</v>
      </c>
      <c r="C730" s="1" t="n">
        <v>45947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14329-2022</t>
        </is>
      </c>
      <c r="B731" s="1" t="n">
        <v>44652</v>
      </c>
      <c r="C731" s="1" t="n">
        <v>45947</v>
      </c>
      <c r="D731" t="inlineStr">
        <is>
          <t>ÖSTERGÖTLANDS LÄN</t>
        </is>
      </c>
      <c r="E731" t="inlineStr">
        <is>
          <t>NORRKÖPING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46205-2025</t>
        </is>
      </c>
      <c r="B732" s="1" t="n">
        <v>45924.70513888889</v>
      </c>
      <c r="C732" s="1" t="n">
        <v>45947</v>
      </c>
      <c r="D732" t="inlineStr">
        <is>
          <t>ÖSTERGÖTLANDS LÄN</t>
        </is>
      </c>
      <c r="E732" t="inlineStr">
        <is>
          <t>NORRKÖPING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45891-2025</t>
        </is>
      </c>
      <c r="B733" s="1" t="n">
        <v>45923.67458333333</v>
      </c>
      <c r="C733" s="1" t="n">
        <v>45947</v>
      </c>
      <c r="D733" t="inlineStr">
        <is>
          <t>ÖSTERGÖTLANDS LÄN</t>
        </is>
      </c>
      <c r="E733" t="inlineStr">
        <is>
          <t>NORRKÖPING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19324-2025</t>
        </is>
      </c>
      <c r="B734" s="1" t="n">
        <v>45769</v>
      </c>
      <c r="C734" s="1" t="n">
        <v>45947</v>
      </c>
      <c r="D734" t="inlineStr">
        <is>
          <t>ÖSTERGÖTLANDS LÄN</t>
        </is>
      </c>
      <c r="E734" t="inlineStr">
        <is>
          <t>NORRKÖPING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23462-2023</t>
        </is>
      </c>
      <c r="B735" s="1" t="n">
        <v>45076</v>
      </c>
      <c r="C735" s="1" t="n">
        <v>45947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7761-2025</t>
        </is>
      </c>
      <c r="B736" s="1" t="n">
        <v>45706.54204861111</v>
      </c>
      <c r="C736" s="1" t="n">
        <v>45947</v>
      </c>
      <c r="D736" t="inlineStr">
        <is>
          <t>ÖSTERGÖTLANDS LÄN</t>
        </is>
      </c>
      <c r="E736" t="inlineStr">
        <is>
          <t>NORRKÖPING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38003-2025</t>
        </is>
      </c>
      <c r="B737" s="1" t="n">
        <v>45881</v>
      </c>
      <c r="C737" s="1" t="n">
        <v>45947</v>
      </c>
      <c r="D737" t="inlineStr">
        <is>
          <t>ÖSTERGÖTLANDS LÄN</t>
        </is>
      </c>
      <c r="E737" t="inlineStr">
        <is>
          <t>NORRKÖPING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36750-2025</t>
        </is>
      </c>
      <c r="B738" s="1" t="n">
        <v>45873</v>
      </c>
      <c r="C738" s="1" t="n">
        <v>45947</v>
      </c>
      <c r="D738" t="inlineStr">
        <is>
          <t>ÖSTERGÖTLANDS LÄN</t>
        </is>
      </c>
      <c r="E738" t="inlineStr">
        <is>
          <t>NORRKÖPING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57733-2022</t>
        </is>
      </c>
      <c r="B739" s="1" t="n">
        <v>44897</v>
      </c>
      <c r="C739" s="1" t="n">
        <v>45947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72-2023</t>
        </is>
      </c>
      <c r="B740" s="1" t="n">
        <v>44928.45552083333</v>
      </c>
      <c r="C740" s="1" t="n">
        <v>45947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7750-2025</t>
        </is>
      </c>
      <c r="B741" s="1" t="n">
        <v>45706.49520833333</v>
      </c>
      <c r="C741" s="1" t="n">
        <v>45947</v>
      </c>
      <c r="D741" t="inlineStr">
        <is>
          <t>ÖSTERGÖTLANDS LÄN</t>
        </is>
      </c>
      <c r="E741" t="inlineStr">
        <is>
          <t>NORRKÖPING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18919-2025</t>
        </is>
      </c>
      <c r="B742" s="1" t="n">
        <v>45764.47553240741</v>
      </c>
      <c r="C742" s="1" t="n">
        <v>45947</v>
      </c>
      <c r="D742" t="inlineStr">
        <is>
          <t>ÖSTERGÖTLANDS LÄN</t>
        </is>
      </c>
      <c r="E742" t="inlineStr">
        <is>
          <t>NORRKÖPING</t>
        </is>
      </c>
      <c r="G742" t="n">
        <v>7.6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62376-2022</t>
        </is>
      </c>
      <c r="B743" s="1" t="n">
        <v>44923.67971064815</v>
      </c>
      <c r="C743" s="1" t="n">
        <v>45947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46177-2025</t>
        </is>
      </c>
      <c r="B744" s="1" t="n">
        <v>45924.65238425926</v>
      </c>
      <c r="C744" s="1" t="n">
        <v>45947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12563-2025</t>
        </is>
      </c>
      <c r="B745" s="1" t="n">
        <v>45731.59962962963</v>
      </c>
      <c r="C745" s="1" t="n">
        <v>45947</v>
      </c>
      <c r="D745" t="inlineStr">
        <is>
          <t>ÖSTERGÖTLANDS LÄN</t>
        </is>
      </c>
      <c r="E745" t="inlineStr">
        <is>
          <t>NORRKÖPING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59847-2020</t>
        </is>
      </c>
      <c r="B746" s="1" t="n">
        <v>44151.53271990741</v>
      </c>
      <c r="C746" s="1" t="n">
        <v>45947</v>
      </c>
      <c r="D746" t="inlineStr">
        <is>
          <t>ÖSTERGÖTLANDS LÄN</t>
        </is>
      </c>
      <c r="E746" t="inlineStr">
        <is>
          <t>NORRKÖPING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41933-2025</t>
        </is>
      </c>
      <c r="B747" s="1" t="n">
        <v>45903.43489583334</v>
      </c>
      <c r="C747" s="1" t="n">
        <v>45947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19114-2023</t>
        </is>
      </c>
      <c r="B748" s="1" t="n">
        <v>45048</v>
      </c>
      <c r="C748" s="1" t="n">
        <v>45947</v>
      </c>
      <c r="D748" t="inlineStr">
        <is>
          <t>ÖSTERGÖTLANDS LÄN</t>
        </is>
      </c>
      <c r="E748" t="inlineStr">
        <is>
          <t>NORRKÖPING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32617-2023</t>
        </is>
      </c>
      <c r="B749" s="1" t="n">
        <v>45121</v>
      </c>
      <c r="C749" s="1" t="n">
        <v>45947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37876-2025</t>
        </is>
      </c>
      <c r="B750" s="1" t="n">
        <v>45881</v>
      </c>
      <c r="C750" s="1" t="n">
        <v>45947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64188-2023</t>
        </is>
      </c>
      <c r="B751" s="1" t="n">
        <v>45279.66864583334</v>
      </c>
      <c r="C751" s="1" t="n">
        <v>45947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4.1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59586-2022</t>
        </is>
      </c>
      <c r="B752" s="1" t="n">
        <v>44907.66710648148</v>
      </c>
      <c r="C752" s="1" t="n">
        <v>45947</v>
      </c>
      <c r="D752" t="inlineStr">
        <is>
          <t>ÖSTERGÖTLANDS LÄN</t>
        </is>
      </c>
      <c r="E752" t="inlineStr">
        <is>
          <t>NORRKÖPING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4127-2022</t>
        </is>
      </c>
      <c r="B753" s="1" t="n">
        <v>44588</v>
      </c>
      <c r="C753" s="1" t="n">
        <v>45947</v>
      </c>
      <c r="D753" t="inlineStr">
        <is>
          <t>ÖSTERGÖTLANDS LÄN</t>
        </is>
      </c>
      <c r="E753" t="inlineStr">
        <is>
          <t>NORRKÖPING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46746-2025</t>
        </is>
      </c>
      <c r="B754" s="1" t="n">
        <v>45926.61226851852</v>
      </c>
      <c r="C754" s="1" t="n">
        <v>45947</v>
      </c>
      <c r="D754" t="inlineStr">
        <is>
          <t>ÖSTERGÖTLANDS LÄN</t>
        </is>
      </c>
      <c r="E754" t="inlineStr">
        <is>
          <t>NORRKÖPING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36258-2022</t>
        </is>
      </c>
      <c r="B755" s="1" t="n">
        <v>44803.59099537037</v>
      </c>
      <c r="C755" s="1" t="n">
        <v>45947</v>
      </c>
      <c r="D755" t="inlineStr">
        <is>
          <t>ÖSTERGÖTLANDS LÄN</t>
        </is>
      </c>
      <c r="E755" t="inlineStr">
        <is>
          <t>NORRKÖPING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6844-2021</t>
        </is>
      </c>
      <c r="B756" s="1" t="n">
        <v>44237</v>
      </c>
      <c r="C756" s="1" t="n">
        <v>45947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Holmen skog AB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20587-2024</t>
        </is>
      </c>
      <c r="B757" s="1" t="n">
        <v>45436.41847222222</v>
      </c>
      <c r="C757" s="1" t="n">
        <v>45947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Holmen skog AB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3023-2025</t>
        </is>
      </c>
      <c r="B758" s="1" t="n">
        <v>45678.58166666667</v>
      </c>
      <c r="C758" s="1" t="n">
        <v>45947</v>
      </c>
      <c r="D758" t="inlineStr">
        <is>
          <t>ÖSTERGÖTLANDS LÄN</t>
        </is>
      </c>
      <c r="E758" t="inlineStr">
        <is>
          <t>NORRKÖPING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19962-2025</t>
        </is>
      </c>
      <c r="B759" s="1" t="n">
        <v>45771.66951388889</v>
      </c>
      <c r="C759" s="1" t="n">
        <v>45947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Holmen skog AB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19191-2025</t>
        </is>
      </c>
      <c r="B760" s="1" t="n">
        <v>45769.41631944444</v>
      </c>
      <c r="C760" s="1" t="n">
        <v>45947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32630-2022</t>
        </is>
      </c>
      <c r="B761" s="1" t="n">
        <v>44783</v>
      </c>
      <c r="C761" s="1" t="n">
        <v>45947</v>
      </c>
      <c r="D761" t="inlineStr">
        <is>
          <t>ÖSTERGÖTLANDS LÄN</t>
        </is>
      </c>
      <c r="E761" t="inlineStr">
        <is>
          <t>NORRKÖPING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56876-2024</t>
        </is>
      </c>
      <c r="B762" s="1" t="n">
        <v>45628.56513888889</v>
      </c>
      <c r="C762" s="1" t="n">
        <v>45947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61869-2020</t>
        </is>
      </c>
      <c r="B763" s="1" t="n">
        <v>44159.36447916667</v>
      </c>
      <c r="C763" s="1" t="n">
        <v>45947</v>
      </c>
      <c r="D763" t="inlineStr">
        <is>
          <t>ÖSTERGÖTLANDS LÄN</t>
        </is>
      </c>
      <c r="E763" t="inlineStr">
        <is>
          <t>NORRKÖPING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20583-2024</t>
        </is>
      </c>
      <c r="B764" s="1" t="n">
        <v>45436.41305555555</v>
      </c>
      <c r="C764" s="1" t="n">
        <v>45947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38404-2025</t>
        </is>
      </c>
      <c r="B765" s="1" t="n">
        <v>45883.58974537037</v>
      </c>
      <c r="C765" s="1" t="n">
        <v>45947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Allmännings- och besparingsskogar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17851-2025</t>
        </is>
      </c>
      <c r="B766" s="1" t="n">
        <v>45758.60465277778</v>
      </c>
      <c r="C766" s="1" t="n">
        <v>45947</v>
      </c>
      <c r="D766" t="inlineStr">
        <is>
          <t>ÖSTERGÖTLANDS LÄN</t>
        </is>
      </c>
      <c r="E766" t="inlineStr">
        <is>
          <t>NORRKÖPING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17852-2025</t>
        </is>
      </c>
      <c r="B767" s="1" t="n">
        <v>45758.61055555556</v>
      </c>
      <c r="C767" s="1" t="n">
        <v>45947</v>
      </c>
      <c r="D767" t="inlineStr">
        <is>
          <t>ÖSTERGÖTLANDS LÄN</t>
        </is>
      </c>
      <c r="E767" t="inlineStr">
        <is>
          <t>NORRKÖPING</t>
        </is>
      </c>
      <c r="G767" t="n">
        <v>3.6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6516-2025</t>
        </is>
      </c>
      <c r="B768" s="1" t="n">
        <v>45699.65944444444</v>
      </c>
      <c r="C768" s="1" t="n">
        <v>45947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Allmännings- och besparingsskogar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38463-2025</t>
        </is>
      </c>
      <c r="B769" s="1" t="n">
        <v>45883.74664351852</v>
      </c>
      <c r="C769" s="1" t="n">
        <v>45947</v>
      </c>
      <c r="D769" t="inlineStr">
        <is>
          <t>ÖSTERGÖTLANDS LÄN</t>
        </is>
      </c>
      <c r="E769" t="inlineStr">
        <is>
          <t>NORRKÖPING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45362-2021</t>
        </is>
      </c>
      <c r="B770" s="1" t="n">
        <v>44439.97621527778</v>
      </c>
      <c r="C770" s="1" t="n">
        <v>45947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Allmännings- och besparingsskogar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26407-2023</t>
        </is>
      </c>
      <c r="B771" s="1" t="n">
        <v>45092.36790509259</v>
      </c>
      <c r="C771" s="1" t="n">
        <v>45947</v>
      </c>
      <c r="D771" t="inlineStr">
        <is>
          <t>ÖSTERGÖTLANDS LÄN</t>
        </is>
      </c>
      <c r="E771" t="inlineStr">
        <is>
          <t>NORRKÖPING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36412-2024</t>
        </is>
      </c>
      <c r="B772" s="1" t="n">
        <v>45535.91413194445</v>
      </c>
      <c r="C772" s="1" t="n">
        <v>45947</v>
      </c>
      <c r="D772" t="inlineStr">
        <is>
          <t>ÖSTERGÖTLANDS LÄN</t>
        </is>
      </c>
      <c r="E772" t="inlineStr">
        <is>
          <t>NORRKÖPING</t>
        </is>
      </c>
      <c r="G772" t="n">
        <v>12.8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11641-2024</t>
        </is>
      </c>
      <c r="B773" s="1" t="n">
        <v>45373.48878472222</v>
      </c>
      <c r="C773" s="1" t="n">
        <v>45947</v>
      </c>
      <c r="D773" t="inlineStr">
        <is>
          <t>ÖSTERGÖTLANDS LÄN</t>
        </is>
      </c>
      <c r="E773" t="inlineStr">
        <is>
          <t>NORRKÖPING</t>
        </is>
      </c>
      <c r="G773" t="n">
        <v>8.6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51124-2023</t>
        </is>
      </c>
      <c r="B774" s="1" t="n">
        <v>45219.32268518519</v>
      </c>
      <c r="C774" s="1" t="n">
        <v>45947</v>
      </c>
      <c r="D774" t="inlineStr">
        <is>
          <t>ÖSTERGÖTLANDS LÄN</t>
        </is>
      </c>
      <c r="E774" t="inlineStr">
        <is>
          <t>NORRKÖPING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5116-2024</t>
        </is>
      </c>
      <c r="B775" s="1" t="n">
        <v>45330</v>
      </c>
      <c r="C775" s="1" t="n">
        <v>45947</v>
      </c>
      <c r="D775" t="inlineStr">
        <is>
          <t>ÖSTERGÖTLANDS LÄN</t>
        </is>
      </c>
      <c r="E775" t="inlineStr">
        <is>
          <t>NORRKÖPING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13133-2024</t>
        </is>
      </c>
      <c r="B776" s="1" t="n">
        <v>45386.32806712963</v>
      </c>
      <c r="C776" s="1" t="n">
        <v>45947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21810-2024</t>
        </is>
      </c>
      <c r="B777" s="1" t="n">
        <v>45442.67793981481</v>
      </c>
      <c r="C777" s="1" t="n">
        <v>45947</v>
      </c>
      <c r="D777" t="inlineStr">
        <is>
          <t>ÖSTERGÖTLANDS LÄN</t>
        </is>
      </c>
      <c r="E777" t="inlineStr">
        <is>
          <t>NORRKÖPING</t>
        </is>
      </c>
      <c r="F777" t="inlineStr">
        <is>
          <t>Holmen skog AB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11144-2025</t>
        </is>
      </c>
      <c r="B778" s="1" t="n">
        <v>45723.67724537037</v>
      </c>
      <c r="C778" s="1" t="n">
        <v>45947</v>
      </c>
      <c r="D778" t="inlineStr">
        <is>
          <t>ÖSTERGÖTLANDS LÄN</t>
        </is>
      </c>
      <c r="E778" t="inlineStr">
        <is>
          <t>NORRKÖPING</t>
        </is>
      </c>
      <c r="G778" t="n">
        <v>5.1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12564-2025</t>
        </is>
      </c>
      <c r="B779" s="1" t="n">
        <v>45731.60166666667</v>
      </c>
      <c r="C779" s="1" t="n">
        <v>45947</v>
      </c>
      <c r="D779" t="inlineStr">
        <is>
          <t>ÖSTERGÖTLANDS LÄN</t>
        </is>
      </c>
      <c r="E779" t="inlineStr">
        <is>
          <t>NORRKÖPING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9714-2025</t>
        </is>
      </c>
      <c r="B780" s="1" t="n">
        <v>45716.39159722222</v>
      </c>
      <c r="C780" s="1" t="n">
        <v>45947</v>
      </c>
      <c r="D780" t="inlineStr">
        <is>
          <t>ÖSTERGÖTLANDS LÄN</t>
        </is>
      </c>
      <c r="E780" t="inlineStr">
        <is>
          <t>NORRKÖPING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10791-2024</t>
        </is>
      </c>
      <c r="B781" s="1" t="n">
        <v>45369.61550925926</v>
      </c>
      <c r="C781" s="1" t="n">
        <v>45947</v>
      </c>
      <c r="D781" t="inlineStr">
        <is>
          <t>ÖSTERGÖTLANDS LÄN</t>
        </is>
      </c>
      <c r="E781" t="inlineStr">
        <is>
          <t>NORRKÖPING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15505-2025</t>
        </is>
      </c>
      <c r="B782" s="1" t="n">
        <v>45747.59501157407</v>
      </c>
      <c r="C782" s="1" t="n">
        <v>45947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16594-2023</t>
        </is>
      </c>
      <c r="B783" s="1" t="n">
        <v>45027</v>
      </c>
      <c r="C783" s="1" t="n">
        <v>45947</v>
      </c>
      <c r="D783" t="inlineStr">
        <is>
          <t>ÖSTERGÖTLANDS LÄN</t>
        </is>
      </c>
      <c r="E783" t="inlineStr">
        <is>
          <t>NORRKÖPING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11737-2024</t>
        </is>
      </c>
      <c r="B784" s="1" t="n">
        <v>45373.72511574074</v>
      </c>
      <c r="C784" s="1" t="n">
        <v>45947</v>
      </c>
      <c r="D784" t="inlineStr">
        <is>
          <t>ÖSTERGÖTLANDS LÄN</t>
        </is>
      </c>
      <c r="E784" t="inlineStr">
        <is>
          <t>NORRKÖPING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1077-2023</t>
        </is>
      </c>
      <c r="B785" s="1" t="n">
        <v>44935</v>
      </c>
      <c r="C785" s="1" t="n">
        <v>45947</v>
      </c>
      <c r="D785" t="inlineStr">
        <is>
          <t>ÖSTERGÖTLANDS LÄN</t>
        </is>
      </c>
      <c r="E785" t="inlineStr">
        <is>
          <t>NORRKÖPING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40816-2024</t>
        </is>
      </c>
      <c r="B786" s="1" t="n">
        <v>45558</v>
      </c>
      <c r="C786" s="1" t="n">
        <v>45947</v>
      </c>
      <c r="D786" t="inlineStr">
        <is>
          <t>ÖSTERGÖTLANDS LÄN</t>
        </is>
      </c>
      <c r="E786" t="inlineStr">
        <is>
          <t>NORRKÖPING</t>
        </is>
      </c>
      <c r="G786" t="n">
        <v>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1115-2023</t>
        </is>
      </c>
      <c r="B787" s="1" t="n">
        <v>44935.60138888889</v>
      </c>
      <c r="C787" s="1" t="n">
        <v>45947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Holmen skog AB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28663-2024</t>
        </is>
      </c>
      <c r="B788" s="1" t="n">
        <v>45478.47236111111</v>
      </c>
      <c r="C788" s="1" t="n">
        <v>45947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31838-2023</t>
        </is>
      </c>
      <c r="B789" s="1" t="n">
        <v>45106</v>
      </c>
      <c r="C789" s="1" t="n">
        <v>45947</v>
      </c>
      <c r="D789" t="inlineStr">
        <is>
          <t>ÖSTERGÖTLANDS LÄN</t>
        </is>
      </c>
      <c r="E789" t="inlineStr">
        <is>
          <t>NORRKÖPING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12538-2024</t>
        </is>
      </c>
      <c r="B790" s="1" t="n">
        <v>45379</v>
      </c>
      <c r="C790" s="1" t="n">
        <v>45947</v>
      </c>
      <c r="D790" t="inlineStr">
        <is>
          <t>ÖSTERGÖTLANDS LÄN</t>
        </is>
      </c>
      <c r="E790" t="inlineStr">
        <is>
          <t>NORRKÖPING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31883-2023</t>
        </is>
      </c>
      <c r="B791" s="1" t="n">
        <v>45118</v>
      </c>
      <c r="C791" s="1" t="n">
        <v>45947</v>
      </c>
      <c r="D791" t="inlineStr">
        <is>
          <t>ÖSTERGÖTLANDS LÄN</t>
        </is>
      </c>
      <c r="E791" t="inlineStr">
        <is>
          <t>NORRKÖPING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9201-2023</t>
        </is>
      </c>
      <c r="B792" s="1" t="n">
        <v>44980</v>
      </c>
      <c r="C792" s="1" t="n">
        <v>45947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56210-2023</t>
        </is>
      </c>
      <c r="B793" s="1" t="n">
        <v>45240</v>
      </c>
      <c r="C793" s="1" t="n">
        <v>45947</v>
      </c>
      <c r="D793" t="inlineStr">
        <is>
          <t>ÖSTERGÖTLANDS LÄN</t>
        </is>
      </c>
      <c r="E793" t="inlineStr">
        <is>
          <t>NORRKÖPING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61043-2024</t>
        </is>
      </c>
      <c r="B794" s="1" t="n">
        <v>45644</v>
      </c>
      <c r="C794" s="1" t="n">
        <v>45947</v>
      </c>
      <c r="D794" t="inlineStr">
        <is>
          <t>ÖSTERGÖTLANDS LÄN</t>
        </is>
      </c>
      <c r="E794" t="inlineStr">
        <is>
          <t>NORRKÖPING</t>
        </is>
      </c>
      <c r="F794" t="inlineStr">
        <is>
          <t>Allmännings- och besparingsskogar</t>
        </is>
      </c>
      <c r="G794" t="n">
        <v>10.5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8569-2023</t>
        </is>
      </c>
      <c r="B795" s="1" t="n">
        <v>44977.63902777778</v>
      </c>
      <c r="C795" s="1" t="n">
        <v>45947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Holmen skog AB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3070-2025</t>
        </is>
      </c>
      <c r="B796" s="1" t="n">
        <v>45678.6377199074</v>
      </c>
      <c r="C796" s="1" t="n">
        <v>45947</v>
      </c>
      <c r="D796" t="inlineStr">
        <is>
          <t>ÖSTERGÖTLANDS LÄN</t>
        </is>
      </c>
      <c r="E796" t="inlineStr">
        <is>
          <t>NORRKÖPING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36571-2023</t>
        </is>
      </c>
      <c r="B797" s="1" t="n">
        <v>45153</v>
      </c>
      <c r="C797" s="1" t="n">
        <v>45947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51112-2024</t>
        </is>
      </c>
      <c r="B798" s="1" t="n">
        <v>45603.49528935185</v>
      </c>
      <c r="C798" s="1" t="n">
        <v>45947</v>
      </c>
      <c r="D798" t="inlineStr">
        <is>
          <t>ÖSTERGÖTLANDS LÄN</t>
        </is>
      </c>
      <c r="E798" t="inlineStr">
        <is>
          <t>NORRKÖPING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1811-2023</t>
        </is>
      </c>
      <c r="B799" s="1" t="n">
        <v>44936</v>
      </c>
      <c r="C799" s="1" t="n">
        <v>45947</v>
      </c>
      <c r="D799" t="inlineStr">
        <is>
          <t>ÖSTERGÖTLANDS LÄN</t>
        </is>
      </c>
      <c r="E799" t="inlineStr">
        <is>
          <t>NORRKÖPING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14585-2025</t>
        </is>
      </c>
      <c r="B800" s="1" t="n">
        <v>45742.31784722222</v>
      </c>
      <c r="C800" s="1" t="n">
        <v>45947</v>
      </c>
      <c r="D800" t="inlineStr">
        <is>
          <t>ÖSTERGÖTLANDS LÄN</t>
        </is>
      </c>
      <c r="E800" t="inlineStr">
        <is>
          <t>NORRKÖPING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36575-2023</t>
        </is>
      </c>
      <c r="B801" s="1" t="n">
        <v>45153</v>
      </c>
      <c r="C801" s="1" t="n">
        <v>45947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6490-2024</t>
        </is>
      </c>
      <c r="B802" s="1" t="n">
        <v>45339.5277199074</v>
      </c>
      <c r="C802" s="1" t="n">
        <v>45947</v>
      </c>
      <c r="D802" t="inlineStr">
        <is>
          <t>ÖSTERGÖTLANDS LÄN</t>
        </is>
      </c>
      <c r="E802" t="inlineStr">
        <is>
          <t>NORRKÖPING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16590-2024</t>
        </is>
      </c>
      <c r="B803" s="1" t="n">
        <v>45408.49326388889</v>
      </c>
      <c r="C803" s="1" t="n">
        <v>45947</v>
      </c>
      <c r="D803" t="inlineStr">
        <is>
          <t>ÖSTERGÖTLANDS LÄN</t>
        </is>
      </c>
      <c r="E803" t="inlineStr">
        <is>
          <t>NORRKÖPING</t>
        </is>
      </c>
      <c r="G803" t="n">
        <v>3.9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59520-2023</t>
        </is>
      </c>
      <c r="B804" s="1" t="n">
        <v>45254</v>
      </c>
      <c r="C804" s="1" t="n">
        <v>45947</v>
      </c>
      <c r="D804" t="inlineStr">
        <is>
          <t>ÖSTERGÖTLANDS LÄN</t>
        </is>
      </c>
      <c r="E804" t="inlineStr">
        <is>
          <t>NORRKÖPING</t>
        </is>
      </c>
      <c r="F804" t="inlineStr">
        <is>
          <t>BillerudKorsnäs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7709-2022</t>
        </is>
      </c>
      <c r="B805" s="1" t="n">
        <v>44607</v>
      </c>
      <c r="C805" s="1" t="n">
        <v>45947</v>
      </c>
      <c r="D805" t="inlineStr">
        <is>
          <t>ÖSTERGÖTLANDS LÄN</t>
        </is>
      </c>
      <c r="E805" t="inlineStr">
        <is>
          <t>NORRKÖPING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21863-2021</t>
        </is>
      </c>
      <c r="B806" s="1" t="n">
        <v>44322</v>
      </c>
      <c r="C806" s="1" t="n">
        <v>45947</v>
      </c>
      <c r="D806" t="inlineStr">
        <is>
          <t>ÖSTERGÖTLANDS LÄN</t>
        </is>
      </c>
      <c r="E806" t="inlineStr">
        <is>
          <t>NORRKÖPING</t>
        </is>
      </c>
      <c r="G806" t="n">
        <v>8.300000000000001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59580-2022</t>
        </is>
      </c>
      <c r="B807" s="1" t="n">
        <v>44907.65043981482</v>
      </c>
      <c r="C807" s="1" t="n">
        <v>45947</v>
      </c>
      <c r="D807" t="inlineStr">
        <is>
          <t>ÖSTERGÖTLANDS LÄN</t>
        </is>
      </c>
      <c r="E807" t="inlineStr">
        <is>
          <t>NORRKÖPING</t>
        </is>
      </c>
      <c r="G807" t="n">
        <v>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49465-2023</t>
        </is>
      </c>
      <c r="B808" s="1" t="n">
        <v>45211.52895833334</v>
      </c>
      <c r="C808" s="1" t="n">
        <v>45947</v>
      </c>
      <c r="D808" t="inlineStr">
        <is>
          <t>ÖSTERGÖTLANDS LÄN</t>
        </is>
      </c>
      <c r="E808" t="inlineStr">
        <is>
          <t>NORRKÖPING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1939-2023</t>
        </is>
      </c>
      <c r="B809" s="1" t="n">
        <v>44936</v>
      </c>
      <c r="C809" s="1" t="n">
        <v>45947</v>
      </c>
      <c r="D809" t="inlineStr">
        <is>
          <t>ÖSTERGÖTLANDS LÄN</t>
        </is>
      </c>
      <c r="E809" t="inlineStr">
        <is>
          <t>NORRKÖPING</t>
        </is>
      </c>
      <c r="G809" t="n">
        <v>5.8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15177-2023</t>
        </is>
      </c>
      <c r="B810" s="1" t="n">
        <v>45016.64986111111</v>
      </c>
      <c r="C810" s="1" t="n">
        <v>45947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Holmen skog AB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33446-2023</t>
        </is>
      </c>
      <c r="B811" s="1" t="n">
        <v>45129</v>
      </c>
      <c r="C811" s="1" t="n">
        <v>45947</v>
      </c>
      <c r="D811" t="inlineStr">
        <is>
          <t>ÖSTERGÖTLANDS LÄN</t>
        </is>
      </c>
      <c r="E811" t="inlineStr">
        <is>
          <t>NORRKÖPING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3650-2023</t>
        </is>
      </c>
      <c r="B812" s="1" t="n">
        <v>44950</v>
      </c>
      <c r="C812" s="1" t="n">
        <v>45947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26391-2023</t>
        </is>
      </c>
      <c r="B813" s="1" t="n">
        <v>45092.35266203704</v>
      </c>
      <c r="C813" s="1" t="n">
        <v>45947</v>
      </c>
      <c r="D813" t="inlineStr">
        <is>
          <t>ÖSTERGÖTLANDS LÄN</t>
        </is>
      </c>
      <c r="E813" t="inlineStr">
        <is>
          <t>NORRKÖPING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13579-2023</t>
        </is>
      </c>
      <c r="B814" s="1" t="n">
        <v>45006</v>
      </c>
      <c r="C814" s="1" t="n">
        <v>45947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Holmen skog AB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24354-2024</t>
        </is>
      </c>
      <c r="B815" s="1" t="n">
        <v>45457.59425925926</v>
      </c>
      <c r="C815" s="1" t="n">
        <v>45947</v>
      </c>
      <c r="D815" t="inlineStr">
        <is>
          <t>ÖSTERGÖTLANDS LÄN</t>
        </is>
      </c>
      <c r="E815" t="inlineStr">
        <is>
          <t>NORRKÖPING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58318-2023</t>
        </is>
      </c>
      <c r="B816" s="1" t="n">
        <v>45250.5799537037</v>
      </c>
      <c r="C816" s="1" t="n">
        <v>45947</v>
      </c>
      <c r="D816" t="inlineStr">
        <is>
          <t>ÖSTERGÖTLANDS LÄN</t>
        </is>
      </c>
      <c r="E816" t="inlineStr">
        <is>
          <t>NORRKÖPING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18877-2025</t>
        </is>
      </c>
      <c r="B817" s="1" t="n">
        <v>45764.43782407408</v>
      </c>
      <c r="C817" s="1" t="n">
        <v>45947</v>
      </c>
      <c r="D817" t="inlineStr">
        <is>
          <t>ÖSTERGÖTLANDS LÄN</t>
        </is>
      </c>
      <c r="E817" t="inlineStr">
        <is>
          <t>NORRKÖPING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15870-2024</t>
        </is>
      </c>
      <c r="B818" s="1" t="n">
        <v>45405</v>
      </c>
      <c r="C818" s="1" t="n">
        <v>45947</v>
      </c>
      <c r="D818" t="inlineStr">
        <is>
          <t>ÖSTERGÖTLANDS LÄN</t>
        </is>
      </c>
      <c r="E818" t="inlineStr">
        <is>
          <t>NORRKÖPING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16703-2023</t>
        </is>
      </c>
      <c r="B819" s="1" t="n">
        <v>45030.62740740741</v>
      </c>
      <c r="C819" s="1" t="n">
        <v>45947</v>
      </c>
      <c r="D819" t="inlineStr">
        <is>
          <t>ÖSTERGÖTLANDS LÄN</t>
        </is>
      </c>
      <c r="E819" t="inlineStr">
        <is>
          <t>NORRKÖPING</t>
        </is>
      </c>
      <c r="G819" t="n">
        <v>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16708-2023</t>
        </is>
      </c>
      <c r="B820" s="1" t="n">
        <v>45030</v>
      </c>
      <c r="C820" s="1" t="n">
        <v>45947</v>
      </c>
      <c r="D820" t="inlineStr">
        <is>
          <t>ÖSTERGÖTLANDS LÄN</t>
        </is>
      </c>
      <c r="E820" t="inlineStr">
        <is>
          <t>NORRKÖPING</t>
        </is>
      </c>
      <c r="G820" t="n">
        <v>6.4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30865-2024</t>
        </is>
      </c>
      <c r="B821" s="1" t="n">
        <v>45497</v>
      </c>
      <c r="C821" s="1" t="n">
        <v>45947</v>
      </c>
      <c r="D821" t="inlineStr">
        <is>
          <t>ÖSTERGÖTLANDS LÄN</t>
        </is>
      </c>
      <c r="E821" t="inlineStr">
        <is>
          <t>NORRKÖPING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3912-2025</t>
        </is>
      </c>
      <c r="B822" s="1" t="n">
        <v>45684.4203125</v>
      </c>
      <c r="C822" s="1" t="n">
        <v>45947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Allmännings- och besparingsskogar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11612-2023</t>
        </is>
      </c>
      <c r="B823" s="1" t="n">
        <v>44994.41405092592</v>
      </c>
      <c r="C823" s="1" t="n">
        <v>45947</v>
      </c>
      <c r="D823" t="inlineStr">
        <is>
          <t>ÖSTERGÖTLANDS LÄN</t>
        </is>
      </c>
      <c r="E823" t="inlineStr">
        <is>
          <t>NORRKÖPING</t>
        </is>
      </c>
      <c r="G823" t="n">
        <v>3.4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7763-2025</t>
        </is>
      </c>
      <c r="B824" s="1" t="n">
        <v>45706.54572916667</v>
      </c>
      <c r="C824" s="1" t="n">
        <v>45947</v>
      </c>
      <c r="D824" t="inlineStr">
        <is>
          <t>ÖSTERGÖTLANDS LÄN</t>
        </is>
      </c>
      <c r="E824" t="inlineStr">
        <is>
          <t>NORRKÖPING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2320-2024</t>
        </is>
      </c>
      <c r="B825" s="1" t="n">
        <v>45310</v>
      </c>
      <c r="C825" s="1" t="n">
        <v>45947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30156-2023</t>
        </is>
      </c>
      <c r="B826" s="1" t="n">
        <v>45110.56027777777</v>
      </c>
      <c r="C826" s="1" t="n">
        <v>45947</v>
      </c>
      <c r="D826" t="inlineStr">
        <is>
          <t>ÖSTERGÖTLANDS LÄN</t>
        </is>
      </c>
      <c r="E826" t="inlineStr">
        <is>
          <t>NORRKÖPING</t>
        </is>
      </c>
      <c r="G826" t="n">
        <v>5.3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30159-2023</t>
        </is>
      </c>
      <c r="B827" s="1" t="n">
        <v>45110</v>
      </c>
      <c r="C827" s="1" t="n">
        <v>45947</v>
      </c>
      <c r="D827" t="inlineStr">
        <is>
          <t>ÖSTERGÖTLANDS LÄN</t>
        </is>
      </c>
      <c r="E827" t="inlineStr">
        <is>
          <t>NORRKÖPING</t>
        </is>
      </c>
      <c r="G827" t="n">
        <v>5.5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14587-2025</t>
        </is>
      </c>
      <c r="B828" s="1" t="n">
        <v>45742.32277777778</v>
      </c>
      <c r="C828" s="1" t="n">
        <v>45947</v>
      </c>
      <c r="D828" t="inlineStr">
        <is>
          <t>ÖSTERGÖTLANDS LÄN</t>
        </is>
      </c>
      <c r="E828" t="inlineStr">
        <is>
          <t>NORRKÖPING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34393-2023</t>
        </is>
      </c>
      <c r="B829" s="1" t="n">
        <v>45132</v>
      </c>
      <c r="C829" s="1" t="n">
        <v>45947</v>
      </c>
      <c r="D829" t="inlineStr">
        <is>
          <t>ÖSTERGÖTLANDS LÄN</t>
        </is>
      </c>
      <c r="E829" t="inlineStr">
        <is>
          <t>NORRKÖPING</t>
        </is>
      </c>
      <c r="F829" t="inlineStr">
        <is>
          <t>Allmännings- och besparingsskogar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17813-2025</t>
        </is>
      </c>
      <c r="B830" s="1" t="n">
        <v>45758.56056712963</v>
      </c>
      <c r="C830" s="1" t="n">
        <v>45947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Holmen skog AB</t>
        </is>
      </c>
      <c r="G830" t="n">
        <v>3.8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28600-2024</t>
        </is>
      </c>
      <c r="B831" s="1" t="n">
        <v>45478.42675925926</v>
      </c>
      <c r="C831" s="1" t="n">
        <v>45947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0.4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8432-2025</t>
        </is>
      </c>
      <c r="B832" s="1" t="n">
        <v>45709.42859953704</v>
      </c>
      <c r="C832" s="1" t="n">
        <v>45947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Holmen skog AB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10989-2024</t>
        </is>
      </c>
      <c r="B833" s="1" t="n">
        <v>45370</v>
      </c>
      <c r="C833" s="1" t="n">
        <v>45947</v>
      </c>
      <c r="D833" t="inlineStr">
        <is>
          <t>ÖSTERGÖTLANDS LÄN</t>
        </is>
      </c>
      <c r="E833" t="inlineStr">
        <is>
          <t>NORRKÖPING</t>
        </is>
      </c>
      <c r="F833" t="inlineStr">
        <is>
          <t>Holmen skog AB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4743-2023</t>
        </is>
      </c>
      <c r="B834" s="1" t="n">
        <v>44957</v>
      </c>
      <c r="C834" s="1" t="n">
        <v>45947</v>
      </c>
      <c r="D834" t="inlineStr">
        <is>
          <t>ÖSTERGÖTLANDS LÄN</t>
        </is>
      </c>
      <c r="E834" t="inlineStr">
        <is>
          <t>NORRKÖPING</t>
        </is>
      </c>
      <c r="F834" t="inlineStr">
        <is>
          <t>Holmen skog AB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1549-2025</t>
        </is>
      </c>
      <c r="B835" s="1" t="n">
        <v>45670</v>
      </c>
      <c r="C835" s="1" t="n">
        <v>45947</v>
      </c>
      <c r="D835" t="inlineStr">
        <is>
          <t>ÖSTERGÖTLANDS LÄN</t>
        </is>
      </c>
      <c r="E835" t="inlineStr">
        <is>
          <t>NORRKÖPING</t>
        </is>
      </c>
      <c r="G835" t="n">
        <v>4.5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59768-2021</t>
        </is>
      </c>
      <c r="B836" s="1" t="n">
        <v>44494</v>
      </c>
      <c r="C836" s="1" t="n">
        <v>45947</v>
      </c>
      <c r="D836" t="inlineStr">
        <is>
          <t>ÖSTERGÖTLANDS LÄN</t>
        </is>
      </c>
      <c r="E836" t="inlineStr">
        <is>
          <t>NORRKÖPING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8220-2023</t>
        </is>
      </c>
      <c r="B837" s="1" t="n">
        <v>44974.564375</v>
      </c>
      <c r="C837" s="1" t="n">
        <v>45947</v>
      </c>
      <c r="D837" t="inlineStr">
        <is>
          <t>ÖSTERGÖTLANDS LÄN</t>
        </is>
      </c>
      <c r="E837" t="inlineStr">
        <is>
          <t>NORRKÖPING</t>
        </is>
      </c>
      <c r="F837" t="inlineStr">
        <is>
          <t>Holmen skog AB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19785-2025</t>
        </is>
      </c>
      <c r="B838" s="1" t="n">
        <v>45771.44005787037</v>
      </c>
      <c r="C838" s="1" t="n">
        <v>45947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57405-2024</t>
        </is>
      </c>
      <c r="B839" s="1" t="n">
        <v>45629.7202662037</v>
      </c>
      <c r="C839" s="1" t="n">
        <v>45947</v>
      </c>
      <c r="D839" t="inlineStr">
        <is>
          <t>ÖSTERGÖTLANDS LÄN</t>
        </is>
      </c>
      <c r="E839" t="inlineStr">
        <is>
          <t>NORRKÖPING</t>
        </is>
      </c>
      <c r="G839" t="n">
        <v>3.8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18714-2025</t>
        </is>
      </c>
      <c r="B840" s="1" t="n">
        <v>45763.64096064815</v>
      </c>
      <c r="C840" s="1" t="n">
        <v>45947</v>
      </c>
      <c r="D840" t="inlineStr">
        <is>
          <t>ÖSTERGÖTLANDS LÄN</t>
        </is>
      </c>
      <c r="E840" t="inlineStr">
        <is>
          <t>NORRKÖPING</t>
        </is>
      </c>
      <c r="F840" t="inlineStr">
        <is>
          <t>Holmen skog AB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49295-2024</t>
        </is>
      </c>
      <c r="B841" s="1" t="n">
        <v>45595</v>
      </c>
      <c r="C841" s="1" t="n">
        <v>45947</v>
      </c>
      <c r="D841" t="inlineStr">
        <is>
          <t>ÖSTERGÖTLANDS LÄN</t>
        </is>
      </c>
      <c r="E841" t="inlineStr">
        <is>
          <t>NORRKÖPING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59221-2024</t>
        </is>
      </c>
      <c r="B842" s="1" t="n">
        <v>45637</v>
      </c>
      <c r="C842" s="1" t="n">
        <v>45947</v>
      </c>
      <c r="D842" t="inlineStr">
        <is>
          <t>ÖSTERGÖTLANDS LÄN</t>
        </is>
      </c>
      <c r="E842" t="inlineStr">
        <is>
          <t>NORRKÖPING</t>
        </is>
      </c>
      <c r="G842" t="n">
        <v>24.7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48758-2024</t>
        </is>
      </c>
      <c r="B843" s="1" t="n">
        <v>45593.59819444444</v>
      </c>
      <c r="C843" s="1" t="n">
        <v>45947</v>
      </c>
      <c r="D843" t="inlineStr">
        <is>
          <t>ÖSTERGÖTLANDS LÄN</t>
        </is>
      </c>
      <c r="E843" t="inlineStr">
        <is>
          <t>NORRKÖPING</t>
        </is>
      </c>
      <c r="F843" t="inlineStr">
        <is>
          <t>Holmen skog AB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2246-2025</t>
        </is>
      </c>
      <c r="B844" s="1" t="n">
        <v>45673.49019675926</v>
      </c>
      <c r="C844" s="1" t="n">
        <v>45947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Holmen skog AB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33170-2023</t>
        </is>
      </c>
      <c r="B845" s="1" t="n">
        <v>45126</v>
      </c>
      <c r="C845" s="1" t="n">
        <v>45947</v>
      </c>
      <c r="D845" t="inlineStr">
        <is>
          <t>ÖSTERGÖTLANDS LÄN</t>
        </is>
      </c>
      <c r="E845" t="inlineStr">
        <is>
          <t>NORRKÖPING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33171-2023</t>
        </is>
      </c>
      <c r="B846" s="1" t="n">
        <v>45126</v>
      </c>
      <c r="C846" s="1" t="n">
        <v>45947</v>
      </c>
      <c r="D846" t="inlineStr">
        <is>
          <t>ÖSTERGÖTLANDS LÄN</t>
        </is>
      </c>
      <c r="E846" t="inlineStr">
        <is>
          <t>NORRKÖPING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34977-2023</t>
        </is>
      </c>
      <c r="B847" s="1" t="n">
        <v>45141</v>
      </c>
      <c r="C847" s="1" t="n">
        <v>45947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Allmännings- och besparingsskogar</t>
        </is>
      </c>
      <c r="G847" t="n">
        <v>3.8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11520-2025</t>
        </is>
      </c>
      <c r="B848" s="1" t="n">
        <v>45726.91224537037</v>
      </c>
      <c r="C848" s="1" t="n">
        <v>45947</v>
      </c>
      <c r="D848" t="inlineStr">
        <is>
          <t>ÖSTERGÖTLANDS LÄN</t>
        </is>
      </c>
      <c r="E848" t="inlineStr">
        <is>
          <t>NORRKÖPING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21093-2025</t>
        </is>
      </c>
      <c r="B849" s="1" t="n">
        <v>45777.61991898148</v>
      </c>
      <c r="C849" s="1" t="n">
        <v>45947</v>
      </c>
      <c r="D849" t="inlineStr">
        <is>
          <t>ÖSTERGÖTLANDS LÄN</t>
        </is>
      </c>
      <c r="E849" t="inlineStr">
        <is>
          <t>NORRKÖPING</t>
        </is>
      </c>
      <c r="F849" t="inlineStr">
        <is>
          <t>Holmen skog AB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35148-2023</t>
        </is>
      </c>
      <c r="B850" s="1" t="n">
        <v>45145</v>
      </c>
      <c r="C850" s="1" t="n">
        <v>45947</v>
      </c>
      <c r="D850" t="inlineStr">
        <is>
          <t>ÖSTERGÖTLANDS LÄN</t>
        </is>
      </c>
      <c r="E850" t="inlineStr">
        <is>
          <t>NORRKÖPING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15190-2024</t>
        </is>
      </c>
      <c r="B851" s="1" t="n">
        <v>45400</v>
      </c>
      <c r="C851" s="1" t="n">
        <v>45947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1854-2025</t>
        </is>
      </c>
      <c r="B852" s="1" t="n">
        <v>45671.59245370371</v>
      </c>
      <c r="C852" s="1" t="n">
        <v>45947</v>
      </c>
      <c r="D852" t="inlineStr">
        <is>
          <t>ÖSTERGÖTLANDS LÄN</t>
        </is>
      </c>
      <c r="E852" t="inlineStr">
        <is>
          <t>NORRKÖPING</t>
        </is>
      </c>
      <c r="F852" t="inlineStr">
        <is>
          <t>Allmännings- och besparingsskogar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21542-2025</t>
        </is>
      </c>
      <c r="B853" s="1" t="n">
        <v>45782.66719907407</v>
      </c>
      <c r="C853" s="1" t="n">
        <v>45947</v>
      </c>
      <c r="D853" t="inlineStr">
        <is>
          <t>ÖSTERGÖTLANDS LÄN</t>
        </is>
      </c>
      <c r="E853" t="inlineStr">
        <is>
          <t>NORRKÖPING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15640-2024</t>
        </is>
      </c>
      <c r="B854" s="1" t="n">
        <v>45403.86942129629</v>
      </c>
      <c r="C854" s="1" t="n">
        <v>45947</v>
      </c>
      <c r="D854" t="inlineStr">
        <is>
          <t>ÖSTERGÖTLANDS LÄN</t>
        </is>
      </c>
      <c r="E854" t="inlineStr">
        <is>
          <t>NORRKÖPING</t>
        </is>
      </c>
      <c r="G854" t="n">
        <v>4.7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1146-2023</t>
        </is>
      </c>
      <c r="B855" s="1" t="n">
        <v>44935.64165509259</v>
      </c>
      <c r="C855" s="1" t="n">
        <v>45947</v>
      </c>
      <c r="D855" t="inlineStr">
        <is>
          <t>ÖSTERGÖTLANDS LÄN</t>
        </is>
      </c>
      <c r="E855" t="inlineStr">
        <is>
          <t>NORRKÖPING</t>
        </is>
      </c>
      <c r="F855" t="inlineStr">
        <is>
          <t>Holmen skog AB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21770-2025</t>
        </is>
      </c>
      <c r="B856" s="1" t="n">
        <v>45783</v>
      </c>
      <c r="C856" s="1" t="n">
        <v>45947</v>
      </c>
      <c r="D856" t="inlineStr">
        <is>
          <t>ÖSTERGÖTLANDS LÄN</t>
        </is>
      </c>
      <c r="E856" t="inlineStr">
        <is>
          <t>NORRKÖPING</t>
        </is>
      </c>
      <c r="G856" t="n">
        <v>3.2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31359-2023</t>
        </is>
      </c>
      <c r="B857" s="1" t="n">
        <v>45114</v>
      </c>
      <c r="C857" s="1" t="n">
        <v>45947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31361-2023</t>
        </is>
      </c>
      <c r="B858" s="1" t="n">
        <v>45114</v>
      </c>
      <c r="C858" s="1" t="n">
        <v>45947</v>
      </c>
      <c r="D858" t="inlineStr">
        <is>
          <t>ÖSTERGÖTLANDS LÄN</t>
        </is>
      </c>
      <c r="E858" t="inlineStr">
        <is>
          <t>NORRKÖPING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7742-2025</t>
        </is>
      </c>
      <c r="B859" s="1" t="n">
        <v>45706.47790509259</v>
      </c>
      <c r="C859" s="1" t="n">
        <v>45947</v>
      </c>
      <c r="D859" t="inlineStr">
        <is>
          <t>ÖSTERGÖTLANDS LÄN</t>
        </is>
      </c>
      <c r="E859" t="inlineStr">
        <is>
          <t>NORRKÖPING</t>
        </is>
      </c>
      <c r="G859" t="n">
        <v>4.6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21909-2025</t>
        </is>
      </c>
      <c r="B860" s="1" t="n">
        <v>45784</v>
      </c>
      <c r="C860" s="1" t="n">
        <v>45947</v>
      </c>
      <c r="D860" t="inlineStr">
        <is>
          <t>ÖSTERGÖTLANDS LÄN</t>
        </is>
      </c>
      <c r="E860" t="inlineStr">
        <is>
          <t>NORRKÖPING</t>
        </is>
      </c>
      <c r="G860" t="n">
        <v>7.9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21967-2025</t>
        </is>
      </c>
      <c r="B861" s="1" t="n">
        <v>45784.62866898148</v>
      </c>
      <c r="C861" s="1" t="n">
        <v>45947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1.8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21677-2025</t>
        </is>
      </c>
      <c r="B862" s="1" t="n">
        <v>45783.48681712963</v>
      </c>
      <c r="C862" s="1" t="n">
        <v>45947</v>
      </c>
      <c r="D862" t="inlineStr">
        <is>
          <t>ÖSTERGÖTLANDS LÄN</t>
        </is>
      </c>
      <c r="E862" t="inlineStr">
        <is>
          <t>NORRKÖPING</t>
        </is>
      </c>
      <c r="F862" t="inlineStr">
        <is>
          <t>Holmen skog AB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34916-2024</t>
        </is>
      </c>
      <c r="B863" s="1" t="n">
        <v>45527.43385416667</v>
      </c>
      <c r="C863" s="1" t="n">
        <v>45947</v>
      </c>
      <c r="D863" t="inlineStr">
        <is>
          <t>ÖSTERGÖTLANDS LÄN</t>
        </is>
      </c>
      <c r="E863" t="inlineStr">
        <is>
          <t>NORRKÖPING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17664-2025</t>
        </is>
      </c>
      <c r="B864" s="1" t="n">
        <v>45758.36203703703</v>
      </c>
      <c r="C864" s="1" t="n">
        <v>45947</v>
      </c>
      <c r="D864" t="inlineStr">
        <is>
          <t>ÖSTERGÖTLANDS LÄN</t>
        </is>
      </c>
      <c r="E864" t="inlineStr">
        <is>
          <t>NORRKÖPING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38441-2024</t>
        </is>
      </c>
      <c r="B865" s="1" t="n">
        <v>45546</v>
      </c>
      <c r="C865" s="1" t="n">
        <v>45947</v>
      </c>
      <c r="D865" t="inlineStr">
        <is>
          <t>ÖSTERGÖTLANDS LÄN</t>
        </is>
      </c>
      <c r="E865" t="inlineStr">
        <is>
          <t>NORRKÖPING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8806-2024</t>
        </is>
      </c>
      <c r="B866" s="1" t="n">
        <v>45356.64872685185</v>
      </c>
      <c r="C866" s="1" t="n">
        <v>45947</v>
      </c>
      <c r="D866" t="inlineStr">
        <is>
          <t>ÖSTERGÖTLANDS LÄN</t>
        </is>
      </c>
      <c r="E866" t="inlineStr">
        <is>
          <t>NORRKÖPING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31813-2023</t>
        </is>
      </c>
      <c r="B867" s="1" t="n">
        <v>45106</v>
      </c>
      <c r="C867" s="1" t="n">
        <v>45947</v>
      </c>
      <c r="D867" t="inlineStr">
        <is>
          <t>ÖSTERGÖTLANDS LÄN</t>
        </is>
      </c>
      <c r="E867" t="inlineStr">
        <is>
          <t>NORRKÖPING</t>
        </is>
      </c>
      <c r="G867" t="n">
        <v>10.3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26392-2023</t>
        </is>
      </c>
      <c r="B868" s="1" t="n">
        <v>45092.35369212963</v>
      </c>
      <c r="C868" s="1" t="n">
        <v>45947</v>
      </c>
      <c r="D868" t="inlineStr">
        <is>
          <t>ÖSTERGÖTLANDS LÄN</t>
        </is>
      </c>
      <c r="E868" t="inlineStr">
        <is>
          <t>NORRKÖPING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5941-2024</t>
        </is>
      </c>
      <c r="B869" s="1" t="n">
        <v>45336</v>
      </c>
      <c r="C869" s="1" t="n">
        <v>45947</v>
      </c>
      <c r="D869" t="inlineStr">
        <is>
          <t>ÖSTERGÖTLANDS LÄN</t>
        </is>
      </c>
      <c r="E869" t="inlineStr">
        <is>
          <t>NORRKÖPING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62049-2023</t>
        </is>
      </c>
      <c r="B870" s="1" t="n">
        <v>45266.69091435185</v>
      </c>
      <c r="C870" s="1" t="n">
        <v>45947</v>
      </c>
      <c r="D870" t="inlineStr">
        <is>
          <t>ÖSTERGÖTLANDS LÄN</t>
        </is>
      </c>
      <c r="E870" t="inlineStr">
        <is>
          <t>NORRKÖPING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2025-10-17T14:22:04Z</dcterms:created>
  <dcterms:modified xmlns:dcterms="http://purl.org/dc/terms/" xmlns:xsi="http://www.w3.org/2001/XMLSchema-instance" xsi:type="dcterms:W3CDTF">2025-10-17T14:22:05Z</dcterms:modified>
</cp:coreProperties>
</file>